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comments2.xml" ContentType="application/vnd.openxmlformats-officedocument.spreadsheetml.comments+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bookViews>
    <workbookView xWindow="5070" yWindow="870" windowWidth="12225" windowHeight="7830" tabRatio="842" firstSheet="5" activeTab="5"/>
  </bookViews>
  <sheets>
    <sheet name="Report" sheetId="55" state="hidden" r:id="rId1"/>
    <sheet name="GHSF Calculator" sheetId="56" state="hidden" r:id="rId2"/>
    <sheet name="Demand Savings Lookup" sheetId="61" state="hidden" r:id="rId3"/>
    <sheet name="Lookup" sheetId="57" state="hidden" r:id="rId4"/>
    <sheet name="Drop Down" sheetId="54" state="hidden" r:id="rId5"/>
    <sheet name="Introduction" sheetId="65" r:id="rId6"/>
    <sheet name="Project Size" sheetId="42" r:id="rId7"/>
    <sheet name="Avoided Costs" sheetId="66" state="hidden" r:id="rId8"/>
    <sheet name="Simulation Summary" sheetId="16" state="hidden" r:id="rId9"/>
    <sheet name="Windows eQuest" sheetId="33" r:id="rId10"/>
    <sheet name="DHW Demand" sheetId="37" r:id="rId11"/>
    <sheet name="Appliances" sheetId="36" r:id="rId12"/>
    <sheet name="Lighting Schedule" sheetId="35" r:id="rId13"/>
    <sheet name="Interior Lighting" sheetId="46" r:id="rId14"/>
    <sheet name="Exterior Lighting" sheetId="12" r:id="rId15"/>
    <sheet name="In-Unit Lighting" sheetId="13" r:id="rId16"/>
    <sheet name="Infiltration&amp;Ventilation" sheetId="43" r:id="rId17"/>
    <sheet name="EIR for PTAC and PTHP" sheetId="44" r:id="rId18"/>
    <sheet name="Water Savings" sheetId="49" r:id="rId19"/>
    <sheet name="Tables of Values" sheetId="41" state="hidden" r:id="rId20"/>
    <sheet name="Locator Map" sheetId="23" state="hidden" r:id="rId21"/>
    <sheet name="Side Calcs - Baseline" sheetId="24" state="hidden" r:id="rId22"/>
    <sheet name="ZipCode Map" sheetId="25" state="hidden" r:id="rId23"/>
    <sheet name="Worksheet - Design - Baseline" sheetId="28" state="hidden" r:id="rId24"/>
    <sheet name="Worksheet - Design - Proposed" sheetId="30" state="hidden" r:id="rId25"/>
    <sheet name="Side Calcs - Proposed" sheetId="31" state="hidden" r:id="rId26"/>
  </sheets>
  <externalReferences>
    <externalReference r:id="rId27"/>
    <externalReference r:id="rId28"/>
  </externalReferences>
  <definedNames>
    <definedName name="_xlnm._FilterDatabase" localSheetId="6" hidden="1">'Project Size'!#REF!</definedName>
    <definedName name="AvoidedCostTable">'Avoided Costs'!$A$16:$AY$24</definedName>
    <definedName name="CentralHudson">'Avoided Costs'!$A$26:$AY$47</definedName>
    <definedName name="ClimateZone">'Drop Down'!$S$2:$S$9</definedName>
    <definedName name="Condition">'Drop Down'!$B$2:$B$6</definedName>
    <definedName name="ConEd">'Avoided Costs'!$A$49:$AY$70</definedName>
    <definedName name="construction">'Drop Down'!$H$2:$H$4</definedName>
    <definedName name="DHW_Method">'Drop Down'!$J$2:$J$4</definedName>
    <definedName name="Efficacy">'[1]Lighting Schedule'!$X$3:$X$4</definedName>
    <definedName name="EStar">'Drop Down'!$L$2:$L$6</definedName>
    <definedName name="Fan">'Drop Down'!$Q$3:$Q$6</definedName>
    <definedName name="FanControl">'Drop Down'!$O$2:$O$8</definedName>
    <definedName name="Floors">'[2]MeasureQC Calcs'!$B$53</definedName>
    <definedName name="Footcandles">'Drop Down'!$Y$2:$Y$16</definedName>
    <definedName name="fuel">'Drop Down'!$I$2:$I$7</definedName>
    <definedName name="Fuels">'Drop Down'!$AC$2:$AC$6</definedName>
    <definedName name="FuelType">[2]DropDowns!$A$3:$A$7</definedName>
    <definedName name="funding">[2]DropDowns!$I$3:$I$8</definedName>
    <definedName name="FundingCodes">'Drop Down'!$AD$2:$AD$7</definedName>
    <definedName name="Garage">'Drop Down'!$A$2:$A$5</definedName>
    <definedName name="GasUtility">'Drop Down'!$AE$2:$AE$5</definedName>
    <definedName name="HeatingControl">'Drop Down'!$P$2:$P$7</definedName>
    <definedName name="HousingType">[2]DropDowns!$E$3:$E$5</definedName>
    <definedName name="Income">'Drop Down'!$G$2:$G$4</definedName>
    <definedName name="KEDLI">'Avoided Costs'!$A$164:$AY$185</definedName>
    <definedName name="LightingSpaceType">'Drop Down'!$W$2:$W$16</definedName>
    <definedName name="Location">'[2]MeasureQC Calcs'!$B$52</definedName>
    <definedName name="Low_Flow_Toilets" localSheetId="18">'Water Savings'!$E$23:$E$23</definedName>
    <definedName name="Low_Flow_Toilets">#REF!</definedName>
    <definedName name="LPD">'Drop Down'!$X$2:$X$16</definedName>
    <definedName name="Measure_Type">'Demand Savings Lookup'!$A$2:$A$44</definedName>
    <definedName name="MeasureList">'[2]MeasureQC Calcs'!$A$6:$A$46</definedName>
    <definedName name="MeasureQCdata">'[2]MeasureQC Calcs'!$A$6:$AZ$45</definedName>
    <definedName name="Milestone">'Drop Down'!$D$2:$D$4</definedName>
    <definedName name="NationalGrid">'Avoided Costs'!$A$72:$AY$93</definedName>
    <definedName name="NYSEG">'Avoided Costs'!$A$95:$AY$116</definedName>
    <definedName name="OandR">'Avoided Costs'!$A$118:$AY$139</definedName>
    <definedName name="_xlnm.Print_Area" localSheetId="5">Introduction!$B$1:$C$38</definedName>
    <definedName name="_xlnm.Print_Titles" localSheetId="13">'Interior Lighting'!$18:$18</definedName>
    <definedName name="Pump">'Drop Down'!$M$2:$M$6</definedName>
    <definedName name="PumpClass">'Drop Down'!$N$2:$N$5</definedName>
    <definedName name="reqd">[2]DropDowns!$G$3:$G$5</definedName>
    <definedName name="Rev">'Drop Down'!$E$2:$E$8</definedName>
    <definedName name="RGandE">'Avoided Costs'!$A$141:$AY$162</definedName>
    <definedName name="Rise">'[2]MeasureQC Calcs'!$B$54</definedName>
    <definedName name="SpaceType">'Drop Down'!$U$2:$U$15</definedName>
    <definedName name="SqFt">'[2]MeasureQC Calcs'!$B$55</definedName>
    <definedName name="Standard">'Drop Down'!$F$2:$F$4</definedName>
    <definedName name="Units" localSheetId="7">'[2]MeasureQC Calcs'!$B$56</definedName>
    <definedName name="Units">'Drop Down'!$K$2:$K$10</definedName>
    <definedName name="UpDown">'[2]ZipCode Map'!$F$5</definedName>
    <definedName name="Utility">'Drop Down'!$AA$2:$AA$7</definedName>
    <definedName name="Windows">'Drop Down'!$T$2:$T$3</definedName>
    <definedName name="YesNo">'Drop Down'!$Z$2:$Z$4</definedName>
    <definedName name="yn" localSheetId="7">[2]DropDowns!$C$3:$C$4</definedName>
    <definedName name="YN">'Drop Down'!$C$2:$C$4</definedName>
    <definedName name="ynn">[2]DropDowns!$C$3:$C$4</definedName>
  </definedNames>
  <calcPr calcId="125725"/>
</workbook>
</file>

<file path=xl/calcChain.xml><?xml version="1.0" encoding="utf-8"?>
<calcChain xmlns="http://schemas.openxmlformats.org/spreadsheetml/2006/main">
  <c r="J24" i="36"/>
  <c r="D20" s="1"/>
  <c r="C20"/>
  <c r="E28"/>
  <c r="E26"/>
  <c r="G23"/>
  <c r="F23"/>
  <c r="F22"/>
  <c r="E23"/>
  <c r="K32" i="44"/>
  <c r="J32"/>
  <c r="I32"/>
  <c r="H32"/>
  <c r="G32"/>
  <c r="F32"/>
  <c r="E32"/>
  <c r="K19"/>
  <c r="J19"/>
  <c r="I19"/>
  <c r="H19"/>
  <c r="G19"/>
  <c r="F19"/>
  <c r="E19"/>
  <c r="K20"/>
  <c r="J20"/>
  <c r="I20"/>
  <c r="H20"/>
  <c r="G20"/>
  <c r="F20"/>
  <c r="E20"/>
  <c r="K33"/>
  <c r="J33"/>
  <c r="I33"/>
  <c r="H33"/>
  <c r="G33"/>
  <c r="F33"/>
  <c r="E33"/>
  <c r="E13" i="33" l="1"/>
  <c r="F13"/>
  <c r="D13"/>
  <c r="C13"/>
  <c r="G24" i="37"/>
  <c r="G25"/>
  <c r="G16" i="13"/>
  <c r="J31" i="36"/>
  <c r="J33" s="1"/>
  <c r="D12"/>
  <c r="C12"/>
  <c r="C18"/>
  <c r="J15"/>
  <c r="G13" i="37"/>
  <c r="C29" i="49"/>
  <c r="C28"/>
  <c r="C27"/>
  <c r="G12" i="37"/>
  <c r="E18" i="49"/>
  <c r="E26"/>
  <c r="F14" i="33"/>
  <c r="E14"/>
  <c r="D14"/>
  <c r="C14"/>
  <c r="M19" i="30"/>
  <c r="M18"/>
  <c r="M17"/>
  <c r="M16"/>
  <c r="M15"/>
  <c r="M14"/>
  <c r="M19" i="28"/>
  <c r="M18"/>
  <c r="M17"/>
  <c r="M16"/>
  <c r="M15"/>
  <c r="M14"/>
  <c r="E46" i="43" l="1"/>
  <c r="E42"/>
  <c r="F3" i="66"/>
  <c r="C9" s="1"/>
  <c r="A3"/>
  <c r="B183"/>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C182"/>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B182"/>
  <c r="B18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B180"/>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B179"/>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C178"/>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B178"/>
  <c r="AG177"/>
  <c r="AH177" s="1"/>
  <c r="AI177" s="1"/>
  <c r="AJ177" s="1"/>
  <c r="AK177" s="1"/>
  <c r="AL177" s="1"/>
  <c r="AM177" s="1"/>
  <c r="AN177" s="1"/>
  <c r="AO177" s="1"/>
  <c r="AP177" s="1"/>
  <c r="AQ177" s="1"/>
  <c r="AR177" s="1"/>
  <c r="AS177" s="1"/>
  <c r="AT177" s="1"/>
  <c r="AU177" s="1"/>
  <c r="AV177" s="1"/>
  <c r="AW177" s="1"/>
  <c r="AX177" s="1"/>
  <c r="AY177" s="1"/>
  <c r="AF177"/>
  <c r="AY174"/>
  <c r="AX174"/>
  <c r="AW174"/>
  <c r="AV174"/>
  <c r="AU174"/>
  <c r="AT174"/>
  <c r="AS174"/>
  <c r="AR174"/>
  <c r="AQ174"/>
  <c r="AP174"/>
  <c r="AO174"/>
  <c r="AN174"/>
  <c r="AM174"/>
  <c r="AL174"/>
  <c r="AK174"/>
  <c r="AJ174"/>
  <c r="AI174"/>
  <c r="AH174"/>
  <c r="AG174"/>
  <c r="AF174"/>
  <c r="AE174"/>
  <c r="AD174"/>
  <c r="AC174"/>
  <c r="AB174"/>
  <c r="AA174"/>
  <c r="Z174"/>
  <c r="Y174"/>
  <c r="X174"/>
  <c r="W174"/>
  <c r="V174"/>
  <c r="U174"/>
  <c r="T174"/>
  <c r="S174"/>
  <c r="R174"/>
  <c r="Q174"/>
  <c r="P174"/>
  <c r="O174"/>
  <c r="N174"/>
  <c r="M174"/>
  <c r="L174"/>
  <c r="K174"/>
  <c r="J174"/>
  <c r="I174"/>
  <c r="H174"/>
  <c r="G174"/>
  <c r="F174"/>
  <c r="E174"/>
  <c r="D174"/>
  <c r="C174"/>
  <c r="B174"/>
  <c r="B185" s="1"/>
  <c r="AY173"/>
  <c r="AX173"/>
  <c r="AW173"/>
  <c r="AV173"/>
  <c r="AU173"/>
  <c r="AT173"/>
  <c r="AS173"/>
  <c r="AR173"/>
  <c r="AQ173"/>
  <c r="AP173"/>
  <c r="AO173"/>
  <c r="AN173"/>
  <c r="AM173"/>
  <c r="AL173"/>
  <c r="AK173"/>
  <c r="AJ173"/>
  <c r="AI173"/>
  <c r="AH173"/>
  <c r="AG173"/>
  <c r="AF173"/>
  <c r="AE173"/>
  <c r="AD173"/>
  <c r="AC173"/>
  <c r="AB173"/>
  <c r="AA173"/>
  <c r="Z173"/>
  <c r="Y173"/>
  <c r="X173"/>
  <c r="W173"/>
  <c r="V173"/>
  <c r="U173"/>
  <c r="T173"/>
  <c r="S173"/>
  <c r="R173"/>
  <c r="Q173"/>
  <c r="P173"/>
  <c r="O173"/>
  <c r="N173"/>
  <c r="M173"/>
  <c r="L173"/>
  <c r="K173"/>
  <c r="J173"/>
  <c r="I173"/>
  <c r="H173"/>
  <c r="G173"/>
  <c r="F173"/>
  <c r="E173"/>
  <c r="D173"/>
  <c r="C173"/>
  <c r="B173"/>
  <c r="B184" s="1"/>
  <c r="C160"/>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B160"/>
  <c r="B159"/>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B158"/>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C157"/>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B157"/>
  <c r="C156"/>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B156"/>
  <c r="B155"/>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F154"/>
  <c r="AG154" s="1"/>
  <c r="AH154" s="1"/>
  <c r="AI154" s="1"/>
  <c r="AJ154" s="1"/>
  <c r="AK154" s="1"/>
  <c r="AL154" s="1"/>
  <c r="AM154" s="1"/>
  <c r="AN154" s="1"/>
  <c r="AO154" s="1"/>
  <c r="AP154" s="1"/>
  <c r="AQ154" s="1"/>
  <c r="AR154" s="1"/>
  <c r="AS154" s="1"/>
  <c r="AT154" s="1"/>
  <c r="AU154" s="1"/>
  <c r="AV154" s="1"/>
  <c r="AW154" s="1"/>
  <c r="AX154" s="1"/>
  <c r="AY154" s="1"/>
  <c r="AY151"/>
  <c r="AX151"/>
  <c r="AW151"/>
  <c r="AV151"/>
  <c r="AU151"/>
  <c r="AT151"/>
  <c r="AS151"/>
  <c r="AR151"/>
  <c r="AQ151"/>
  <c r="AP151"/>
  <c r="AO151"/>
  <c r="AN151"/>
  <c r="AM151"/>
  <c r="AL151"/>
  <c r="AK151"/>
  <c r="AJ151"/>
  <c r="AI151"/>
  <c r="AH151"/>
  <c r="AG151"/>
  <c r="AF151"/>
  <c r="AE151"/>
  <c r="AD151"/>
  <c r="AC151"/>
  <c r="AB151"/>
  <c r="AA151"/>
  <c r="Z151"/>
  <c r="Y151"/>
  <c r="X151"/>
  <c r="W151"/>
  <c r="V151"/>
  <c r="U151"/>
  <c r="T151"/>
  <c r="S151"/>
  <c r="R151"/>
  <c r="Q151"/>
  <c r="P151"/>
  <c r="O151"/>
  <c r="N151"/>
  <c r="M151"/>
  <c r="L151"/>
  <c r="K151"/>
  <c r="J151"/>
  <c r="I151"/>
  <c r="H151"/>
  <c r="G151"/>
  <c r="F151"/>
  <c r="E151"/>
  <c r="D151"/>
  <c r="C151"/>
  <c r="C162" s="1"/>
  <c r="B151"/>
  <c r="B162" s="1"/>
  <c r="AY150"/>
  <c r="AX150"/>
  <c r="AW150"/>
  <c r="AV150"/>
  <c r="AU150"/>
  <c r="AT150"/>
  <c r="AS150"/>
  <c r="AR150"/>
  <c r="AQ150"/>
  <c r="AP150"/>
  <c r="AO150"/>
  <c r="AN150"/>
  <c r="AM150"/>
  <c r="AL150"/>
  <c r="AK150"/>
  <c r="AJ150"/>
  <c r="AI150"/>
  <c r="AH150"/>
  <c r="AG150"/>
  <c r="AF150"/>
  <c r="AE150"/>
  <c r="AD150"/>
  <c r="AC150"/>
  <c r="AB150"/>
  <c r="AA150"/>
  <c r="Z150"/>
  <c r="Y150"/>
  <c r="X150"/>
  <c r="W150"/>
  <c r="V150"/>
  <c r="U150"/>
  <c r="T150"/>
  <c r="S150"/>
  <c r="R150"/>
  <c r="Q150"/>
  <c r="P150"/>
  <c r="O150"/>
  <c r="N150"/>
  <c r="M150"/>
  <c r="L150"/>
  <c r="K150"/>
  <c r="J150"/>
  <c r="I150"/>
  <c r="H150"/>
  <c r="G150"/>
  <c r="F150"/>
  <c r="E150"/>
  <c r="D150"/>
  <c r="C150"/>
  <c r="C161" s="1"/>
  <c r="B150"/>
  <c r="B161" s="1"/>
  <c r="C137"/>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B137"/>
  <c r="C136"/>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B136"/>
  <c r="C135"/>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B135"/>
  <c r="C134"/>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B134"/>
  <c r="C133"/>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B133"/>
  <c r="C132"/>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F131"/>
  <c r="AG131" s="1"/>
  <c r="AH131" s="1"/>
  <c r="AI131" s="1"/>
  <c r="AJ131" s="1"/>
  <c r="AK131" s="1"/>
  <c r="AL131" s="1"/>
  <c r="AM131" s="1"/>
  <c r="AN131" s="1"/>
  <c r="AO131" s="1"/>
  <c r="AP131" s="1"/>
  <c r="AQ131" s="1"/>
  <c r="AR131" s="1"/>
  <c r="AS131" s="1"/>
  <c r="AT131" s="1"/>
  <c r="AU131" s="1"/>
  <c r="AV131" s="1"/>
  <c r="AW131" s="1"/>
  <c r="AX131" s="1"/>
  <c r="AY131" s="1"/>
  <c r="AY128"/>
  <c r="AX128"/>
  <c r="AW128"/>
  <c r="AV128"/>
  <c r="AU128"/>
  <c r="AT128"/>
  <c r="AS128"/>
  <c r="AR128"/>
  <c r="AQ128"/>
  <c r="AP128"/>
  <c r="AO128"/>
  <c r="AN128"/>
  <c r="AM128"/>
  <c r="AL128"/>
  <c r="AK128"/>
  <c r="AJ128"/>
  <c r="AI128"/>
  <c r="AH128"/>
  <c r="AG128"/>
  <c r="AF128"/>
  <c r="AE128"/>
  <c r="AD128"/>
  <c r="AC128"/>
  <c r="AB128"/>
  <c r="AA128"/>
  <c r="Z128"/>
  <c r="Y128"/>
  <c r="X128"/>
  <c r="W128"/>
  <c r="V128"/>
  <c r="U128"/>
  <c r="T128"/>
  <c r="S128"/>
  <c r="R128"/>
  <c r="Q128"/>
  <c r="P128"/>
  <c r="O128"/>
  <c r="N128"/>
  <c r="M128"/>
  <c r="L128"/>
  <c r="K128"/>
  <c r="J128"/>
  <c r="I128"/>
  <c r="H128"/>
  <c r="G128"/>
  <c r="F128"/>
  <c r="E128"/>
  <c r="D128"/>
  <c r="C128"/>
  <c r="C139" s="1"/>
  <c r="B128"/>
  <c r="B139" s="1"/>
  <c r="AY127"/>
  <c r="AX127"/>
  <c r="AW127"/>
  <c r="AV127"/>
  <c r="AU127"/>
  <c r="AT127"/>
  <c r="AS127"/>
  <c r="AR127"/>
  <c r="AQ127"/>
  <c r="AP127"/>
  <c r="AO127"/>
  <c r="AN127"/>
  <c r="AM127"/>
  <c r="AL127"/>
  <c r="AK127"/>
  <c r="AJ127"/>
  <c r="AI127"/>
  <c r="AH127"/>
  <c r="AG127"/>
  <c r="AF127"/>
  <c r="AE127"/>
  <c r="AD127"/>
  <c r="AC127"/>
  <c r="AB127"/>
  <c r="AA127"/>
  <c r="Z127"/>
  <c r="Y127"/>
  <c r="X127"/>
  <c r="W127"/>
  <c r="V127"/>
  <c r="U127"/>
  <c r="T127"/>
  <c r="S127"/>
  <c r="R127"/>
  <c r="Q127"/>
  <c r="P127"/>
  <c r="O127"/>
  <c r="N127"/>
  <c r="M127"/>
  <c r="L127"/>
  <c r="K127"/>
  <c r="J127"/>
  <c r="I127"/>
  <c r="H127"/>
  <c r="G127"/>
  <c r="F127"/>
  <c r="E127"/>
  <c r="D127"/>
  <c r="C127"/>
  <c r="C138" s="1"/>
  <c r="B127"/>
  <c r="B138" s="1"/>
  <c r="B114"/>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B113"/>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B112"/>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B11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B110"/>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D109"/>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C109"/>
  <c r="AG108"/>
  <c r="AH108" s="1"/>
  <c r="AI108" s="1"/>
  <c r="AJ108" s="1"/>
  <c r="AK108" s="1"/>
  <c r="AL108" s="1"/>
  <c r="AM108" s="1"/>
  <c r="AN108" s="1"/>
  <c r="AO108" s="1"/>
  <c r="AP108" s="1"/>
  <c r="AQ108" s="1"/>
  <c r="AR108" s="1"/>
  <c r="AS108" s="1"/>
  <c r="AT108" s="1"/>
  <c r="AU108" s="1"/>
  <c r="AV108" s="1"/>
  <c r="AW108" s="1"/>
  <c r="AX108" s="1"/>
  <c r="AY108" s="1"/>
  <c r="AF108"/>
  <c r="AY105"/>
  <c r="AX105"/>
  <c r="AW105"/>
  <c r="AV105"/>
  <c r="AU105"/>
  <c r="AT105"/>
  <c r="AS105"/>
  <c r="AR105"/>
  <c r="AQ105"/>
  <c r="AP105"/>
  <c r="AO105"/>
  <c r="AN105"/>
  <c r="AM105"/>
  <c r="AL105"/>
  <c r="AK105"/>
  <c r="AJ105"/>
  <c r="AI105"/>
  <c r="AH105"/>
  <c r="AG105"/>
  <c r="AF105"/>
  <c r="AE105"/>
  <c r="AD105"/>
  <c r="AC105"/>
  <c r="AB105"/>
  <c r="AA105"/>
  <c r="Z105"/>
  <c r="Y105"/>
  <c r="X105"/>
  <c r="W105"/>
  <c r="V105"/>
  <c r="U105"/>
  <c r="T105"/>
  <c r="S105"/>
  <c r="R105"/>
  <c r="Q105"/>
  <c r="P105"/>
  <c r="O105"/>
  <c r="N105"/>
  <c r="M105"/>
  <c r="L105"/>
  <c r="K105"/>
  <c r="J105"/>
  <c r="I105"/>
  <c r="H105"/>
  <c r="G105"/>
  <c r="F105"/>
  <c r="E105"/>
  <c r="D105"/>
  <c r="C105"/>
  <c r="B105"/>
  <c r="B116" s="1"/>
  <c r="AY104"/>
  <c r="AX104"/>
  <c r="AW104"/>
  <c r="AV104"/>
  <c r="AU104"/>
  <c r="AT104"/>
  <c r="AS104"/>
  <c r="AR104"/>
  <c r="AQ104"/>
  <c r="AP104"/>
  <c r="AO104"/>
  <c r="AN104"/>
  <c r="AM104"/>
  <c r="AL104"/>
  <c r="AK104"/>
  <c r="AJ104"/>
  <c r="AI104"/>
  <c r="AH104"/>
  <c r="AG104"/>
  <c r="AF104"/>
  <c r="AE104"/>
  <c r="AD104"/>
  <c r="AC104"/>
  <c r="AB104"/>
  <c r="AA104"/>
  <c r="Z104"/>
  <c r="Y104"/>
  <c r="X104"/>
  <c r="W104"/>
  <c r="V104"/>
  <c r="U104"/>
  <c r="T104"/>
  <c r="S104"/>
  <c r="R104"/>
  <c r="Q104"/>
  <c r="P104"/>
  <c r="O104"/>
  <c r="N104"/>
  <c r="M104"/>
  <c r="L104"/>
  <c r="K104"/>
  <c r="J104"/>
  <c r="I104"/>
  <c r="H104"/>
  <c r="G104"/>
  <c r="F104"/>
  <c r="E104"/>
  <c r="D104"/>
  <c r="C104"/>
  <c r="B104"/>
  <c r="B115" s="1"/>
  <c r="C9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B91"/>
  <c r="C90"/>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B90"/>
  <c r="B89"/>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B88"/>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B87"/>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B86"/>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F85"/>
  <c r="AG85" s="1"/>
  <c r="AH85" s="1"/>
  <c r="AI85" s="1"/>
  <c r="AJ85" s="1"/>
  <c r="AK85" s="1"/>
  <c r="AL85" s="1"/>
  <c r="AM85" s="1"/>
  <c r="AN85" s="1"/>
  <c r="AO85" s="1"/>
  <c r="AP85" s="1"/>
  <c r="AQ85" s="1"/>
  <c r="AR85" s="1"/>
  <c r="AS85" s="1"/>
  <c r="AT85" s="1"/>
  <c r="AU85" s="1"/>
  <c r="AV85" s="1"/>
  <c r="AW85" s="1"/>
  <c r="AX85" s="1"/>
  <c r="AY85" s="1"/>
  <c r="AY82"/>
  <c r="AX82"/>
  <c r="AW82"/>
  <c r="AV82"/>
  <c r="AU82"/>
  <c r="AT82"/>
  <c r="AS82"/>
  <c r="AR82"/>
  <c r="AQ82"/>
  <c r="AP82"/>
  <c r="AO82"/>
  <c r="AN82"/>
  <c r="AM82"/>
  <c r="AL82"/>
  <c r="AK82"/>
  <c r="AJ82"/>
  <c r="AI82"/>
  <c r="AH82"/>
  <c r="AG82"/>
  <c r="AF82"/>
  <c r="AE82"/>
  <c r="AD82"/>
  <c r="AC82"/>
  <c r="AB82"/>
  <c r="AA82"/>
  <c r="Z82"/>
  <c r="Y82"/>
  <c r="X82"/>
  <c r="W82"/>
  <c r="V82"/>
  <c r="U82"/>
  <c r="T82"/>
  <c r="S82"/>
  <c r="R82"/>
  <c r="Q82"/>
  <c r="P82"/>
  <c r="O82"/>
  <c r="N82"/>
  <c r="M82"/>
  <c r="L82"/>
  <c r="K82"/>
  <c r="J82"/>
  <c r="I82"/>
  <c r="H82"/>
  <c r="G82"/>
  <c r="F82"/>
  <c r="E82"/>
  <c r="D82"/>
  <c r="C82"/>
  <c r="B82"/>
  <c r="B93" s="1"/>
  <c r="C93" s="1"/>
  <c r="AY81"/>
  <c r="AX81"/>
  <c r="AW81"/>
  <c r="AV81"/>
  <c r="AU81"/>
  <c r="AT81"/>
  <c r="AS81"/>
  <c r="AR81"/>
  <c r="AQ81"/>
  <c r="AP81"/>
  <c r="AO81"/>
  <c r="AN81"/>
  <c r="AM81"/>
  <c r="AL81"/>
  <c r="AK81"/>
  <c r="AJ81"/>
  <c r="AI81"/>
  <c r="AH81"/>
  <c r="AG81"/>
  <c r="AF81"/>
  <c r="AE81"/>
  <c r="AD81"/>
  <c r="AC81"/>
  <c r="AB81"/>
  <c r="AA81"/>
  <c r="Z81"/>
  <c r="Y81"/>
  <c r="X81"/>
  <c r="W81"/>
  <c r="V81"/>
  <c r="U81"/>
  <c r="T81"/>
  <c r="S81"/>
  <c r="R81"/>
  <c r="Q81"/>
  <c r="P81"/>
  <c r="O81"/>
  <c r="N81"/>
  <c r="M81"/>
  <c r="L81"/>
  <c r="K81"/>
  <c r="J81"/>
  <c r="I81"/>
  <c r="H81"/>
  <c r="G81"/>
  <c r="F81"/>
  <c r="E81"/>
  <c r="D81"/>
  <c r="C81"/>
  <c r="C92" s="1"/>
  <c r="B81"/>
  <c r="B92" s="1"/>
  <c r="B68"/>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B67"/>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B66"/>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B65"/>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B64"/>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B63"/>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F62"/>
  <c r="AG62" s="1"/>
  <c r="AH62" s="1"/>
  <c r="AI62" s="1"/>
  <c r="AJ62" s="1"/>
  <c r="AK62" s="1"/>
  <c r="AL62" s="1"/>
  <c r="AM62" s="1"/>
  <c r="AN62" s="1"/>
  <c r="AO62" s="1"/>
  <c r="AP62" s="1"/>
  <c r="AQ62" s="1"/>
  <c r="AR62" s="1"/>
  <c r="AS62" s="1"/>
  <c r="AT62" s="1"/>
  <c r="AU62" s="1"/>
  <c r="AV62" s="1"/>
  <c r="AW62" s="1"/>
  <c r="AX62" s="1"/>
  <c r="AY62" s="1"/>
  <c r="AY59"/>
  <c r="AX59"/>
  <c r="AW59"/>
  <c r="AV59"/>
  <c r="AU59"/>
  <c r="AT59"/>
  <c r="AS59"/>
  <c r="AR59"/>
  <c r="AQ59"/>
  <c r="AP59"/>
  <c r="AO59"/>
  <c r="AN59"/>
  <c r="AM59"/>
  <c r="AL59"/>
  <c r="AK59"/>
  <c r="AJ59"/>
  <c r="AI59"/>
  <c r="AH59"/>
  <c r="AG59"/>
  <c r="AF59"/>
  <c r="AE59"/>
  <c r="AD59"/>
  <c r="AC59"/>
  <c r="AB59"/>
  <c r="AA59"/>
  <c r="Z59"/>
  <c r="Y59"/>
  <c r="X59"/>
  <c r="W59"/>
  <c r="V59"/>
  <c r="U59"/>
  <c r="T59"/>
  <c r="S59"/>
  <c r="R59"/>
  <c r="Q59"/>
  <c r="P59"/>
  <c r="O59"/>
  <c r="N59"/>
  <c r="M59"/>
  <c r="L59"/>
  <c r="K59"/>
  <c r="J59"/>
  <c r="I59"/>
  <c r="H59"/>
  <c r="G59"/>
  <c r="F59"/>
  <c r="E59"/>
  <c r="D59"/>
  <c r="C59"/>
  <c r="C70" s="1"/>
  <c r="B59"/>
  <c r="B70" s="1"/>
  <c r="AY58"/>
  <c r="AX58"/>
  <c r="AW58"/>
  <c r="AV58"/>
  <c r="AU58"/>
  <c r="AT58"/>
  <c r="AS58"/>
  <c r="AR58"/>
  <c r="AQ58"/>
  <c r="AP58"/>
  <c r="AO58"/>
  <c r="AN58"/>
  <c r="AM58"/>
  <c r="AL58"/>
  <c r="AK58"/>
  <c r="AJ58"/>
  <c r="AI58"/>
  <c r="AH58"/>
  <c r="AG58"/>
  <c r="AF58"/>
  <c r="AE58"/>
  <c r="AD58"/>
  <c r="AC58"/>
  <c r="AB58"/>
  <c r="AA58"/>
  <c r="Z58"/>
  <c r="Y58"/>
  <c r="X58"/>
  <c r="W58"/>
  <c r="V58"/>
  <c r="U58"/>
  <c r="T58"/>
  <c r="S58"/>
  <c r="R58"/>
  <c r="Q58"/>
  <c r="P58"/>
  <c r="O58"/>
  <c r="N58"/>
  <c r="M58"/>
  <c r="L58"/>
  <c r="K58"/>
  <c r="J58"/>
  <c r="I58"/>
  <c r="H58"/>
  <c r="G58"/>
  <c r="F58"/>
  <c r="E58"/>
  <c r="D58"/>
  <c r="C58"/>
  <c r="C69" s="1"/>
  <c r="B58"/>
  <c r="B69" s="1"/>
  <c r="D45"/>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B45"/>
  <c r="C45" s="1"/>
  <c r="B44"/>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D43"/>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B43"/>
  <c r="C43" s="1"/>
  <c r="B42"/>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D4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B41"/>
  <c r="C41" s="1"/>
  <c r="B40"/>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F39"/>
  <c r="AG39" s="1"/>
  <c r="AH39" s="1"/>
  <c r="AI39" s="1"/>
  <c r="AJ39" s="1"/>
  <c r="AK39" s="1"/>
  <c r="AL39" s="1"/>
  <c r="AM39" s="1"/>
  <c r="AN39" s="1"/>
  <c r="AO39" s="1"/>
  <c r="AP39" s="1"/>
  <c r="AQ39" s="1"/>
  <c r="AR39" s="1"/>
  <c r="AS39" s="1"/>
  <c r="AT39" s="1"/>
  <c r="AU39" s="1"/>
  <c r="AV39" s="1"/>
  <c r="AW39" s="1"/>
  <c r="AX39" s="1"/>
  <c r="AY39" s="1"/>
  <c r="AY36"/>
  <c r="AX36"/>
  <c r="AW36"/>
  <c r="AV36"/>
  <c r="AU36"/>
  <c r="AT36"/>
  <c r="AS36"/>
  <c r="AR36"/>
  <c r="AQ36"/>
  <c r="AP36"/>
  <c r="AO36"/>
  <c r="AN36"/>
  <c r="AM36"/>
  <c r="AL36"/>
  <c r="AK36"/>
  <c r="AJ36"/>
  <c r="AI36"/>
  <c r="AH36"/>
  <c r="AG36"/>
  <c r="AF36"/>
  <c r="AE36"/>
  <c r="AD36"/>
  <c r="AC36"/>
  <c r="AB36"/>
  <c r="AA36"/>
  <c r="Z36"/>
  <c r="Y36"/>
  <c r="X36"/>
  <c r="W36"/>
  <c r="V36"/>
  <c r="U36"/>
  <c r="T36"/>
  <c r="S36"/>
  <c r="R36"/>
  <c r="Q36"/>
  <c r="P36"/>
  <c r="O36"/>
  <c r="N36"/>
  <c r="M36"/>
  <c r="L36"/>
  <c r="K36"/>
  <c r="J36"/>
  <c r="I36"/>
  <c r="H36"/>
  <c r="G36"/>
  <c r="F36"/>
  <c r="E36"/>
  <c r="D36"/>
  <c r="C36"/>
  <c r="B36"/>
  <c r="B47" s="1"/>
  <c r="AY35"/>
  <c r="AX35"/>
  <c r="AW35"/>
  <c r="AV35"/>
  <c r="AU35"/>
  <c r="AT35"/>
  <c r="AS35"/>
  <c r="AR35"/>
  <c r="AQ35"/>
  <c r="AP35"/>
  <c r="AO35"/>
  <c r="AN35"/>
  <c r="AM35"/>
  <c r="AL35"/>
  <c r="AK35"/>
  <c r="AJ35"/>
  <c r="AI35"/>
  <c r="AH35"/>
  <c r="AG35"/>
  <c r="AF35"/>
  <c r="AE35"/>
  <c r="AD35"/>
  <c r="AC35"/>
  <c r="AB35"/>
  <c r="AA35"/>
  <c r="Z35"/>
  <c r="Y35"/>
  <c r="X35"/>
  <c r="W35"/>
  <c r="V35"/>
  <c r="U35"/>
  <c r="T35"/>
  <c r="S35"/>
  <c r="R35"/>
  <c r="Q35"/>
  <c r="P35"/>
  <c r="O35"/>
  <c r="N35"/>
  <c r="M35"/>
  <c r="L35"/>
  <c r="K35"/>
  <c r="J35"/>
  <c r="I35"/>
  <c r="H35"/>
  <c r="G35"/>
  <c r="F35"/>
  <c r="E35"/>
  <c r="D35"/>
  <c r="C35"/>
  <c r="B35"/>
  <c r="B46" s="1"/>
  <c r="C193"/>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E3"/>
  <c r="AY6" s="1"/>
  <c r="AF16"/>
  <c r="AG16" s="1"/>
  <c r="I17" i="13"/>
  <c r="I18"/>
  <c r="I19"/>
  <c r="I20"/>
  <c r="I21"/>
  <c r="I22"/>
  <c r="I23"/>
  <c r="I24"/>
  <c r="I25"/>
  <c r="I26"/>
  <c r="I27"/>
  <c r="I28"/>
  <c r="I29"/>
  <c r="I30"/>
  <c r="I31"/>
  <c r="I32"/>
  <c r="I33"/>
  <c r="I34"/>
  <c r="I35"/>
  <c r="I36"/>
  <c r="I37"/>
  <c r="I38"/>
  <c r="I39"/>
  <c r="I40"/>
  <c r="I41"/>
  <c r="I42"/>
  <c r="I43"/>
  <c r="I44"/>
  <c r="G17"/>
  <c r="K17" s="1"/>
  <c r="G18"/>
  <c r="K18" s="1"/>
  <c r="G19"/>
  <c r="K19" s="1"/>
  <c r="G20"/>
  <c r="K20" s="1"/>
  <c r="G21"/>
  <c r="K21" s="1"/>
  <c r="G22"/>
  <c r="K22" s="1"/>
  <c r="G23"/>
  <c r="K23" s="1"/>
  <c r="G24"/>
  <c r="K24" s="1"/>
  <c r="G25"/>
  <c r="K25" s="1"/>
  <c r="G26"/>
  <c r="K26" s="1"/>
  <c r="G27"/>
  <c r="K27" s="1"/>
  <c r="G28"/>
  <c r="K28" s="1"/>
  <c r="G29"/>
  <c r="K29" s="1"/>
  <c r="G30"/>
  <c r="K30" s="1"/>
  <c r="G31"/>
  <c r="K31" s="1"/>
  <c r="G32"/>
  <c r="K32" s="1"/>
  <c r="G33"/>
  <c r="K33" s="1"/>
  <c r="G34"/>
  <c r="K34" s="1"/>
  <c r="G35"/>
  <c r="K35" s="1"/>
  <c r="G36"/>
  <c r="K36" s="1"/>
  <c r="G37"/>
  <c r="K37" s="1"/>
  <c r="G38"/>
  <c r="K38" s="1"/>
  <c r="G39"/>
  <c r="K39" s="1"/>
  <c r="G40"/>
  <c r="K40" s="1"/>
  <c r="G41"/>
  <c r="K41" s="1"/>
  <c r="G42"/>
  <c r="K42" s="1"/>
  <c r="G43"/>
  <c r="K43" s="1"/>
  <c r="G44"/>
  <c r="K44" s="1"/>
  <c r="F17"/>
  <c r="J17" s="1"/>
  <c r="F18"/>
  <c r="J18" s="1"/>
  <c r="F19"/>
  <c r="J19" s="1"/>
  <c r="F20"/>
  <c r="J20" s="1"/>
  <c r="F21"/>
  <c r="J21" s="1"/>
  <c r="F22"/>
  <c r="J22" s="1"/>
  <c r="F23"/>
  <c r="J23" s="1"/>
  <c r="F24"/>
  <c r="J24" s="1"/>
  <c r="F25"/>
  <c r="J25" s="1"/>
  <c r="F26"/>
  <c r="J26" s="1"/>
  <c r="F27"/>
  <c r="J27" s="1"/>
  <c r="F28"/>
  <c r="J28" s="1"/>
  <c r="F29"/>
  <c r="J29" s="1"/>
  <c r="F30"/>
  <c r="J30" s="1"/>
  <c r="F31"/>
  <c r="J31" s="1"/>
  <c r="F32"/>
  <c r="J32" s="1"/>
  <c r="F33"/>
  <c r="J33" s="1"/>
  <c r="F34"/>
  <c r="J34" s="1"/>
  <c r="F35"/>
  <c r="J35" s="1"/>
  <c r="F36"/>
  <c r="J36" s="1"/>
  <c r="F37"/>
  <c r="J37" s="1"/>
  <c r="F38"/>
  <c r="J38" s="1"/>
  <c r="F39"/>
  <c r="J39" s="1"/>
  <c r="F40"/>
  <c r="J40" s="1"/>
  <c r="F41"/>
  <c r="J41" s="1"/>
  <c r="F42"/>
  <c r="J42" s="1"/>
  <c r="F43"/>
  <c r="J43" s="1"/>
  <c r="F44"/>
  <c r="J44" s="1"/>
  <c r="AW6" i="66" l="1"/>
  <c r="AU6"/>
  <c r="AS6"/>
  <c r="AQ6"/>
  <c r="AO6"/>
  <c r="AM6"/>
  <c r="AK6"/>
  <c r="AI6"/>
  <c r="AG6"/>
  <c r="AE6"/>
  <c r="AC6"/>
  <c r="AA6"/>
  <c r="Y6"/>
  <c r="W6"/>
  <c r="U6"/>
  <c r="S6"/>
  <c r="Q6"/>
  <c r="O6"/>
  <c r="M6"/>
  <c r="K6"/>
  <c r="I6"/>
  <c r="G6"/>
  <c r="E6"/>
  <c r="C6"/>
  <c r="AY7"/>
  <c r="AW7"/>
  <c r="AU7"/>
  <c r="AS7"/>
  <c r="AQ7"/>
  <c r="AO7"/>
  <c r="AM7"/>
  <c r="AJ7"/>
  <c r="AH7"/>
  <c r="AF7"/>
  <c r="AD7"/>
  <c r="AB7"/>
  <c r="Z7"/>
  <c r="X7"/>
  <c r="V7"/>
  <c r="T7"/>
  <c r="R7"/>
  <c r="P7"/>
  <c r="N7"/>
  <c r="L7"/>
  <c r="J7"/>
  <c r="H7"/>
  <c r="F7"/>
  <c r="D7"/>
  <c r="AK7"/>
  <c r="AX6"/>
  <c r="B6"/>
  <c r="B17" s="1"/>
  <c r="AV6"/>
  <c r="AT6"/>
  <c r="AR6"/>
  <c r="AP6"/>
  <c r="AN6"/>
  <c r="AL6"/>
  <c r="AJ6"/>
  <c r="AH6"/>
  <c r="AF6"/>
  <c r="AD6"/>
  <c r="AB6"/>
  <c r="Z6"/>
  <c r="X6"/>
  <c r="V6"/>
  <c r="T6"/>
  <c r="R6"/>
  <c r="P6"/>
  <c r="N6"/>
  <c r="L6"/>
  <c r="J6"/>
  <c r="H6"/>
  <c r="F6"/>
  <c r="D6"/>
  <c r="B7"/>
  <c r="B18" s="1"/>
  <c r="AX7"/>
  <c r="AV7"/>
  <c r="AT7"/>
  <c r="AR7"/>
  <c r="AP7"/>
  <c r="AN7"/>
  <c r="AL7"/>
  <c r="AI7"/>
  <c r="AG7"/>
  <c r="AE7"/>
  <c r="AC7"/>
  <c r="AA7"/>
  <c r="Y7"/>
  <c r="W7"/>
  <c r="U7"/>
  <c r="S7"/>
  <c r="Q7"/>
  <c r="O7"/>
  <c r="M7"/>
  <c r="K7"/>
  <c r="I7"/>
  <c r="G7"/>
  <c r="E7"/>
  <c r="C7"/>
  <c r="AY8"/>
  <c r="AW8"/>
  <c r="AU8"/>
  <c r="AS8"/>
  <c r="AQ8"/>
  <c r="AO8"/>
  <c r="AM8"/>
  <c r="AK8"/>
  <c r="AI8"/>
  <c r="AG8"/>
  <c r="AE8"/>
  <c r="AC8"/>
  <c r="AA8"/>
  <c r="Y8"/>
  <c r="W8"/>
  <c r="U8"/>
  <c r="S8"/>
  <c r="Q8"/>
  <c r="O8"/>
  <c r="M8"/>
  <c r="K8"/>
  <c r="I8"/>
  <c r="G8"/>
  <c r="E8"/>
  <c r="C8"/>
  <c r="AX9"/>
  <c r="AV9"/>
  <c r="AT9"/>
  <c r="AR9"/>
  <c r="AP9"/>
  <c r="AN9"/>
  <c r="AL9"/>
  <c r="AJ9"/>
  <c r="AH9"/>
  <c r="AF9"/>
  <c r="AD9"/>
  <c r="AB9"/>
  <c r="Z9"/>
  <c r="X9"/>
  <c r="V9"/>
  <c r="T9"/>
  <c r="R9"/>
  <c r="P9"/>
  <c r="N9"/>
  <c r="L9"/>
  <c r="J9"/>
  <c r="H9"/>
  <c r="F9"/>
  <c r="D9"/>
  <c r="B9"/>
  <c r="B20" s="1"/>
  <c r="B8"/>
  <c r="B19" s="1"/>
  <c r="AX8"/>
  <c r="AV8"/>
  <c r="AT8"/>
  <c r="AR8"/>
  <c r="AP8"/>
  <c r="AN8"/>
  <c r="AL8"/>
  <c r="AJ8"/>
  <c r="AH8"/>
  <c r="AF8"/>
  <c r="AD8"/>
  <c r="AB8"/>
  <c r="Z8"/>
  <c r="X8"/>
  <c r="V8"/>
  <c r="T8"/>
  <c r="R8"/>
  <c r="P8"/>
  <c r="N8"/>
  <c r="L8"/>
  <c r="J8"/>
  <c r="H8"/>
  <c r="F8"/>
  <c r="D8"/>
  <c r="AY9"/>
  <c r="AW9"/>
  <c r="AU9"/>
  <c r="AS9"/>
  <c r="AQ9"/>
  <c r="AO9"/>
  <c r="AM9"/>
  <c r="AK9"/>
  <c r="AI9"/>
  <c r="AG9"/>
  <c r="AE9"/>
  <c r="AC9"/>
  <c r="AA9"/>
  <c r="Y9"/>
  <c r="W9"/>
  <c r="U9"/>
  <c r="S9"/>
  <c r="Q9"/>
  <c r="O9"/>
  <c r="M9"/>
  <c r="K9"/>
  <c r="I9"/>
  <c r="G9"/>
  <c r="E9"/>
  <c r="C18"/>
  <c r="C46"/>
  <c r="D46" s="1"/>
  <c r="C47"/>
  <c r="D69"/>
  <c r="D70"/>
  <c r="D47"/>
  <c r="E47" s="1"/>
  <c r="E69"/>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E70"/>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D92"/>
  <c r="E92" s="1"/>
  <c r="F92"/>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D93"/>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C115"/>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C116"/>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D138"/>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D139"/>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C184"/>
  <c r="C185"/>
  <c r="D16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D162"/>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D184"/>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D185"/>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B12"/>
  <c r="B23" s="1"/>
  <c r="B10"/>
  <c r="B21" s="1"/>
  <c r="F13"/>
  <c r="D13"/>
  <c r="F12"/>
  <c r="D12"/>
  <c r="F11"/>
  <c r="D11"/>
  <c r="F10"/>
  <c r="D10"/>
  <c r="H10"/>
  <c r="J10"/>
  <c r="L10"/>
  <c r="N10"/>
  <c r="P10"/>
  <c r="R10"/>
  <c r="T10"/>
  <c r="V10"/>
  <c r="X10"/>
  <c r="Z10"/>
  <c r="AB10"/>
  <c r="AD10"/>
  <c r="AF10"/>
  <c r="AH10"/>
  <c r="AJ10"/>
  <c r="AL10"/>
  <c r="AN10"/>
  <c r="AP10"/>
  <c r="AR10"/>
  <c r="AT10"/>
  <c r="AV10"/>
  <c r="AX10"/>
  <c r="G11"/>
  <c r="I11"/>
  <c r="K11"/>
  <c r="M11"/>
  <c r="O11"/>
  <c r="Q11"/>
  <c r="S11"/>
  <c r="U11"/>
  <c r="W11"/>
  <c r="Y11"/>
  <c r="AA11"/>
  <c r="AC11"/>
  <c r="AE11"/>
  <c r="AG11"/>
  <c r="AI11"/>
  <c r="AK11"/>
  <c r="AM11"/>
  <c r="AO11"/>
  <c r="AQ11"/>
  <c r="AS11"/>
  <c r="AU11"/>
  <c r="AW11"/>
  <c r="AY11"/>
  <c r="H12"/>
  <c r="J12"/>
  <c r="L12"/>
  <c r="N12"/>
  <c r="P12"/>
  <c r="R12"/>
  <c r="T12"/>
  <c r="V12"/>
  <c r="X12"/>
  <c r="Z12"/>
  <c r="AB12"/>
  <c r="AD12"/>
  <c r="AF12"/>
  <c r="AH12"/>
  <c r="AJ12"/>
  <c r="AL12"/>
  <c r="AN12"/>
  <c r="AP12"/>
  <c r="AR12"/>
  <c r="AT12"/>
  <c r="AV12"/>
  <c r="AX12"/>
  <c r="G13"/>
  <c r="I13"/>
  <c r="K13"/>
  <c r="M13"/>
  <c r="O13"/>
  <c r="Q13"/>
  <c r="S13"/>
  <c r="U13"/>
  <c r="W13"/>
  <c r="Y13"/>
  <c r="AA13"/>
  <c r="AC13"/>
  <c r="AE13"/>
  <c r="AG13"/>
  <c r="AI13"/>
  <c r="AK13"/>
  <c r="AM13"/>
  <c r="AO13"/>
  <c r="AQ13"/>
  <c r="AS13"/>
  <c r="AU13"/>
  <c r="AW13"/>
  <c r="AY13"/>
  <c r="G10"/>
  <c r="I10"/>
  <c r="K10"/>
  <c r="M10"/>
  <c r="O10"/>
  <c r="Q10"/>
  <c r="S10"/>
  <c r="U10"/>
  <c r="W10"/>
  <c r="Y10"/>
  <c r="AA10"/>
  <c r="AC10"/>
  <c r="AE10"/>
  <c r="AG10"/>
  <c r="AI10"/>
  <c r="AK10"/>
  <c r="AM10"/>
  <c r="AO10"/>
  <c r="AQ10"/>
  <c r="AS10"/>
  <c r="AU10"/>
  <c r="AW10"/>
  <c r="AY10"/>
  <c r="H11"/>
  <c r="J11"/>
  <c r="L11"/>
  <c r="N11"/>
  <c r="P11"/>
  <c r="R11"/>
  <c r="T11"/>
  <c r="V11"/>
  <c r="X11"/>
  <c r="Z11"/>
  <c r="AB11"/>
  <c r="AD11"/>
  <c r="AF11"/>
  <c r="AH11"/>
  <c r="AJ11"/>
  <c r="AL11"/>
  <c r="AN11"/>
  <c r="AP11"/>
  <c r="AR11"/>
  <c r="AT11"/>
  <c r="AV11"/>
  <c r="AX11"/>
  <c r="G12"/>
  <c r="I12"/>
  <c r="K12"/>
  <c r="M12"/>
  <c r="O12"/>
  <c r="Q12"/>
  <c r="S12"/>
  <c r="U12"/>
  <c r="W12"/>
  <c r="Y12"/>
  <c r="AA12"/>
  <c r="AC12"/>
  <c r="AE12"/>
  <c r="AG12"/>
  <c r="AI12"/>
  <c r="AK12"/>
  <c r="AM12"/>
  <c r="AO12"/>
  <c r="AQ12"/>
  <c r="AS12"/>
  <c r="AU12"/>
  <c r="AW12"/>
  <c r="AY12"/>
  <c r="H13"/>
  <c r="J13"/>
  <c r="L13"/>
  <c r="N13"/>
  <c r="P13"/>
  <c r="R13"/>
  <c r="T13"/>
  <c r="V13"/>
  <c r="X13"/>
  <c r="Z13"/>
  <c r="AB13"/>
  <c r="AD13"/>
  <c r="AF13"/>
  <c r="AH13"/>
  <c r="AJ13"/>
  <c r="AL13"/>
  <c r="AN13"/>
  <c r="AP13"/>
  <c r="AR13"/>
  <c r="AT13"/>
  <c r="AV13"/>
  <c r="AX13"/>
  <c r="C17"/>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C19"/>
  <c r="D19" s="1"/>
  <c r="B13"/>
  <c r="B24" s="1"/>
  <c r="B11"/>
  <c r="B22" s="1"/>
  <c r="E13"/>
  <c r="C13"/>
  <c r="E12"/>
  <c r="C12"/>
  <c r="E11"/>
  <c r="C11"/>
  <c r="C22" s="1"/>
  <c r="D22" s="1"/>
  <c r="E10"/>
  <c r="C10"/>
  <c r="C21" s="1"/>
  <c r="D21" s="1"/>
  <c r="C20"/>
  <c r="D20" s="1"/>
  <c r="AH16"/>
  <c r="G54" i="43"/>
  <c r="F54"/>
  <c r="E54"/>
  <c r="D54"/>
  <c r="C54"/>
  <c r="C50"/>
  <c r="C45"/>
  <c r="E45" s="1"/>
  <c r="D42"/>
  <c r="C42"/>
  <c r="D41"/>
  <c r="C41"/>
  <c r="E41" s="1"/>
  <c r="G38"/>
  <c r="E38"/>
  <c r="G37"/>
  <c r="E37"/>
  <c r="C37"/>
  <c r="G36"/>
  <c r="E36"/>
  <c r="C36"/>
  <c r="C38" s="1"/>
  <c r="G35"/>
  <c r="E35"/>
  <c r="G34"/>
  <c r="E34"/>
  <c r="C34"/>
  <c r="C35" s="1"/>
  <c r="G33"/>
  <c r="G32"/>
  <c r="E32"/>
  <c r="E33" s="1"/>
  <c r="C32"/>
  <c r="C33" s="1"/>
  <c r="H31"/>
  <c r="H38" s="1"/>
  <c r="F31"/>
  <c r="F38" s="1"/>
  <c r="D31"/>
  <c r="K16" i="13"/>
  <c r="F16"/>
  <c r="J16" s="1"/>
  <c r="F49" s="1"/>
  <c r="I16"/>
  <c r="F48" s="1"/>
  <c r="N30" i="46"/>
  <c r="N31"/>
  <c r="N32"/>
  <c r="N33"/>
  <c r="N34"/>
  <c r="N35"/>
  <c r="N36"/>
  <c r="N37"/>
  <c r="N38"/>
  <c r="N39"/>
  <c r="N40"/>
  <c r="N41"/>
  <c r="N42"/>
  <c r="N43"/>
  <c r="N44"/>
  <c r="N45"/>
  <c r="N46"/>
  <c r="N47"/>
  <c r="N48"/>
  <c r="N49"/>
  <c r="N50"/>
  <c r="N51"/>
  <c r="N52"/>
  <c r="N53"/>
  <c r="N54"/>
  <c r="N55"/>
  <c r="N56"/>
  <c r="N57"/>
  <c r="N58"/>
  <c r="N59"/>
  <c r="N60"/>
  <c r="N61"/>
  <c r="N62"/>
  <c r="N63"/>
  <c r="N64"/>
  <c r="N65"/>
  <c r="N66"/>
  <c r="N67"/>
  <c r="N68"/>
  <c r="N69"/>
  <c r="N70"/>
  <c r="N71"/>
  <c r="N72"/>
  <c r="N73"/>
  <c r="N74"/>
  <c r="N75"/>
  <c r="N76"/>
  <c r="N77"/>
  <c r="N78"/>
  <c r="N79"/>
  <c r="N80"/>
  <c r="N81"/>
  <c r="N82"/>
  <c r="N83"/>
  <c r="N84"/>
  <c r="N85"/>
  <c r="N86"/>
  <c r="N87"/>
  <c r="N88"/>
  <c r="N89"/>
  <c r="N90"/>
  <c r="N91"/>
  <c r="N92"/>
  <c r="N93"/>
  <c r="N94"/>
  <c r="N95"/>
  <c r="N96"/>
  <c r="N97"/>
  <c r="N98"/>
  <c r="N99"/>
  <c r="N100"/>
  <c r="N101"/>
  <c r="N102"/>
  <c r="N103"/>
  <c r="N104"/>
  <c r="N105"/>
  <c r="N106"/>
  <c r="N107"/>
  <c r="N108"/>
  <c r="N109"/>
  <c r="N110"/>
  <c r="N111"/>
  <c r="N112"/>
  <c r="N113"/>
  <c r="N114"/>
  <c r="N115"/>
  <c r="N116"/>
  <c r="N117"/>
  <c r="N118"/>
  <c r="N119"/>
  <c r="N120"/>
  <c r="N121"/>
  <c r="N122"/>
  <c r="N123"/>
  <c r="N124"/>
  <c r="N125"/>
  <c r="N126"/>
  <c r="N127"/>
  <c r="N128"/>
  <c r="N129"/>
  <c r="N130"/>
  <c r="N131"/>
  <c r="N132"/>
  <c r="N133"/>
  <c r="N134"/>
  <c r="N135"/>
  <c r="N136"/>
  <c r="N137"/>
  <c r="N138"/>
  <c r="N139"/>
  <c r="N140"/>
  <c r="N141"/>
  <c r="N142"/>
  <c r="N143"/>
  <c r="N144"/>
  <c r="N145"/>
  <c r="N146"/>
  <c r="N147"/>
  <c r="N148"/>
  <c r="N149"/>
  <c r="N150"/>
  <c r="N151"/>
  <c r="N152"/>
  <c r="N153"/>
  <c r="N154"/>
  <c r="N155"/>
  <c r="N156"/>
  <c r="N157"/>
  <c r="N158"/>
  <c r="N159"/>
  <c r="N160"/>
  <c r="N161"/>
  <c r="N162"/>
  <c r="N163"/>
  <c r="N164"/>
  <c r="N165"/>
  <c r="N166"/>
  <c r="N167"/>
  <c r="N168"/>
  <c r="N169"/>
  <c r="N170"/>
  <c r="N171"/>
  <c r="N172"/>
  <c r="N173"/>
  <c r="N174"/>
  <c r="N175"/>
  <c r="N176"/>
  <c r="N177"/>
  <c r="N178"/>
  <c r="N179"/>
  <c r="N180"/>
  <c r="N181"/>
  <c r="N182"/>
  <c r="N183"/>
  <c r="N184"/>
  <c r="N185"/>
  <c r="N186"/>
  <c r="N187"/>
  <c r="N188"/>
  <c r="N189"/>
  <c r="N190"/>
  <c r="N191"/>
  <c r="N192"/>
  <c r="N193"/>
  <c r="N194"/>
  <c r="N195"/>
  <c r="N196"/>
  <c r="N197"/>
  <c r="N198"/>
  <c r="N199"/>
  <c r="N200"/>
  <c r="N201"/>
  <c r="N202"/>
  <c r="N203"/>
  <c r="N204"/>
  <c r="N205"/>
  <c r="N206"/>
  <c r="N207"/>
  <c r="N208"/>
  <c r="N209"/>
  <c r="N210"/>
  <c r="N211"/>
  <c r="N212"/>
  <c r="N213"/>
  <c r="N214"/>
  <c r="N215"/>
  <c r="N216"/>
  <c r="N217"/>
  <c r="N218"/>
  <c r="N219"/>
  <c r="N220"/>
  <c r="N221"/>
  <c r="N222"/>
  <c r="N223"/>
  <c r="N224"/>
  <c r="N225"/>
  <c r="N226"/>
  <c r="N227"/>
  <c r="N228"/>
  <c r="N229"/>
  <c r="N230"/>
  <c r="N231"/>
  <c r="N232"/>
  <c r="N233"/>
  <c r="N234"/>
  <c r="N235"/>
  <c r="N236"/>
  <c r="N237"/>
  <c r="N238"/>
  <c r="N239"/>
  <c r="N240"/>
  <c r="N241"/>
  <c r="N242"/>
  <c r="N243"/>
  <c r="N244"/>
  <c r="N245"/>
  <c r="N246"/>
  <c r="N247"/>
  <c r="N248"/>
  <c r="N249"/>
  <c r="N250"/>
  <c r="N251"/>
  <c r="N252"/>
  <c r="N253"/>
  <c r="N254"/>
  <c r="N255"/>
  <c r="N256"/>
  <c r="N257"/>
  <c r="N258"/>
  <c r="N259"/>
  <c r="N260"/>
  <c r="N261"/>
  <c r="N262"/>
  <c r="N263"/>
  <c r="N264"/>
  <c r="N265"/>
  <c r="N266"/>
  <c r="N267"/>
  <c r="N268"/>
  <c r="N269"/>
  <c r="N270"/>
  <c r="N271"/>
  <c r="N272"/>
  <c r="N273"/>
  <c r="N274"/>
  <c r="N275"/>
  <c r="N276"/>
  <c r="N277"/>
  <c r="N278"/>
  <c r="N279"/>
  <c r="N280"/>
  <c r="N281"/>
  <c r="N282"/>
  <c r="N283"/>
  <c r="N284"/>
  <c r="N285"/>
  <c r="N286"/>
  <c r="N287"/>
  <c r="N288"/>
  <c r="N289"/>
  <c r="N290"/>
  <c r="N291"/>
  <c r="N292"/>
  <c r="N293"/>
  <c r="N294"/>
  <c r="N295"/>
  <c r="N296"/>
  <c r="N297"/>
  <c r="N298"/>
  <c r="N299"/>
  <c r="N300"/>
  <c r="N301"/>
  <c r="N302"/>
  <c r="N303"/>
  <c r="N304"/>
  <c r="N305"/>
  <c r="N306"/>
  <c r="N307"/>
  <c r="N308"/>
  <c r="N309"/>
  <c r="N310"/>
  <c r="N311"/>
  <c r="N312"/>
  <c r="N313"/>
  <c r="N314"/>
  <c r="N315"/>
  <c r="N316"/>
  <c r="N317"/>
  <c r="N318"/>
  <c r="N319"/>
  <c r="N320"/>
  <c r="N321"/>
  <c r="N322"/>
  <c r="N323"/>
  <c r="N324"/>
  <c r="N325"/>
  <c r="N326"/>
  <c r="N327"/>
  <c r="N328"/>
  <c r="N329"/>
  <c r="N330"/>
  <c r="N331"/>
  <c r="N332"/>
  <c r="N333"/>
  <c r="N334"/>
  <c r="N335"/>
  <c r="N336"/>
  <c r="N337"/>
  <c r="N338"/>
  <c r="N339"/>
  <c r="N340"/>
  <c r="N341"/>
  <c r="N342"/>
  <c r="N343"/>
  <c r="N344"/>
  <c r="N345"/>
  <c r="N346"/>
  <c r="N347"/>
  <c r="N348"/>
  <c r="N349"/>
  <c r="N350"/>
  <c r="N351"/>
  <c r="N352"/>
  <c r="N353"/>
  <c r="N354"/>
  <c r="N355"/>
  <c r="N356"/>
  <c r="N357"/>
  <c r="N358"/>
  <c r="N359"/>
  <c r="N360"/>
  <c r="K30"/>
  <c r="K31"/>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N29"/>
  <c r="K29"/>
  <c r="O360"/>
  <c r="M360"/>
  <c r="L360"/>
  <c r="I360"/>
  <c r="J360" s="1"/>
  <c r="G360"/>
  <c r="O359"/>
  <c r="M359"/>
  <c r="L359"/>
  <c r="I359"/>
  <c r="J359" s="1"/>
  <c r="G359"/>
  <c r="O358"/>
  <c r="M358"/>
  <c r="L358"/>
  <c r="I358"/>
  <c r="J358" s="1"/>
  <c r="G358"/>
  <c r="O357"/>
  <c r="M357"/>
  <c r="L357"/>
  <c r="I357"/>
  <c r="J357" s="1"/>
  <c r="G357"/>
  <c r="O356"/>
  <c r="M356"/>
  <c r="L356"/>
  <c r="I356"/>
  <c r="J356" s="1"/>
  <c r="G356"/>
  <c r="O355"/>
  <c r="M355"/>
  <c r="L355"/>
  <c r="I355"/>
  <c r="J355" s="1"/>
  <c r="G355"/>
  <c r="O354"/>
  <c r="M354"/>
  <c r="L354"/>
  <c r="I354"/>
  <c r="J354" s="1"/>
  <c r="G354"/>
  <c r="O353"/>
  <c r="M353"/>
  <c r="L353"/>
  <c r="I353"/>
  <c r="J353" s="1"/>
  <c r="G353"/>
  <c r="O352"/>
  <c r="M352"/>
  <c r="L352"/>
  <c r="I352"/>
  <c r="J352" s="1"/>
  <c r="G352"/>
  <c r="O351"/>
  <c r="M351"/>
  <c r="L351"/>
  <c r="I351"/>
  <c r="J351" s="1"/>
  <c r="G351"/>
  <c r="O350"/>
  <c r="M350"/>
  <c r="L350"/>
  <c r="I350"/>
  <c r="J350" s="1"/>
  <c r="G350"/>
  <c r="O349"/>
  <c r="M349"/>
  <c r="L349"/>
  <c r="I349"/>
  <c r="J349" s="1"/>
  <c r="G349"/>
  <c r="O348"/>
  <c r="M348"/>
  <c r="L348"/>
  <c r="I348"/>
  <c r="J348" s="1"/>
  <c r="G348"/>
  <c r="O347"/>
  <c r="M347"/>
  <c r="L347"/>
  <c r="I347"/>
  <c r="J347" s="1"/>
  <c r="G347"/>
  <c r="O346"/>
  <c r="M346"/>
  <c r="L346"/>
  <c r="I346"/>
  <c r="J346" s="1"/>
  <c r="G346"/>
  <c r="O345"/>
  <c r="M345"/>
  <c r="L345"/>
  <c r="I345"/>
  <c r="J345" s="1"/>
  <c r="G345"/>
  <c r="O344"/>
  <c r="M344"/>
  <c r="L344"/>
  <c r="I344"/>
  <c r="J344" s="1"/>
  <c r="G344"/>
  <c r="O343"/>
  <c r="M343"/>
  <c r="L343"/>
  <c r="I343"/>
  <c r="J343" s="1"/>
  <c r="G343"/>
  <c r="O342"/>
  <c r="M342"/>
  <c r="L342"/>
  <c r="I342"/>
  <c r="J342" s="1"/>
  <c r="G342"/>
  <c r="O341"/>
  <c r="M341"/>
  <c r="L341"/>
  <c r="I341"/>
  <c r="J341" s="1"/>
  <c r="G341"/>
  <c r="O340"/>
  <c r="M340"/>
  <c r="L340"/>
  <c r="I340"/>
  <c r="J340" s="1"/>
  <c r="G340"/>
  <c r="O339"/>
  <c r="M339"/>
  <c r="L339"/>
  <c r="I339"/>
  <c r="J339" s="1"/>
  <c r="G339"/>
  <c r="O338"/>
  <c r="M338"/>
  <c r="L338"/>
  <c r="I338"/>
  <c r="J338" s="1"/>
  <c r="G338"/>
  <c r="O337"/>
  <c r="M337"/>
  <c r="L337"/>
  <c r="I337"/>
  <c r="J337" s="1"/>
  <c r="G337"/>
  <c r="O336"/>
  <c r="M336"/>
  <c r="L336"/>
  <c r="I336"/>
  <c r="J336" s="1"/>
  <c r="G336"/>
  <c r="O335"/>
  <c r="M335"/>
  <c r="L335"/>
  <c r="I335"/>
  <c r="J335" s="1"/>
  <c r="G335"/>
  <c r="O334"/>
  <c r="M334"/>
  <c r="L334"/>
  <c r="I334"/>
  <c r="J334" s="1"/>
  <c r="G334"/>
  <c r="O333"/>
  <c r="M333"/>
  <c r="L333"/>
  <c r="I333"/>
  <c r="J333" s="1"/>
  <c r="G333"/>
  <c r="O332"/>
  <c r="M332"/>
  <c r="L332"/>
  <c r="I332"/>
  <c r="J332" s="1"/>
  <c r="G332"/>
  <c r="O331"/>
  <c r="M331"/>
  <c r="L331"/>
  <c r="I331"/>
  <c r="J331" s="1"/>
  <c r="G331"/>
  <c r="O330"/>
  <c r="M330"/>
  <c r="L330"/>
  <c r="I330"/>
  <c r="J330" s="1"/>
  <c r="G330"/>
  <c r="O329"/>
  <c r="M329"/>
  <c r="L329"/>
  <c r="I329"/>
  <c r="J329" s="1"/>
  <c r="G329"/>
  <c r="O328"/>
  <c r="M328"/>
  <c r="L328"/>
  <c r="I328"/>
  <c r="J328" s="1"/>
  <c r="G328"/>
  <c r="O327"/>
  <c r="M327"/>
  <c r="L327"/>
  <c r="I327"/>
  <c r="J327" s="1"/>
  <c r="G327"/>
  <c r="O326"/>
  <c r="M326"/>
  <c r="L326"/>
  <c r="I326"/>
  <c r="J326" s="1"/>
  <c r="G326"/>
  <c r="O325"/>
  <c r="M325"/>
  <c r="L325"/>
  <c r="I325"/>
  <c r="J325" s="1"/>
  <c r="G325"/>
  <c r="O324"/>
  <c r="M324"/>
  <c r="L324"/>
  <c r="I324"/>
  <c r="J324" s="1"/>
  <c r="G324"/>
  <c r="O323"/>
  <c r="M323"/>
  <c r="L323"/>
  <c r="I323"/>
  <c r="J323" s="1"/>
  <c r="G323"/>
  <c r="O322"/>
  <c r="M322"/>
  <c r="L322"/>
  <c r="I322"/>
  <c r="J322" s="1"/>
  <c r="G322"/>
  <c r="O321"/>
  <c r="M321"/>
  <c r="L321"/>
  <c r="I321"/>
  <c r="J321" s="1"/>
  <c r="G321"/>
  <c r="O320"/>
  <c r="M320"/>
  <c r="L320"/>
  <c r="I320"/>
  <c r="J320" s="1"/>
  <c r="G320"/>
  <c r="O319"/>
  <c r="M319"/>
  <c r="L319"/>
  <c r="I319"/>
  <c r="J319" s="1"/>
  <c r="G319"/>
  <c r="O318"/>
  <c r="M318"/>
  <c r="L318"/>
  <c r="I318"/>
  <c r="J318" s="1"/>
  <c r="G318"/>
  <c r="O317"/>
  <c r="M317"/>
  <c r="L317"/>
  <c r="I317"/>
  <c r="J317" s="1"/>
  <c r="G317"/>
  <c r="O316"/>
  <c r="M316"/>
  <c r="L316"/>
  <c r="I316"/>
  <c r="J316" s="1"/>
  <c r="G316"/>
  <c r="O315"/>
  <c r="M315"/>
  <c r="L315"/>
  <c r="I315"/>
  <c r="J315" s="1"/>
  <c r="G315"/>
  <c r="O314"/>
  <c r="M314"/>
  <c r="L314"/>
  <c r="I314"/>
  <c r="J314" s="1"/>
  <c r="G314"/>
  <c r="O313"/>
  <c r="M313"/>
  <c r="L313"/>
  <c r="I313"/>
  <c r="J313" s="1"/>
  <c r="G313"/>
  <c r="O312"/>
  <c r="M312"/>
  <c r="L312"/>
  <c r="I312"/>
  <c r="J312" s="1"/>
  <c r="G312"/>
  <c r="O311"/>
  <c r="M311"/>
  <c r="L311"/>
  <c r="I311"/>
  <c r="J311" s="1"/>
  <c r="G311"/>
  <c r="O310"/>
  <c r="M310"/>
  <c r="L310"/>
  <c r="I310"/>
  <c r="J310" s="1"/>
  <c r="G310"/>
  <c r="O309"/>
  <c r="M309"/>
  <c r="L309"/>
  <c r="I309"/>
  <c r="J309" s="1"/>
  <c r="G309"/>
  <c r="O308"/>
  <c r="M308"/>
  <c r="L308"/>
  <c r="I308"/>
  <c r="J308" s="1"/>
  <c r="G308"/>
  <c r="O307"/>
  <c r="M307"/>
  <c r="L307"/>
  <c r="I307"/>
  <c r="J307" s="1"/>
  <c r="G307"/>
  <c r="O306"/>
  <c r="M306"/>
  <c r="L306"/>
  <c r="I306"/>
  <c r="J306" s="1"/>
  <c r="G306"/>
  <c r="O305"/>
  <c r="M305"/>
  <c r="L305"/>
  <c r="I305"/>
  <c r="J305" s="1"/>
  <c r="G305"/>
  <c r="O304"/>
  <c r="M304"/>
  <c r="L304"/>
  <c r="I304"/>
  <c r="J304" s="1"/>
  <c r="G304"/>
  <c r="O303"/>
  <c r="M303"/>
  <c r="L303"/>
  <c r="I303"/>
  <c r="J303" s="1"/>
  <c r="G303"/>
  <c r="O302"/>
  <c r="M302"/>
  <c r="L302"/>
  <c r="I302"/>
  <c r="J302" s="1"/>
  <c r="G302"/>
  <c r="O301"/>
  <c r="M301"/>
  <c r="L301"/>
  <c r="I301"/>
  <c r="J301" s="1"/>
  <c r="G301"/>
  <c r="O300"/>
  <c r="M300"/>
  <c r="L300"/>
  <c r="I300"/>
  <c r="J300" s="1"/>
  <c r="G300"/>
  <c r="O299"/>
  <c r="M299"/>
  <c r="L299"/>
  <c r="I299"/>
  <c r="J299" s="1"/>
  <c r="G299"/>
  <c r="O298"/>
  <c r="M298"/>
  <c r="L298"/>
  <c r="I298"/>
  <c r="J298" s="1"/>
  <c r="G298"/>
  <c r="O297"/>
  <c r="M297"/>
  <c r="L297"/>
  <c r="I297"/>
  <c r="J297" s="1"/>
  <c r="G297"/>
  <c r="O296"/>
  <c r="M296"/>
  <c r="L296"/>
  <c r="I296"/>
  <c r="J296" s="1"/>
  <c r="G296"/>
  <c r="O295"/>
  <c r="M295"/>
  <c r="L295"/>
  <c r="I295"/>
  <c r="J295" s="1"/>
  <c r="G295"/>
  <c r="O294"/>
  <c r="M294"/>
  <c r="L294"/>
  <c r="I294"/>
  <c r="J294" s="1"/>
  <c r="G294"/>
  <c r="O293"/>
  <c r="M293"/>
  <c r="L293"/>
  <c r="I293"/>
  <c r="J293" s="1"/>
  <c r="G293"/>
  <c r="O292"/>
  <c r="M292"/>
  <c r="L292"/>
  <c r="I292"/>
  <c r="J292" s="1"/>
  <c r="G292"/>
  <c r="O291"/>
  <c r="M291"/>
  <c r="L291"/>
  <c r="I291"/>
  <c r="J291" s="1"/>
  <c r="G291"/>
  <c r="O290"/>
  <c r="M290"/>
  <c r="L290"/>
  <c r="I290"/>
  <c r="J290" s="1"/>
  <c r="G290"/>
  <c r="O289"/>
  <c r="M289"/>
  <c r="L289"/>
  <c r="I289"/>
  <c r="J289" s="1"/>
  <c r="G289"/>
  <c r="O288"/>
  <c r="M288"/>
  <c r="L288"/>
  <c r="I288"/>
  <c r="J288" s="1"/>
  <c r="G288"/>
  <c r="O287"/>
  <c r="M287"/>
  <c r="L287"/>
  <c r="I287"/>
  <c r="J287" s="1"/>
  <c r="G287"/>
  <c r="O286"/>
  <c r="M286"/>
  <c r="L286"/>
  <c r="I286"/>
  <c r="J286" s="1"/>
  <c r="G286"/>
  <c r="O285"/>
  <c r="M285"/>
  <c r="L285"/>
  <c r="I285"/>
  <c r="J285" s="1"/>
  <c r="G285"/>
  <c r="O284"/>
  <c r="M284"/>
  <c r="L284"/>
  <c r="I284"/>
  <c r="J284" s="1"/>
  <c r="G284"/>
  <c r="O283"/>
  <c r="M283"/>
  <c r="L283"/>
  <c r="I283"/>
  <c r="J283" s="1"/>
  <c r="G283"/>
  <c r="O282"/>
  <c r="M282"/>
  <c r="L282"/>
  <c r="I282"/>
  <c r="J282" s="1"/>
  <c r="G282"/>
  <c r="O281"/>
  <c r="M281"/>
  <c r="L281"/>
  <c r="I281"/>
  <c r="J281" s="1"/>
  <c r="G281"/>
  <c r="O280"/>
  <c r="M280"/>
  <c r="L280"/>
  <c r="I280"/>
  <c r="J280" s="1"/>
  <c r="G280"/>
  <c r="O279"/>
  <c r="M279"/>
  <c r="L279"/>
  <c r="I279"/>
  <c r="J279" s="1"/>
  <c r="G279"/>
  <c r="O278"/>
  <c r="M278"/>
  <c r="L278"/>
  <c r="I278"/>
  <c r="J278" s="1"/>
  <c r="G278"/>
  <c r="O277"/>
  <c r="M277"/>
  <c r="L277"/>
  <c r="I277"/>
  <c r="J277" s="1"/>
  <c r="G277"/>
  <c r="O276"/>
  <c r="M276"/>
  <c r="L276"/>
  <c r="I276"/>
  <c r="J276" s="1"/>
  <c r="G276"/>
  <c r="O275"/>
  <c r="M275"/>
  <c r="L275"/>
  <c r="I275"/>
  <c r="J275" s="1"/>
  <c r="G275"/>
  <c r="O274"/>
  <c r="M274"/>
  <c r="L274"/>
  <c r="I274"/>
  <c r="J274" s="1"/>
  <c r="G274"/>
  <c r="O273"/>
  <c r="M273"/>
  <c r="L273"/>
  <c r="I273"/>
  <c r="J273" s="1"/>
  <c r="G273"/>
  <c r="O272"/>
  <c r="M272"/>
  <c r="L272"/>
  <c r="I272"/>
  <c r="J272" s="1"/>
  <c r="G272"/>
  <c r="O271"/>
  <c r="M271"/>
  <c r="L271"/>
  <c r="I271"/>
  <c r="J271" s="1"/>
  <c r="G271"/>
  <c r="O270"/>
  <c r="M270"/>
  <c r="L270"/>
  <c r="I270"/>
  <c r="J270" s="1"/>
  <c r="G270"/>
  <c r="O269"/>
  <c r="M269"/>
  <c r="L269"/>
  <c r="I269"/>
  <c r="J269" s="1"/>
  <c r="G269"/>
  <c r="O268"/>
  <c r="M268"/>
  <c r="L268"/>
  <c r="I268"/>
  <c r="J268" s="1"/>
  <c r="G268"/>
  <c r="O267"/>
  <c r="M267"/>
  <c r="L267"/>
  <c r="I267"/>
  <c r="J267" s="1"/>
  <c r="G267"/>
  <c r="O266"/>
  <c r="M266"/>
  <c r="L266"/>
  <c r="I266"/>
  <c r="J266" s="1"/>
  <c r="G266"/>
  <c r="O265"/>
  <c r="M265"/>
  <c r="L265"/>
  <c r="I265"/>
  <c r="J265" s="1"/>
  <c r="G265"/>
  <c r="O264"/>
  <c r="M264"/>
  <c r="L264"/>
  <c r="I264"/>
  <c r="J264" s="1"/>
  <c r="G264"/>
  <c r="O263"/>
  <c r="M263"/>
  <c r="L263"/>
  <c r="I263"/>
  <c r="J263" s="1"/>
  <c r="G263"/>
  <c r="O262"/>
  <c r="M262"/>
  <c r="L262"/>
  <c r="I262"/>
  <c r="J262" s="1"/>
  <c r="G262"/>
  <c r="O261"/>
  <c r="M261"/>
  <c r="L261"/>
  <c r="I261"/>
  <c r="J261" s="1"/>
  <c r="G261"/>
  <c r="O260"/>
  <c r="M260"/>
  <c r="L260"/>
  <c r="I260"/>
  <c r="J260" s="1"/>
  <c r="G260"/>
  <c r="O259"/>
  <c r="M259"/>
  <c r="L259"/>
  <c r="I259"/>
  <c r="J259" s="1"/>
  <c r="G259"/>
  <c r="O258"/>
  <c r="M258"/>
  <c r="L258"/>
  <c r="I258"/>
  <c r="J258" s="1"/>
  <c r="G258"/>
  <c r="O257"/>
  <c r="M257"/>
  <c r="L257"/>
  <c r="I257"/>
  <c r="J257" s="1"/>
  <c r="G257"/>
  <c r="O256"/>
  <c r="M256"/>
  <c r="L256"/>
  <c r="I256"/>
  <c r="J256" s="1"/>
  <c r="G256"/>
  <c r="O255"/>
  <c r="M255"/>
  <c r="L255"/>
  <c r="I255"/>
  <c r="J255" s="1"/>
  <c r="G255"/>
  <c r="O254"/>
  <c r="M254"/>
  <c r="L254"/>
  <c r="I254"/>
  <c r="J254" s="1"/>
  <c r="G254"/>
  <c r="O253"/>
  <c r="M253"/>
  <c r="L253"/>
  <c r="I253"/>
  <c r="J253" s="1"/>
  <c r="G253"/>
  <c r="O252"/>
  <c r="M252"/>
  <c r="L252"/>
  <c r="I252"/>
  <c r="J252" s="1"/>
  <c r="G252"/>
  <c r="O251"/>
  <c r="M251"/>
  <c r="L251"/>
  <c r="I251"/>
  <c r="J251" s="1"/>
  <c r="G251"/>
  <c r="O250"/>
  <c r="M250"/>
  <c r="L250"/>
  <c r="I250"/>
  <c r="J250" s="1"/>
  <c r="G250"/>
  <c r="O249"/>
  <c r="M249"/>
  <c r="L249"/>
  <c r="I249"/>
  <c r="J249" s="1"/>
  <c r="G249"/>
  <c r="O248"/>
  <c r="M248"/>
  <c r="L248"/>
  <c r="I248"/>
  <c r="J248" s="1"/>
  <c r="G248"/>
  <c r="O247"/>
  <c r="M247"/>
  <c r="L247"/>
  <c r="I247"/>
  <c r="J247" s="1"/>
  <c r="G247"/>
  <c r="O246"/>
  <c r="M246"/>
  <c r="L246"/>
  <c r="I246"/>
  <c r="J246" s="1"/>
  <c r="G246"/>
  <c r="O245"/>
  <c r="M245"/>
  <c r="L245"/>
  <c r="I245"/>
  <c r="J245" s="1"/>
  <c r="G245"/>
  <c r="O244"/>
  <c r="M244"/>
  <c r="L244"/>
  <c r="I244"/>
  <c r="J244" s="1"/>
  <c r="G244"/>
  <c r="O243"/>
  <c r="M243"/>
  <c r="L243"/>
  <c r="I243"/>
  <c r="J243" s="1"/>
  <c r="G243"/>
  <c r="O242"/>
  <c r="M242"/>
  <c r="L242"/>
  <c r="I242"/>
  <c r="J242" s="1"/>
  <c r="G242"/>
  <c r="O241"/>
  <c r="M241"/>
  <c r="L241"/>
  <c r="I241"/>
  <c r="J241" s="1"/>
  <c r="G241"/>
  <c r="O240"/>
  <c r="M240"/>
  <c r="L240"/>
  <c r="I240"/>
  <c r="J240" s="1"/>
  <c r="G240"/>
  <c r="O239"/>
  <c r="M239"/>
  <c r="L239"/>
  <c r="I239"/>
  <c r="J239" s="1"/>
  <c r="G239"/>
  <c r="O238"/>
  <c r="M238"/>
  <c r="L238"/>
  <c r="I238"/>
  <c r="J238" s="1"/>
  <c r="G238"/>
  <c r="O237"/>
  <c r="M237"/>
  <c r="L237"/>
  <c r="I237"/>
  <c r="J237" s="1"/>
  <c r="G237"/>
  <c r="O236"/>
  <c r="M236"/>
  <c r="L236"/>
  <c r="I236"/>
  <c r="J236" s="1"/>
  <c r="G236"/>
  <c r="O235"/>
  <c r="M235"/>
  <c r="L235"/>
  <c r="I235"/>
  <c r="J235" s="1"/>
  <c r="G235"/>
  <c r="O234"/>
  <c r="M234"/>
  <c r="L234"/>
  <c r="I234"/>
  <c r="J234" s="1"/>
  <c r="G234"/>
  <c r="O233"/>
  <c r="M233"/>
  <c r="L233"/>
  <c r="I233"/>
  <c r="J233" s="1"/>
  <c r="G233"/>
  <c r="O232"/>
  <c r="M232"/>
  <c r="L232"/>
  <c r="I232"/>
  <c r="J232" s="1"/>
  <c r="G232"/>
  <c r="O231"/>
  <c r="M231"/>
  <c r="L231"/>
  <c r="I231"/>
  <c r="J231" s="1"/>
  <c r="G231"/>
  <c r="O230"/>
  <c r="M230"/>
  <c r="L230"/>
  <c r="I230"/>
  <c r="J230" s="1"/>
  <c r="G230"/>
  <c r="O229"/>
  <c r="M229"/>
  <c r="L229"/>
  <c r="I229"/>
  <c r="J229" s="1"/>
  <c r="G229"/>
  <c r="O228"/>
  <c r="M228"/>
  <c r="L228"/>
  <c r="I228"/>
  <c r="J228" s="1"/>
  <c r="G228"/>
  <c r="O227"/>
  <c r="M227"/>
  <c r="L227"/>
  <c r="I227"/>
  <c r="J227" s="1"/>
  <c r="G227"/>
  <c r="O226"/>
  <c r="M226"/>
  <c r="L226"/>
  <c r="I226"/>
  <c r="J226" s="1"/>
  <c r="G226"/>
  <c r="O225"/>
  <c r="M225"/>
  <c r="L225"/>
  <c r="I225"/>
  <c r="J225" s="1"/>
  <c r="G225"/>
  <c r="O224"/>
  <c r="M224"/>
  <c r="L224"/>
  <c r="I224"/>
  <c r="J224" s="1"/>
  <c r="G224"/>
  <c r="O223"/>
  <c r="M223"/>
  <c r="L223"/>
  <c r="I223"/>
  <c r="J223" s="1"/>
  <c r="G223"/>
  <c r="O222"/>
  <c r="M222"/>
  <c r="L222"/>
  <c r="I222"/>
  <c r="J222" s="1"/>
  <c r="G222"/>
  <c r="O221"/>
  <c r="M221"/>
  <c r="L221"/>
  <c r="I221"/>
  <c r="J221" s="1"/>
  <c r="G221"/>
  <c r="O220"/>
  <c r="M220"/>
  <c r="L220"/>
  <c r="I220"/>
  <c r="J220" s="1"/>
  <c r="G220"/>
  <c r="O219"/>
  <c r="M219"/>
  <c r="L219"/>
  <c r="I219"/>
  <c r="J219" s="1"/>
  <c r="G219"/>
  <c r="O218"/>
  <c r="M218"/>
  <c r="L218"/>
  <c r="I218"/>
  <c r="J218" s="1"/>
  <c r="G218"/>
  <c r="O217"/>
  <c r="M217"/>
  <c r="L217"/>
  <c r="I217"/>
  <c r="J217" s="1"/>
  <c r="G217"/>
  <c r="O216"/>
  <c r="M216"/>
  <c r="L216"/>
  <c r="I216"/>
  <c r="J216" s="1"/>
  <c r="G216"/>
  <c r="O215"/>
  <c r="M215"/>
  <c r="L215"/>
  <c r="I215"/>
  <c r="J215" s="1"/>
  <c r="G215"/>
  <c r="O214"/>
  <c r="M214"/>
  <c r="L214"/>
  <c r="I214"/>
  <c r="J214" s="1"/>
  <c r="G214"/>
  <c r="O213"/>
  <c r="M213"/>
  <c r="L213"/>
  <c r="I213"/>
  <c r="J213" s="1"/>
  <c r="G213"/>
  <c r="O212"/>
  <c r="M212"/>
  <c r="L212"/>
  <c r="I212"/>
  <c r="J212" s="1"/>
  <c r="G212"/>
  <c r="O211"/>
  <c r="M211"/>
  <c r="L211"/>
  <c r="I211"/>
  <c r="J211" s="1"/>
  <c r="G211"/>
  <c r="O210"/>
  <c r="M210"/>
  <c r="L210"/>
  <c r="I210"/>
  <c r="J210" s="1"/>
  <c r="G210"/>
  <c r="O209"/>
  <c r="M209"/>
  <c r="L209"/>
  <c r="I209"/>
  <c r="J209" s="1"/>
  <c r="G209"/>
  <c r="O208"/>
  <c r="M208"/>
  <c r="L208"/>
  <c r="I208"/>
  <c r="J208" s="1"/>
  <c r="G208"/>
  <c r="O207"/>
  <c r="M207"/>
  <c r="L207"/>
  <c r="I207"/>
  <c r="J207" s="1"/>
  <c r="G207"/>
  <c r="O206"/>
  <c r="M206"/>
  <c r="L206"/>
  <c r="I206"/>
  <c r="J206" s="1"/>
  <c r="G206"/>
  <c r="O205"/>
  <c r="M205"/>
  <c r="L205"/>
  <c r="I205"/>
  <c r="J205" s="1"/>
  <c r="G205"/>
  <c r="O204"/>
  <c r="M204"/>
  <c r="L204"/>
  <c r="I204"/>
  <c r="J204" s="1"/>
  <c r="G204"/>
  <c r="O203"/>
  <c r="M203"/>
  <c r="L203"/>
  <c r="I203"/>
  <c r="J203" s="1"/>
  <c r="G203"/>
  <c r="O202"/>
  <c r="M202"/>
  <c r="L202"/>
  <c r="I202"/>
  <c r="J202" s="1"/>
  <c r="G202"/>
  <c r="O201"/>
  <c r="M201"/>
  <c r="L201"/>
  <c r="I201"/>
  <c r="J201" s="1"/>
  <c r="G201"/>
  <c r="O200"/>
  <c r="M200"/>
  <c r="L200"/>
  <c r="I200"/>
  <c r="J200" s="1"/>
  <c r="G200"/>
  <c r="O199"/>
  <c r="M199"/>
  <c r="L199"/>
  <c r="I199"/>
  <c r="J199" s="1"/>
  <c r="G199"/>
  <c r="O198"/>
  <c r="M198"/>
  <c r="L198"/>
  <c r="I198"/>
  <c r="J198" s="1"/>
  <c r="G198"/>
  <c r="O197"/>
  <c r="M197"/>
  <c r="L197"/>
  <c r="I197"/>
  <c r="J197" s="1"/>
  <c r="G197"/>
  <c r="O196"/>
  <c r="M196"/>
  <c r="L196"/>
  <c r="I196"/>
  <c r="J196" s="1"/>
  <c r="G196"/>
  <c r="O195"/>
  <c r="M195"/>
  <c r="L195"/>
  <c r="I195"/>
  <c r="J195" s="1"/>
  <c r="G195"/>
  <c r="O194"/>
  <c r="M194"/>
  <c r="L194"/>
  <c r="I194"/>
  <c r="J194" s="1"/>
  <c r="G194"/>
  <c r="O193"/>
  <c r="M193"/>
  <c r="L193"/>
  <c r="I193"/>
  <c r="J193" s="1"/>
  <c r="G193"/>
  <c r="O192"/>
  <c r="M192"/>
  <c r="L192"/>
  <c r="I192"/>
  <c r="J192" s="1"/>
  <c r="G192"/>
  <c r="O191"/>
  <c r="M191"/>
  <c r="L191"/>
  <c r="I191"/>
  <c r="J191" s="1"/>
  <c r="G191"/>
  <c r="O190"/>
  <c r="M190"/>
  <c r="L190"/>
  <c r="I190"/>
  <c r="J190" s="1"/>
  <c r="G190"/>
  <c r="O189"/>
  <c r="M189"/>
  <c r="L189"/>
  <c r="I189"/>
  <c r="J189" s="1"/>
  <c r="G189"/>
  <c r="O188"/>
  <c r="M188"/>
  <c r="L188"/>
  <c r="I188"/>
  <c r="J188" s="1"/>
  <c r="G188"/>
  <c r="O187"/>
  <c r="M187"/>
  <c r="L187"/>
  <c r="I187"/>
  <c r="J187" s="1"/>
  <c r="G187"/>
  <c r="O186"/>
  <c r="M186"/>
  <c r="L186"/>
  <c r="I186"/>
  <c r="J186" s="1"/>
  <c r="G186"/>
  <c r="O185"/>
  <c r="M185"/>
  <c r="L185"/>
  <c r="I185"/>
  <c r="J185" s="1"/>
  <c r="G185"/>
  <c r="O184"/>
  <c r="M184"/>
  <c r="L184"/>
  <c r="I184"/>
  <c r="J184" s="1"/>
  <c r="G184"/>
  <c r="O183"/>
  <c r="M183"/>
  <c r="L183"/>
  <c r="I183"/>
  <c r="J183" s="1"/>
  <c r="G183"/>
  <c r="O182"/>
  <c r="M182"/>
  <c r="L182"/>
  <c r="I182"/>
  <c r="J182" s="1"/>
  <c r="G182"/>
  <c r="O181"/>
  <c r="M181"/>
  <c r="L181"/>
  <c r="I181"/>
  <c r="J181" s="1"/>
  <c r="G181"/>
  <c r="O180"/>
  <c r="M180"/>
  <c r="L180"/>
  <c r="I180"/>
  <c r="J180" s="1"/>
  <c r="G180"/>
  <c r="O179"/>
  <c r="M179"/>
  <c r="L179"/>
  <c r="I179"/>
  <c r="J179" s="1"/>
  <c r="G179"/>
  <c r="O178"/>
  <c r="M178"/>
  <c r="L178"/>
  <c r="I178"/>
  <c r="J178" s="1"/>
  <c r="G178"/>
  <c r="O177"/>
  <c r="M177"/>
  <c r="L177"/>
  <c r="I177"/>
  <c r="J177" s="1"/>
  <c r="G177"/>
  <c r="O176"/>
  <c r="M176"/>
  <c r="L176"/>
  <c r="I176"/>
  <c r="J176" s="1"/>
  <c r="G176"/>
  <c r="O175"/>
  <c r="M175"/>
  <c r="L175"/>
  <c r="I175"/>
  <c r="J175" s="1"/>
  <c r="G175"/>
  <c r="O174"/>
  <c r="M174"/>
  <c r="L174"/>
  <c r="I174"/>
  <c r="J174" s="1"/>
  <c r="G174"/>
  <c r="O173"/>
  <c r="M173"/>
  <c r="L173"/>
  <c r="I173"/>
  <c r="J173" s="1"/>
  <c r="G173"/>
  <c r="O172"/>
  <c r="M172"/>
  <c r="L172"/>
  <c r="I172"/>
  <c r="J172" s="1"/>
  <c r="G172"/>
  <c r="O171"/>
  <c r="M171"/>
  <c r="L171"/>
  <c r="I171"/>
  <c r="J171" s="1"/>
  <c r="G171"/>
  <c r="O170"/>
  <c r="M170"/>
  <c r="L170"/>
  <c r="I170"/>
  <c r="J170" s="1"/>
  <c r="G170"/>
  <c r="O169"/>
  <c r="M169"/>
  <c r="L169"/>
  <c r="I169"/>
  <c r="J169" s="1"/>
  <c r="G169"/>
  <c r="O168"/>
  <c r="M168"/>
  <c r="L168"/>
  <c r="I168"/>
  <c r="J168" s="1"/>
  <c r="G168"/>
  <c r="O167"/>
  <c r="M167"/>
  <c r="L167"/>
  <c r="I167"/>
  <c r="J167" s="1"/>
  <c r="G167"/>
  <c r="O166"/>
  <c r="M166"/>
  <c r="L166"/>
  <c r="I166"/>
  <c r="J166" s="1"/>
  <c r="G166"/>
  <c r="O165"/>
  <c r="M165"/>
  <c r="L165"/>
  <c r="I165"/>
  <c r="J165" s="1"/>
  <c r="G165"/>
  <c r="O164"/>
  <c r="M164"/>
  <c r="L164"/>
  <c r="I164"/>
  <c r="J164" s="1"/>
  <c r="G164"/>
  <c r="O163"/>
  <c r="M163"/>
  <c r="L163"/>
  <c r="I163"/>
  <c r="J163" s="1"/>
  <c r="G163"/>
  <c r="O162"/>
  <c r="M162"/>
  <c r="L162"/>
  <c r="I162"/>
  <c r="J162" s="1"/>
  <c r="G162"/>
  <c r="O161"/>
  <c r="M161"/>
  <c r="L161"/>
  <c r="I161"/>
  <c r="J161" s="1"/>
  <c r="G161"/>
  <c r="O160"/>
  <c r="M160"/>
  <c r="L160"/>
  <c r="I160"/>
  <c r="J160" s="1"/>
  <c r="G160"/>
  <c r="O159"/>
  <c r="M159"/>
  <c r="L159"/>
  <c r="I159"/>
  <c r="J159" s="1"/>
  <c r="G159"/>
  <c r="O158"/>
  <c r="M158"/>
  <c r="L158"/>
  <c r="I158"/>
  <c r="J158" s="1"/>
  <c r="G158"/>
  <c r="O157"/>
  <c r="M157"/>
  <c r="L157"/>
  <c r="I157"/>
  <c r="J157" s="1"/>
  <c r="G157"/>
  <c r="O156"/>
  <c r="M156"/>
  <c r="L156"/>
  <c r="I156"/>
  <c r="J156" s="1"/>
  <c r="G156"/>
  <c r="O155"/>
  <c r="M155"/>
  <c r="L155"/>
  <c r="I155"/>
  <c r="J155" s="1"/>
  <c r="G155"/>
  <c r="O154"/>
  <c r="M154"/>
  <c r="L154"/>
  <c r="I154"/>
  <c r="J154" s="1"/>
  <c r="G154"/>
  <c r="O153"/>
  <c r="M153"/>
  <c r="L153"/>
  <c r="I153"/>
  <c r="J153" s="1"/>
  <c r="G153"/>
  <c r="O152"/>
  <c r="M152"/>
  <c r="L152"/>
  <c r="I152"/>
  <c r="J152" s="1"/>
  <c r="G152"/>
  <c r="O151"/>
  <c r="M151"/>
  <c r="L151"/>
  <c r="I151"/>
  <c r="J151" s="1"/>
  <c r="G151"/>
  <c r="O150"/>
  <c r="M150"/>
  <c r="L150"/>
  <c r="I150"/>
  <c r="J150" s="1"/>
  <c r="G150"/>
  <c r="O149"/>
  <c r="M149"/>
  <c r="L149"/>
  <c r="I149"/>
  <c r="J149" s="1"/>
  <c r="G149"/>
  <c r="O148"/>
  <c r="M148"/>
  <c r="L148"/>
  <c r="I148"/>
  <c r="J148" s="1"/>
  <c r="G148"/>
  <c r="O147"/>
  <c r="M147"/>
  <c r="L147"/>
  <c r="I147"/>
  <c r="J147" s="1"/>
  <c r="G147"/>
  <c r="O146"/>
  <c r="M146"/>
  <c r="L146"/>
  <c r="I146"/>
  <c r="J146" s="1"/>
  <c r="G146"/>
  <c r="O145"/>
  <c r="M145"/>
  <c r="L145"/>
  <c r="I145"/>
  <c r="J145" s="1"/>
  <c r="G145"/>
  <c r="O144"/>
  <c r="M144"/>
  <c r="L144"/>
  <c r="I144"/>
  <c r="J144" s="1"/>
  <c r="G144"/>
  <c r="O143"/>
  <c r="M143"/>
  <c r="L143"/>
  <c r="I143"/>
  <c r="J143" s="1"/>
  <c r="G143"/>
  <c r="O142"/>
  <c r="M142"/>
  <c r="L142"/>
  <c r="I142"/>
  <c r="J142" s="1"/>
  <c r="G142"/>
  <c r="O141"/>
  <c r="M141"/>
  <c r="L141"/>
  <c r="I141"/>
  <c r="J141" s="1"/>
  <c r="G141"/>
  <c r="O140"/>
  <c r="M140"/>
  <c r="L140"/>
  <c r="I140"/>
  <c r="J140" s="1"/>
  <c r="G140"/>
  <c r="O139"/>
  <c r="M139"/>
  <c r="L139"/>
  <c r="I139"/>
  <c r="J139" s="1"/>
  <c r="G139"/>
  <c r="O138"/>
  <c r="M138"/>
  <c r="L138"/>
  <c r="I138"/>
  <c r="J138" s="1"/>
  <c r="G138"/>
  <c r="O137"/>
  <c r="M137"/>
  <c r="L137"/>
  <c r="I137"/>
  <c r="J137" s="1"/>
  <c r="G137"/>
  <c r="O136"/>
  <c r="M136"/>
  <c r="L136"/>
  <c r="I136"/>
  <c r="J136" s="1"/>
  <c r="G136"/>
  <c r="O135"/>
  <c r="M135"/>
  <c r="L135"/>
  <c r="I135"/>
  <c r="J135" s="1"/>
  <c r="G135"/>
  <c r="O134"/>
  <c r="M134"/>
  <c r="L134"/>
  <c r="I134"/>
  <c r="J134" s="1"/>
  <c r="G134"/>
  <c r="O133"/>
  <c r="M133"/>
  <c r="L133"/>
  <c r="I133"/>
  <c r="J133" s="1"/>
  <c r="G133"/>
  <c r="O132"/>
  <c r="M132"/>
  <c r="L132"/>
  <c r="I132"/>
  <c r="J132" s="1"/>
  <c r="G132"/>
  <c r="O131"/>
  <c r="M131"/>
  <c r="L131"/>
  <c r="I131"/>
  <c r="J131" s="1"/>
  <c r="G131"/>
  <c r="O130"/>
  <c r="M130"/>
  <c r="L130"/>
  <c r="I130"/>
  <c r="J130" s="1"/>
  <c r="G130"/>
  <c r="O129"/>
  <c r="M129"/>
  <c r="L129"/>
  <c r="I129"/>
  <c r="J129" s="1"/>
  <c r="G129"/>
  <c r="O128"/>
  <c r="M128"/>
  <c r="L128"/>
  <c r="I128"/>
  <c r="J128" s="1"/>
  <c r="G128"/>
  <c r="O127"/>
  <c r="M127"/>
  <c r="L127"/>
  <c r="I127"/>
  <c r="J127" s="1"/>
  <c r="G127"/>
  <c r="O126"/>
  <c r="M126"/>
  <c r="L126"/>
  <c r="I126"/>
  <c r="J126" s="1"/>
  <c r="G126"/>
  <c r="O125"/>
  <c r="M125"/>
  <c r="L125"/>
  <c r="I125"/>
  <c r="J125" s="1"/>
  <c r="G125"/>
  <c r="O124"/>
  <c r="M124"/>
  <c r="L124"/>
  <c r="I124"/>
  <c r="J124" s="1"/>
  <c r="G124"/>
  <c r="O123"/>
  <c r="M123"/>
  <c r="L123"/>
  <c r="I123"/>
  <c r="J123" s="1"/>
  <c r="G123"/>
  <c r="O122"/>
  <c r="M122"/>
  <c r="L122"/>
  <c r="I122"/>
  <c r="J122" s="1"/>
  <c r="G122"/>
  <c r="O121"/>
  <c r="M121"/>
  <c r="L121"/>
  <c r="I121"/>
  <c r="J121" s="1"/>
  <c r="G121"/>
  <c r="O120"/>
  <c r="M120"/>
  <c r="L120"/>
  <c r="I120"/>
  <c r="J120" s="1"/>
  <c r="G120"/>
  <c r="O119"/>
  <c r="M119"/>
  <c r="L119"/>
  <c r="I119"/>
  <c r="J119" s="1"/>
  <c r="G119"/>
  <c r="O118"/>
  <c r="M118"/>
  <c r="L118"/>
  <c r="I118"/>
  <c r="J118" s="1"/>
  <c r="G118"/>
  <c r="O117"/>
  <c r="M117"/>
  <c r="L117"/>
  <c r="I117"/>
  <c r="J117" s="1"/>
  <c r="G117"/>
  <c r="O116"/>
  <c r="M116"/>
  <c r="L116"/>
  <c r="I116"/>
  <c r="J116" s="1"/>
  <c r="G116"/>
  <c r="O115"/>
  <c r="M115"/>
  <c r="L115"/>
  <c r="I115"/>
  <c r="J115" s="1"/>
  <c r="G115"/>
  <c r="O114"/>
  <c r="M114"/>
  <c r="L114"/>
  <c r="I114"/>
  <c r="J114" s="1"/>
  <c r="G114"/>
  <c r="O113"/>
  <c r="M113"/>
  <c r="L113"/>
  <c r="I113"/>
  <c r="J113" s="1"/>
  <c r="G113"/>
  <c r="O112"/>
  <c r="M112"/>
  <c r="L112"/>
  <c r="I112"/>
  <c r="J112" s="1"/>
  <c r="G112"/>
  <c r="O111"/>
  <c r="M111"/>
  <c r="L111"/>
  <c r="I111"/>
  <c r="J111" s="1"/>
  <c r="G111"/>
  <c r="O110"/>
  <c r="M110"/>
  <c r="L110"/>
  <c r="I110"/>
  <c r="J110" s="1"/>
  <c r="G110"/>
  <c r="O109"/>
  <c r="M109"/>
  <c r="L109"/>
  <c r="I109"/>
  <c r="J109" s="1"/>
  <c r="G109"/>
  <c r="O108"/>
  <c r="M108"/>
  <c r="L108"/>
  <c r="I108"/>
  <c r="J108" s="1"/>
  <c r="G108"/>
  <c r="O107"/>
  <c r="M107"/>
  <c r="L107"/>
  <c r="I107"/>
  <c r="J107" s="1"/>
  <c r="G107"/>
  <c r="O106"/>
  <c r="M106"/>
  <c r="L106"/>
  <c r="I106"/>
  <c r="J106" s="1"/>
  <c r="G106"/>
  <c r="O105"/>
  <c r="M105"/>
  <c r="L105"/>
  <c r="I105"/>
  <c r="J105" s="1"/>
  <c r="G105"/>
  <c r="O104"/>
  <c r="M104"/>
  <c r="L104"/>
  <c r="I104"/>
  <c r="J104" s="1"/>
  <c r="G104"/>
  <c r="O103"/>
  <c r="M103"/>
  <c r="L103"/>
  <c r="I103"/>
  <c r="J103" s="1"/>
  <c r="G103"/>
  <c r="O102"/>
  <c r="M102"/>
  <c r="L102"/>
  <c r="I102"/>
  <c r="J102" s="1"/>
  <c r="G102"/>
  <c r="O101"/>
  <c r="M101"/>
  <c r="L101"/>
  <c r="I101"/>
  <c r="J101" s="1"/>
  <c r="G101"/>
  <c r="O100"/>
  <c r="M100"/>
  <c r="L100"/>
  <c r="I100"/>
  <c r="J100" s="1"/>
  <c r="G100"/>
  <c r="O99"/>
  <c r="M99"/>
  <c r="L99"/>
  <c r="I99"/>
  <c r="J99" s="1"/>
  <c r="G99"/>
  <c r="O98"/>
  <c r="M98"/>
  <c r="L98"/>
  <c r="I98"/>
  <c r="J98" s="1"/>
  <c r="G98"/>
  <c r="O97"/>
  <c r="M97"/>
  <c r="L97"/>
  <c r="I97"/>
  <c r="J97" s="1"/>
  <c r="G97"/>
  <c r="O96"/>
  <c r="M96"/>
  <c r="L96"/>
  <c r="I96"/>
  <c r="J96" s="1"/>
  <c r="G96"/>
  <c r="O95"/>
  <c r="M95"/>
  <c r="L95"/>
  <c r="I95"/>
  <c r="J95" s="1"/>
  <c r="G95"/>
  <c r="O94"/>
  <c r="M94"/>
  <c r="L94"/>
  <c r="I94"/>
  <c r="J94" s="1"/>
  <c r="G94"/>
  <c r="O93"/>
  <c r="M93"/>
  <c r="L93"/>
  <c r="I93"/>
  <c r="J93" s="1"/>
  <c r="G93"/>
  <c r="O92"/>
  <c r="M92"/>
  <c r="L92"/>
  <c r="I92"/>
  <c r="J92" s="1"/>
  <c r="G92"/>
  <c r="O91"/>
  <c r="M91"/>
  <c r="L91"/>
  <c r="I91"/>
  <c r="J91" s="1"/>
  <c r="G91"/>
  <c r="O90"/>
  <c r="M90"/>
  <c r="L90"/>
  <c r="I90"/>
  <c r="J90" s="1"/>
  <c r="G90"/>
  <c r="O89"/>
  <c r="M89"/>
  <c r="L89"/>
  <c r="I89"/>
  <c r="J89" s="1"/>
  <c r="G89"/>
  <c r="O88"/>
  <c r="M88"/>
  <c r="L88"/>
  <c r="I88"/>
  <c r="J88" s="1"/>
  <c r="G88"/>
  <c r="O87"/>
  <c r="M87"/>
  <c r="L87"/>
  <c r="I87"/>
  <c r="J87" s="1"/>
  <c r="G87"/>
  <c r="O86"/>
  <c r="M86"/>
  <c r="L86"/>
  <c r="I86"/>
  <c r="J86" s="1"/>
  <c r="G86"/>
  <c r="O85"/>
  <c r="M85"/>
  <c r="L85"/>
  <c r="I85"/>
  <c r="J85" s="1"/>
  <c r="G85"/>
  <c r="O84"/>
  <c r="M84"/>
  <c r="L84"/>
  <c r="I84"/>
  <c r="J84" s="1"/>
  <c r="G84"/>
  <c r="O83"/>
  <c r="M83"/>
  <c r="L83"/>
  <c r="I83"/>
  <c r="J83" s="1"/>
  <c r="G83"/>
  <c r="O82"/>
  <c r="M82"/>
  <c r="L82"/>
  <c r="I82"/>
  <c r="J82" s="1"/>
  <c r="G82"/>
  <c r="O81"/>
  <c r="M81"/>
  <c r="L81"/>
  <c r="I81"/>
  <c r="J81" s="1"/>
  <c r="G81"/>
  <c r="O80"/>
  <c r="M80"/>
  <c r="L80"/>
  <c r="I80"/>
  <c r="J80" s="1"/>
  <c r="G80"/>
  <c r="O79"/>
  <c r="M79"/>
  <c r="L79"/>
  <c r="I79"/>
  <c r="J79" s="1"/>
  <c r="G79"/>
  <c r="O78"/>
  <c r="M78"/>
  <c r="L78"/>
  <c r="I78"/>
  <c r="J78" s="1"/>
  <c r="G78"/>
  <c r="O77"/>
  <c r="M77"/>
  <c r="L77"/>
  <c r="I77"/>
  <c r="J77" s="1"/>
  <c r="G77"/>
  <c r="O76"/>
  <c r="M76"/>
  <c r="L76"/>
  <c r="I76"/>
  <c r="J76" s="1"/>
  <c r="G76"/>
  <c r="O75"/>
  <c r="M75"/>
  <c r="L75"/>
  <c r="I75"/>
  <c r="J75" s="1"/>
  <c r="G75"/>
  <c r="O74"/>
  <c r="M74"/>
  <c r="L74"/>
  <c r="I74"/>
  <c r="J74" s="1"/>
  <c r="G74"/>
  <c r="O73"/>
  <c r="M73"/>
  <c r="L73"/>
  <c r="I73"/>
  <c r="J73" s="1"/>
  <c r="G73"/>
  <c r="O72"/>
  <c r="M72"/>
  <c r="L72"/>
  <c r="I72"/>
  <c r="J72" s="1"/>
  <c r="G72"/>
  <c r="O71"/>
  <c r="M71"/>
  <c r="L71"/>
  <c r="I71"/>
  <c r="J71" s="1"/>
  <c r="G71"/>
  <c r="O70"/>
  <c r="M70"/>
  <c r="L70"/>
  <c r="I70"/>
  <c r="J70" s="1"/>
  <c r="G70"/>
  <c r="O69"/>
  <c r="M69"/>
  <c r="L69"/>
  <c r="I69"/>
  <c r="J69" s="1"/>
  <c r="G69"/>
  <c r="O68"/>
  <c r="M68"/>
  <c r="L68"/>
  <c r="I68"/>
  <c r="J68" s="1"/>
  <c r="G68"/>
  <c r="O67"/>
  <c r="M67"/>
  <c r="L67"/>
  <c r="I67"/>
  <c r="J67" s="1"/>
  <c r="G67"/>
  <c r="O66"/>
  <c r="M66"/>
  <c r="L66"/>
  <c r="I66"/>
  <c r="J66" s="1"/>
  <c r="G66"/>
  <c r="O65"/>
  <c r="M65"/>
  <c r="L65"/>
  <c r="I65"/>
  <c r="J65" s="1"/>
  <c r="G65"/>
  <c r="O64"/>
  <c r="M64"/>
  <c r="L64"/>
  <c r="I64"/>
  <c r="J64" s="1"/>
  <c r="G64"/>
  <c r="O63"/>
  <c r="M63"/>
  <c r="L63"/>
  <c r="I63"/>
  <c r="J63" s="1"/>
  <c r="G63"/>
  <c r="O62"/>
  <c r="M62"/>
  <c r="L62"/>
  <c r="I62"/>
  <c r="J62" s="1"/>
  <c r="G62"/>
  <c r="O61"/>
  <c r="M61"/>
  <c r="L61"/>
  <c r="I61"/>
  <c r="J61" s="1"/>
  <c r="G61"/>
  <c r="O60"/>
  <c r="M60"/>
  <c r="L60"/>
  <c r="I60"/>
  <c r="J60" s="1"/>
  <c r="G60"/>
  <c r="O59"/>
  <c r="M59"/>
  <c r="L59"/>
  <c r="I59"/>
  <c r="J59" s="1"/>
  <c r="G59"/>
  <c r="O58"/>
  <c r="M58"/>
  <c r="L58"/>
  <c r="I58"/>
  <c r="J58" s="1"/>
  <c r="G58"/>
  <c r="O57"/>
  <c r="M57"/>
  <c r="L57"/>
  <c r="I57"/>
  <c r="J57" s="1"/>
  <c r="G57"/>
  <c r="O56"/>
  <c r="M56"/>
  <c r="L56"/>
  <c r="I56"/>
  <c r="J56" s="1"/>
  <c r="G56"/>
  <c r="O55"/>
  <c r="M55"/>
  <c r="L55"/>
  <c r="I55"/>
  <c r="J55" s="1"/>
  <c r="G55"/>
  <c r="O54"/>
  <c r="M54"/>
  <c r="L54"/>
  <c r="I54"/>
  <c r="J54" s="1"/>
  <c r="G54"/>
  <c r="O53"/>
  <c r="M53"/>
  <c r="L53"/>
  <c r="I53"/>
  <c r="J53" s="1"/>
  <c r="G53"/>
  <c r="O52"/>
  <c r="M52"/>
  <c r="L52"/>
  <c r="I52"/>
  <c r="J52" s="1"/>
  <c r="G52"/>
  <c r="O51"/>
  <c r="M51"/>
  <c r="L51"/>
  <c r="I51"/>
  <c r="J51" s="1"/>
  <c r="G51"/>
  <c r="O50"/>
  <c r="M50"/>
  <c r="L50"/>
  <c r="I50"/>
  <c r="J50" s="1"/>
  <c r="G50"/>
  <c r="O49"/>
  <c r="M49"/>
  <c r="L49"/>
  <c r="I49"/>
  <c r="J49" s="1"/>
  <c r="G49"/>
  <c r="O48"/>
  <c r="M48"/>
  <c r="L48"/>
  <c r="I48"/>
  <c r="J48" s="1"/>
  <c r="G48"/>
  <c r="O47"/>
  <c r="M47"/>
  <c r="L47"/>
  <c r="I47"/>
  <c r="J47" s="1"/>
  <c r="G47"/>
  <c r="O46"/>
  <c r="M46"/>
  <c r="L46"/>
  <c r="I46"/>
  <c r="J46" s="1"/>
  <c r="G46"/>
  <c r="O45"/>
  <c r="M45"/>
  <c r="L45"/>
  <c r="I45"/>
  <c r="J45" s="1"/>
  <c r="G45"/>
  <c r="O44"/>
  <c r="M44"/>
  <c r="L44"/>
  <c r="I44"/>
  <c r="J44" s="1"/>
  <c r="G44"/>
  <c r="O43"/>
  <c r="M43"/>
  <c r="L43"/>
  <c r="I43"/>
  <c r="J43" s="1"/>
  <c r="G43"/>
  <c r="O42"/>
  <c r="M42"/>
  <c r="L42"/>
  <c r="I42"/>
  <c r="J42" s="1"/>
  <c r="G42"/>
  <c r="O41"/>
  <c r="M41"/>
  <c r="L41"/>
  <c r="I41"/>
  <c r="J41" s="1"/>
  <c r="G41"/>
  <c r="O40"/>
  <c r="M40"/>
  <c r="L40"/>
  <c r="I40"/>
  <c r="J40" s="1"/>
  <c r="G40"/>
  <c r="O39"/>
  <c r="M39"/>
  <c r="L39"/>
  <c r="I39"/>
  <c r="J39" s="1"/>
  <c r="G39"/>
  <c r="O38"/>
  <c r="M38"/>
  <c r="L38"/>
  <c r="I38"/>
  <c r="J38" s="1"/>
  <c r="G38"/>
  <c r="O37"/>
  <c r="M37"/>
  <c r="L37"/>
  <c r="I37"/>
  <c r="J37" s="1"/>
  <c r="G37"/>
  <c r="O36"/>
  <c r="M36"/>
  <c r="L36"/>
  <c r="I36"/>
  <c r="J36" s="1"/>
  <c r="G36"/>
  <c r="O35"/>
  <c r="M35"/>
  <c r="L35"/>
  <c r="I35"/>
  <c r="J35" s="1"/>
  <c r="G35"/>
  <c r="O34"/>
  <c r="M34"/>
  <c r="L34"/>
  <c r="I34"/>
  <c r="J34" s="1"/>
  <c r="G34"/>
  <c r="O33"/>
  <c r="M33"/>
  <c r="L33"/>
  <c r="I33"/>
  <c r="J33" s="1"/>
  <c r="G33"/>
  <c r="O32"/>
  <c r="M32"/>
  <c r="L32"/>
  <c r="I32"/>
  <c r="J32" s="1"/>
  <c r="G32"/>
  <c r="O31"/>
  <c r="M31"/>
  <c r="L31"/>
  <c r="I31"/>
  <c r="J31" s="1"/>
  <c r="G31"/>
  <c r="O30"/>
  <c r="M30"/>
  <c r="L30"/>
  <c r="I30"/>
  <c r="J30" s="1"/>
  <c r="G30"/>
  <c r="M29"/>
  <c r="O29" s="1"/>
  <c r="L29"/>
  <c r="G29"/>
  <c r="I29" s="1"/>
  <c r="J29" s="1"/>
  <c r="C24" i="16"/>
  <c r="G15" i="37"/>
  <c r="J15" s="1"/>
  <c r="J13"/>
  <c r="G8"/>
  <c r="G14"/>
  <c r="J14" s="1"/>
  <c r="J12"/>
  <c r="C9" i="55"/>
  <c r="C8"/>
  <c r="C17" i="16"/>
  <c r="C18"/>
  <c r="C12" i="49"/>
  <c r="C14"/>
  <c r="C37" i="55"/>
  <c r="C17"/>
  <c r="C18" s="1"/>
  <c r="C14"/>
  <c r="C13"/>
  <c r="C36"/>
  <c r="C34"/>
  <c r="C35" s="1"/>
  <c r="C32"/>
  <c r="C33" s="1"/>
  <c r="J19" i="36"/>
  <c r="C10" i="55"/>
  <c r="C12"/>
  <c r="C21"/>
  <c r="C5"/>
  <c r="C2"/>
  <c r="E24" i="12"/>
  <c r="D28"/>
  <c r="E13"/>
  <c r="E14"/>
  <c r="E15"/>
  <c r="E16"/>
  <c r="E21"/>
  <c r="E22"/>
  <c r="E23"/>
  <c r="C28"/>
  <c r="C31" i="55"/>
  <c r="C30"/>
  <c r="Q16" i="30"/>
  <c r="Q15"/>
  <c r="Q16" i="28"/>
  <c r="Q15"/>
  <c r="J8"/>
  <c r="L41"/>
  <c r="N18"/>
  <c r="S18" s="1"/>
  <c r="L41" i="30"/>
  <c r="J8"/>
  <c r="C28" i="55"/>
  <c r="C29"/>
  <c r="C27"/>
  <c r="C26"/>
  <c r="C25"/>
  <c r="C23"/>
  <c r="C24" s="1"/>
  <c r="C22"/>
  <c r="G23" i="42"/>
  <c r="G12"/>
  <c r="G13"/>
  <c r="G14"/>
  <c r="G15"/>
  <c r="G16"/>
  <c r="G17"/>
  <c r="G18"/>
  <c r="G19"/>
  <c r="G20"/>
  <c r="G21"/>
  <c r="G11"/>
  <c r="G22"/>
  <c r="C20" i="55"/>
  <c r="C11"/>
  <c r="D4" i="56"/>
  <c r="E4" s="1"/>
  <c r="D5"/>
  <c r="D6"/>
  <c r="D7"/>
  <c r="D8"/>
  <c r="E8" s="1"/>
  <c r="D9"/>
  <c r="D10"/>
  <c r="D11"/>
  <c r="E11" s="1"/>
  <c r="D12"/>
  <c r="D13"/>
  <c r="E13" s="1"/>
  <c r="D14"/>
  <c r="E14" s="1"/>
  <c r="D15"/>
  <c r="C4"/>
  <c r="C5"/>
  <c r="C6"/>
  <c r="C7"/>
  <c r="C8"/>
  <c r="C15"/>
  <c r="D3"/>
  <c r="C3"/>
  <c r="C7" i="55"/>
  <c r="C6"/>
  <c r="N19" i="30"/>
  <c r="S19" s="1"/>
  <c r="N16" i="28"/>
  <c r="S16" s="1"/>
  <c r="N14"/>
  <c r="C8" s="1"/>
  <c r="B5" i="25"/>
  <c r="N10" i="30"/>
  <c r="O10"/>
  <c r="C13" i="49"/>
  <c r="C16" i="43"/>
  <c r="C18" s="1"/>
  <c r="F24" i="16"/>
  <c r="D18" i="36"/>
  <c r="C10" i="37"/>
  <c r="N6" i="31"/>
  <c r="V6"/>
  <c r="J7"/>
  <c r="F8" i="25"/>
  <c r="G8"/>
  <c r="F9"/>
  <c r="G9"/>
  <c r="F10"/>
  <c r="G10"/>
  <c r="F11"/>
  <c r="G11"/>
  <c r="F12"/>
  <c r="G12"/>
  <c r="F13"/>
  <c r="G13"/>
  <c r="F14"/>
  <c r="G14"/>
  <c r="F15"/>
  <c r="G15"/>
  <c r="F16"/>
  <c r="G16"/>
  <c r="F17"/>
  <c r="G17"/>
  <c r="F18"/>
  <c r="G18"/>
  <c r="F19"/>
  <c r="G19"/>
  <c r="F20"/>
  <c r="G20"/>
  <c r="F21"/>
  <c r="G21"/>
  <c r="F22"/>
  <c r="G22"/>
  <c r="F23"/>
  <c r="G23"/>
  <c r="F24"/>
  <c r="G24"/>
  <c r="F25"/>
  <c r="G25"/>
  <c r="F26"/>
  <c r="G26"/>
  <c r="F27"/>
  <c r="G27"/>
  <c r="F28"/>
  <c r="G28"/>
  <c r="F29"/>
  <c r="G29"/>
  <c r="F30"/>
  <c r="G30"/>
  <c r="F31"/>
  <c r="G31"/>
  <c r="F32"/>
  <c r="G32"/>
  <c r="F33"/>
  <c r="G33"/>
  <c r="F34"/>
  <c r="G34"/>
  <c r="F35"/>
  <c r="G35"/>
  <c r="F36"/>
  <c r="G36"/>
  <c r="F37"/>
  <c r="G37"/>
  <c r="F38"/>
  <c r="G38"/>
  <c r="F39"/>
  <c r="G39"/>
  <c r="F40"/>
  <c r="G40"/>
  <c r="F41"/>
  <c r="G41"/>
  <c r="F42"/>
  <c r="G42"/>
  <c r="F43"/>
  <c r="G43"/>
  <c r="F44"/>
  <c r="G44"/>
  <c r="F45"/>
  <c r="G45"/>
  <c r="F46"/>
  <c r="G46"/>
  <c r="F47"/>
  <c r="G47"/>
  <c r="F48"/>
  <c r="G48"/>
  <c r="F49"/>
  <c r="G49"/>
  <c r="F50"/>
  <c r="G50"/>
  <c r="F51"/>
  <c r="G51"/>
  <c r="F52"/>
  <c r="G52"/>
  <c r="F53"/>
  <c r="G53"/>
  <c r="F54"/>
  <c r="G54"/>
  <c r="F55"/>
  <c r="G55"/>
  <c r="F56"/>
  <c r="G56"/>
  <c r="F57"/>
  <c r="G57"/>
  <c r="F58"/>
  <c r="G58"/>
  <c r="F59"/>
  <c r="G59"/>
  <c r="F60"/>
  <c r="G60"/>
  <c r="F61"/>
  <c r="G61"/>
  <c r="F62"/>
  <c r="G62"/>
  <c r="F63"/>
  <c r="G63"/>
  <c r="F64"/>
  <c r="G64"/>
  <c r="F65"/>
  <c r="G65"/>
  <c r="F66"/>
  <c r="G66"/>
  <c r="F67"/>
  <c r="G67"/>
  <c r="F68"/>
  <c r="G68"/>
  <c r="F69"/>
  <c r="G69"/>
  <c r="F70"/>
  <c r="G70"/>
  <c r="F71"/>
  <c r="G71"/>
  <c r="F72"/>
  <c r="G72"/>
  <c r="F73"/>
  <c r="G73"/>
  <c r="F74"/>
  <c r="G74"/>
  <c r="F75"/>
  <c r="G75"/>
  <c r="F76"/>
  <c r="G76"/>
  <c r="F77"/>
  <c r="G77"/>
  <c r="F78"/>
  <c r="G78"/>
  <c r="F79"/>
  <c r="G79"/>
  <c r="F80"/>
  <c r="G80"/>
  <c r="F81"/>
  <c r="G81"/>
  <c r="F82"/>
  <c r="G82"/>
  <c r="F83"/>
  <c r="G83"/>
  <c r="F84"/>
  <c r="G84"/>
  <c r="F85"/>
  <c r="G85"/>
  <c r="F86"/>
  <c r="G86"/>
  <c r="F87"/>
  <c r="G87"/>
  <c r="F88"/>
  <c r="G88"/>
  <c r="F89"/>
  <c r="G89"/>
  <c r="F90"/>
  <c r="G90"/>
  <c r="F91"/>
  <c r="G91"/>
  <c r="F92"/>
  <c r="G92"/>
  <c r="F93"/>
  <c r="G93"/>
  <c r="F94"/>
  <c r="G94"/>
  <c r="F95"/>
  <c r="G95"/>
  <c r="F96"/>
  <c r="G96"/>
  <c r="F97"/>
  <c r="G97"/>
  <c r="F98"/>
  <c r="G98"/>
  <c r="F99"/>
  <c r="G99"/>
  <c r="F100"/>
  <c r="G100"/>
  <c r="F101"/>
  <c r="G101"/>
  <c r="F102"/>
  <c r="G102"/>
  <c r="F103"/>
  <c r="G103"/>
  <c r="F104"/>
  <c r="G104"/>
  <c r="F105"/>
  <c r="G105"/>
  <c r="F106"/>
  <c r="G106"/>
  <c r="F107"/>
  <c r="G107"/>
  <c r="F108"/>
  <c r="G108"/>
  <c r="F109"/>
  <c r="G109"/>
  <c r="F110"/>
  <c r="G110"/>
  <c r="F111"/>
  <c r="G111"/>
  <c r="F112"/>
  <c r="G112"/>
  <c r="F113"/>
  <c r="G113"/>
  <c r="F114"/>
  <c r="G114"/>
  <c r="F115"/>
  <c r="G115"/>
  <c r="F116"/>
  <c r="G116"/>
  <c r="F117"/>
  <c r="G117"/>
  <c r="F118"/>
  <c r="G118"/>
  <c r="F119"/>
  <c r="G119"/>
  <c r="F120"/>
  <c r="G120"/>
  <c r="F121"/>
  <c r="G121"/>
  <c r="F122"/>
  <c r="G122"/>
  <c r="F123"/>
  <c r="G123"/>
  <c r="F124"/>
  <c r="G124"/>
  <c r="F125"/>
  <c r="G125"/>
  <c r="F126"/>
  <c r="G126"/>
  <c r="F127"/>
  <c r="G127"/>
  <c r="F128"/>
  <c r="G128"/>
  <c r="F129"/>
  <c r="G129"/>
  <c r="F130"/>
  <c r="G130"/>
  <c r="F131"/>
  <c r="G131"/>
  <c r="F132"/>
  <c r="G132"/>
  <c r="F133"/>
  <c r="G133"/>
  <c r="F134"/>
  <c r="G134"/>
  <c r="F135"/>
  <c r="G135"/>
  <c r="F136"/>
  <c r="G136"/>
  <c r="F137"/>
  <c r="G137"/>
  <c r="F138"/>
  <c r="G138"/>
  <c r="F139"/>
  <c r="G139"/>
  <c r="F140"/>
  <c r="G140"/>
  <c r="F141"/>
  <c r="G141"/>
  <c r="F142"/>
  <c r="G142"/>
  <c r="F143"/>
  <c r="G143"/>
  <c r="F144"/>
  <c r="G144"/>
  <c r="F145"/>
  <c r="G145"/>
  <c r="F146"/>
  <c r="G146"/>
  <c r="F147"/>
  <c r="G147"/>
  <c r="F148"/>
  <c r="G148"/>
  <c r="F149"/>
  <c r="G149"/>
  <c r="F150"/>
  <c r="G150"/>
  <c r="F151"/>
  <c r="G151"/>
  <c r="F152"/>
  <c r="G152"/>
  <c r="F153"/>
  <c r="G153"/>
  <c r="F154"/>
  <c r="G154"/>
  <c r="F155"/>
  <c r="G155"/>
  <c r="F156"/>
  <c r="G156"/>
  <c r="F157"/>
  <c r="G157"/>
  <c r="F158"/>
  <c r="G158"/>
  <c r="F159"/>
  <c r="G159"/>
  <c r="F160"/>
  <c r="G160"/>
  <c r="F161"/>
  <c r="G161"/>
  <c r="F162"/>
  <c r="G162"/>
  <c r="F163"/>
  <c r="G163"/>
  <c r="F164"/>
  <c r="G164"/>
  <c r="F165"/>
  <c r="G165"/>
  <c r="F166"/>
  <c r="G166"/>
  <c r="F167"/>
  <c r="G167"/>
  <c r="F168"/>
  <c r="G168"/>
  <c r="F169"/>
  <c r="G169"/>
  <c r="F170"/>
  <c r="G170"/>
  <c r="F171"/>
  <c r="G171"/>
  <c r="F172"/>
  <c r="G172"/>
  <c r="F173"/>
  <c r="G173"/>
  <c r="F174"/>
  <c r="G174"/>
  <c r="F175"/>
  <c r="G175"/>
  <c r="F176"/>
  <c r="G176"/>
  <c r="F177"/>
  <c r="G177"/>
  <c r="F178"/>
  <c r="G178"/>
  <c r="F179"/>
  <c r="G179"/>
  <c r="F180"/>
  <c r="G180"/>
  <c r="F181"/>
  <c r="G181"/>
  <c r="F182"/>
  <c r="G182"/>
  <c r="F183"/>
  <c r="G183"/>
  <c r="F184"/>
  <c r="G184"/>
  <c r="F185"/>
  <c r="G185"/>
  <c r="F186"/>
  <c r="G186"/>
  <c r="F187"/>
  <c r="G187"/>
  <c r="F188"/>
  <c r="G188"/>
  <c r="F189"/>
  <c r="G189"/>
  <c r="F190"/>
  <c r="G190"/>
  <c r="F191"/>
  <c r="G191"/>
  <c r="F192"/>
  <c r="G192"/>
  <c r="F193"/>
  <c r="G193"/>
  <c r="F194"/>
  <c r="G194"/>
  <c r="F195"/>
  <c r="G195"/>
  <c r="F196"/>
  <c r="G196"/>
  <c r="F197"/>
  <c r="G197"/>
  <c r="F198"/>
  <c r="G198"/>
  <c r="F199"/>
  <c r="G199"/>
  <c r="F200"/>
  <c r="G200"/>
  <c r="F201"/>
  <c r="G201"/>
  <c r="F202"/>
  <c r="G202"/>
  <c r="F203"/>
  <c r="G203"/>
  <c r="F204"/>
  <c r="G204"/>
  <c r="F205"/>
  <c r="G205"/>
  <c r="F206"/>
  <c r="G206"/>
  <c r="F207"/>
  <c r="G207"/>
  <c r="F208"/>
  <c r="G208"/>
  <c r="F209"/>
  <c r="G209"/>
  <c r="F210"/>
  <c r="G210"/>
  <c r="F211"/>
  <c r="G211"/>
  <c r="F212"/>
  <c r="G212"/>
  <c r="F213"/>
  <c r="G213"/>
  <c r="F214"/>
  <c r="G214"/>
  <c r="F215"/>
  <c r="G215"/>
  <c r="F216"/>
  <c r="G216"/>
  <c r="F217"/>
  <c r="G217"/>
  <c r="F218"/>
  <c r="G218"/>
  <c r="F219"/>
  <c r="G219"/>
  <c r="F220"/>
  <c r="G220"/>
  <c r="F221"/>
  <c r="G221"/>
  <c r="F222"/>
  <c r="G222"/>
  <c r="F223"/>
  <c r="G223"/>
  <c r="F224"/>
  <c r="G224"/>
  <c r="F225"/>
  <c r="G225"/>
  <c r="F226"/>
  <c r="G226"/>
  <c r="F227"/>
  <c r="G227"/>
  <c r="F228"/>
  <c r="G228"/>
  <c r="F229"/>
  <c r="G229"/>
  <c r="F230"/>
  <c r="G230"/>
  <c r="F231"/>
  <c r="G231"/>
  <c r="F232"/>
  <c r="G232"/>
  <c r="F233"/>
  <c r="G233"/>
  <c r="F234"/>
  <c r="G234"/>
  <c r="F235"/>
  <c r="G235"/>
  <c r="F236"/>
  <c r="G236"/>
  <c r="F237"/>
  <c r="G237"/>
  <c r="F238"/>
  <c r="G238"/>
  <c r="F239"/>
  <c r="G239"/>
  <c r="F240"/>
  <c r="G240"/>
  <c r="F241"/>
  <c r="G241"/>
  <c r="F242"/>
  <c r="G242"/>
  <c r="F243"/>
  <c r="G243"/>
  <c r="F244"/>
  <c r="G244"/>
  <c r="F245"/>
  <c r="G245"/>
  <c r="F246"/>
  <c r="G246"/>
  <c r="F247"/>
  <c r="G247"/>
  <c r="F248"/>
  <c r="G248"/>
  <c r="F249"/>
  <c r="G249"/>
  <c r="F250"/>
  <c r="G250"/>
  <c r="F251"/>
  <c r="G251"/>
  <c r="F252"/>
  <c r="G252"/>
  <c r="F253"/>
  <c r="G253"/>
  <c r="F254"/>
  <c r="G254"/>
  <c r="F255"/>
  <c r="G255"/>
  <c r="F256"/>
  <c r="G256"/>
  <c r="F257"/>
  <c r="G257"/>
  <c r="F258"/>
  <c r="G258"/>
  <c r="F259"/>
  <c r="G259"/>
  <c r="F260"/>
  <c r="G260"/>
  <c r="F261"/>
  <c r="G261"/>
  <c r="F262"/>
  <c r="G262"/>
  <c r="F263"/>
  <c r="G263"/>
  <c r="F264"/>
  <c r="G264"/>
  <c r="F265"/>
  <c r="G265"/>
  <c r="F266"/>
  <c r="G266"/>
  <c r="F267"/>
  <c r="G267"/>
  <c r="F268"/>
  <c r="G268"/>
  <c r="F269"/>
  <c r="G269"/>
  <c r="F270"/>
  <c r="G270"/>
  <c r="F271"/>
  <c r="G271"/>
  <c r="F272"/>
  <c r="G272"/>
  <c r="F273"/>
  <c r="G273"/>
  <c r="F274"/>
  <c r="G274"/>
  <c r="F275"/>
  <c r="G275"/>
  <c r="F276"/>
  <c r="G276"/>
  <c r="F277"/>
  <c r="G277"/>
  <c r="F278"/>
  <c r="G278"/>
  <c r="F279"/>
  <c r="G279"/>
  <c r="F280"/>
  <c r="G280"/>
  <c r="F281"/>
  <c r="G281"/>
  <c r="F282"/>
  <c r="G282"/>
  <c r="F283"/>
  <c r="G283"/>
  <c r="F284"/>
  <c r="G284"/>
  <c r="F285"/>
  <c r="G285"/>
  <c r="F286"/>
  <c r="G286"/>
  <c r="F287"/>
  <c r="G287"/>
  <c r="F288"/>
  <c r="G288"/>
  <c r="F289"/>
  <c r="G289"/>
  <c r="F290"/>
  <c r="G290"/>
  <c r="F291"/>
  <c r="G291"/>
  <c r="F292"/>
  <c r="G292"/>
  <c r="F293"/>
  <c r="G293"/>
  <c r="F294"/>
  <c r="G294"/>
  <c r="F295"/>
  <c r="G295"/>
  <c r="F296"/>
  <c r="G296"/>
  <c r="F297"/>
  <c r="G297"/>
  <c r="F298"/>
  <c r="G298"/>
  <c r="F299"/>
  <c r="G299"/>
  <c r="F300"/>
  <c r="G300"/>
  <c r="F301"/>
  <c r="G301"/>
  <c r="F302"/>
  <c r="G302"/>
  <c r="F303"/>
  <c r="G303"/>
  <c r="F304"/>
  <c r="G304"/>
  <c r="F305"/>
  <c r="G305"/>
  <c r="F306"/>
  <c r="G306"/>
  <c r="F307"/>
  <c r="G307"/>
  <c r="F308"/>
  <c r="G308"/>
  <c r="F309"/>
  <c r="G309"/>
  <c r="F310"/>
  <c r="G310"/>
  <c r="F311"/>
  <c r="G311"/>
  <c r="F312"/>
  <c r="G312"/>
  <c r="F313"/>
  <c r="G313"/>
  <c r="F314"/>
  <c r="G314"/>
  <c r="F315"/>
  <c r="G315"/>
  <c r="F316"/>
  <c r="G316"/>
  <c r="F317"/>
  <c r="G317"/>
  <c r="F318"/>
  <c r="G318"/>
  <c r="F319"/>
  <c r="G319"/>
  <c r="F320"/>
  <c r="G320"/>
  <c r="F321"/>
  <c r="G321"/>
  <c r="F322"/>
  <c r="G322"/>
  <c r="F323"/>
  <c r="G323"/>
  <c r="F324"/>
  <c r="G324"/>
  <c r="F325"/>
  <c r="G325"/>
  <c r="F326"/>
  <c r="G326"/>
  <c r="F327"/>
  <c r="G327"/>
  <c r="F328"/>
  <c r="G328"/>
  <c r="F329"/>
  <c r="G329"/>
  <c r="F330"/>
  <c r="G330"/>
  <c r="F331"/>
  <c r="G331"/>
  <c r="F332"/>
  <c r="G332"/>
  <c r="F333"/>
  <c r="G333"/>
  <c r="F334"/>
  <c r="G334"/>
  <c r="F335"/>
  <c r="G335"/>
  <c r="F336"/>
  <c r="G336"/>
  <c r="F337"/>
  <c r="G337"/>
  <c r="F338"/>
  <c r="G338"/>
  <c r="F339"/>
  <c r="G339"/>
  <c r="F340"/>
  <c r="G340"/>
  <c r="F341"/>
  <c r="G341"/>
  <c r="F342"/>
  <c r="G342"/>
  <c r="F343"/>
  <c r="G343"/>
  <c r="F344"/>
  <c r="G344"/>
  <c r="F345"/>
  <c r="G345"/>
  <c r="F346"/>
  <c r="G346"/>
  <c r="F347"/>
  <c r="G347"/>
  <c r="F348"/>
  <c r="G348"/>
  <c r="F349"/>
  <c r="G349"/>
  <c r="F350"/>
  <c r="G350"/>
  <c r="F351"/>
  <c r="G351"/>
  <c r="F352"/>
  <c r="G352"/>
  <c r="F353"/>
  <c r="G353"/>
  <c r="F354"/>
  <c r="G354"/>
  <c r="F355"/>
  <c r="G355"/>
  <c r="F356"/>
  <c r="G356"/>
  <c r="F357"/>
  <c r="G357"/>
  <c r="F358"/>
  <c r="G358"/>
  <c r="F359"/>
  <c r="G359"/>
  <c r="F360"/>
  <c r="G360"/>
  <c r="F361"/>
  <c r="G361"/>
  <c r="F362"/>
  <c r="G362"/>
  <c r="F363"/>
  <c r="G363"/>
  <c r="F364"/>
  <c r="G364"/>
  <c r="F365"/>
  <c r="G365"/>
  <c r="F366"/>
  <c r="G366"/>
  <c r="F367"/>
  <c r="G367"/>
  <c r="F368"/>
  <c r="G368"/>
  <c r="F369"/>
  <c r="G369"/>
  <c r="F370"/>
  <c r="G370"/>
  <c r="F371"/>
  <c r="G371"/>
  <c r="F372"/>
  <c r="G372"/>
  <c r="F373"/>
  <c r="G373"/>
  <c r="F374"/>
  <c r="G374"/>
  <c r="F375"/>
  <c r="G375"/>
  <c r="F376"/>
  <c r="G376"/>
  <c r="F377"/>
  <c r="G377"/>
  <c r="F378"/>
  <c r="G378"/>
  <c r="F379"/>
  <c r="G379"/>
  <c r="F380"/>
  <c r="G380"/>
  <c r="F381"/>
  <c r="G381"/>
  <c r="F382"/>
  <c r="G382"/>
  <c r="F383"/>
  <c r="G383"/>
  <c r="F384"/>
  <c r="G384"/>
  <c r="F385"/>
  <c r="G385"/>
  <c r="F386"/>
  <c r="G386"/>
  <c r="F387"/>
  <c r="G387"/>
  <c r="F388"/>
  <c r="G388"/>
  <c r="F389"/>
  <c r="G389"/>
  <c r="F390"/>
  <c r="G390"/>
  <c r="F391"/>
  <c r="G391"/>
  <c r="F392"/>
  <c r="G392"/>
  <c r="F393"/>
  <c r="G393"/>
  <c r="F394"/>
  <c r="G394"/>
  <c r="F395"/>
  <c r="G395"/>
  <c r="F396"/>
  <c r="G396"/>
  <c r="F397"/>
  <c r="G397"/>
  <c r="F398"/>
  <c r="G398"/>
  <c r="F399"/>
  <c r="G399"/>
  <c r="F400"/>
  <c r="G400"/>
  <c r="F401"/>
  <c r="G401"/>
  <c r="F402"/>
  <c r="G402"/>
  <c r="F403"/>
  <c r="G403"/>
  <c r="F404"/>
  <c r="G404"/>
  <c r="F405"/>
  <c r="G405"/>
  <c r="F406"/>
  <c r="G406"/>
  <c r="F407"/>
  <c r="G407"/>
  <c r="F408"/>
  <c r="G408"/>
  <c r="F409"/>
  <c r="G409"/>
  <c r="F410"/>
  <c r="G410"/>
  <c r="F411"/>
  <c r="G411"/>
  <c r="F412"/>
  <c r="G412"/>
  <c r="F413"/>
  <c r="G413"/>
  <c r="F414"/>
  <c r="G414"/>
  <c r="F415"/>
  <c r="G415"/>
  <c r="F416"/>
  <c r="G416"/>
  <c r="F417"/>
  <c r="G417"/>
  <c r="F418"/>
  <c r="G418"/>
  <c r="F419"/>
  <c r="G419"/>
  <c r="F420"/>
  <c r="G420"/>
  <c r="F421"/>
  <c r="G421"/>
  <c r="F422"/>
  <c r="G422"/>
  <c r="F423"/>
  <c r="G423"/>
  <c r="F424"/>
  <c r="G424"/>
  <c r="F425"/>
  <c r="G425"/>
  <c r="F426"/>
  <c r="G426"/>
  <c r="F427"/>
  <c r="G427"/>
  <c r="F428"/>
  <c r="G428"/>
  <c r="F429"/>
  <c r="G429"/>
  <c r="F430"/>
  <c r="G430"/>
  <c r="F431"/>
  <c r="G431"/>
  <c r="F432"/>
  <c r="G432"/>
  <c r="F433"/>
  <c r="G433"/>
  <c r="F434"/>
  <c r="G434"/>
  <c r="F435"/>
  <c r="G435"/>
  <c r="F436"/>
  <c r="G436"/>
  <c r="F437"/>
  <c r="G437"/>
  <c r="F438"/>
  <c r="G438"/>
  <c r="F439"/>
  <c r="G439"/>
  <c r="F440"/>
  <c r="G440"/>
  <c r="F441"/>
  <c r="G441"/>
  <c r="F442"/>
  <c r="G442"/>
  <c r="F443"/>
  <c r="G443"/>
  <c r="F444"/>
  <c r="G444"/>
  <c r="F445"/>
  <c r="G445"/>
  <c r="F446"/>
  <c r="G446"/>
  <c r="F447"/>
  <c r="G447"/>
  <c r="F448"/>
  <c r="G448"/>
  <c r="F449"/>
  <c r="G449"/>
  <c r="F450"/>
  <c r="G450"/>
  <c r="F451"/>
  <c r="G451"/>
  <c r="F452"/>
  <c r="G452"/>
  <c r="F453"/>
  <c r="G453"/>
  <c r="F454"/>
  <c r="G454"/>
  <c r="F455"/>
  <c r="G455"/>
  <c r="F456"/>
  <c r="G456"/>
  <c r="F457"/>
  <c r="G457"/>
  <c r="F458"/>
  <c r="G458"/>
  <c r="F459"/>
  <c r="G459"/>
  <c r="F460"/>
  <c r="G460"/>
  <c r="F461"/>
  <c r="G461"/>
  <c r="F462"/>
  <c r="G462"/>
  <c r="F463"/>
  <c r="G463"/>
  <c r="F464"/>
  <c r="G464"/>
  <c r="F465"/>
  <c r="G465"/>
  <c r="F466"/>
  <c r="G466"/>
  <c r="F467"/>
  <c r="G467"/>
  <c r="F468"/>
  <c r="G468"/>
  <c r="F469"/>
  <c r="G469"/>
  <c r="F470"/>
  <c r="G470"/>
  <c r="F471"/>
  <c r="G471"/>
  <c r="F472"/>
  <c r="G472"/>
  <c r="F473"/>
  <c r="G473"/>
  <c r="F474"/>
  <c r="G474"/>
  <c r="F475"/>
  <c r="G475"/>
  <c r="F476"/>
  <c r="G476"/>
  <c r="F477"/>
  <c r="G477"/>
  <c r="F478"/>
  <c r="G478"/>
  <c r="F479"/>
  <c r="G479"/>
  <c r="F480"/>
  <c r="G480"/>
  <c r="F481"/>
  <c r="G481"/>
  <c r="F482"/>
  <c r="G482"/>
  <c r="F483"/>
  <c r="G483"/>
  <c r="F484"/>
  <c r="G484"/>
  <c r="F485"/>
  <c r="G485"/>
  <c r="F486"/>
  <c r="G486"/>
  <c r="F487"/>
  <c r="G487"/>
  <c r="F488"/>
  <c r="G488"/>
  <c r="F489"/>
  <c r="G489"/>
  <c r="F490"/>
  <c r="G490"/>
  <c r="F491"/>
  <c r="G491"/>
  <c r="F492"/>
  <c r="G492"/>
  <c r="F493"/>
  <c r="G493"/>
  <c r="F494"/>
  <c r="G494"/>
  <c r="F495"/>
  <c r="G495"/>
  <c r="F496"/>
  <c r="G496"/>
  <c r="F497"/>
  <c r="G497"/>
  <c r="F498"/>
  <c r="G498"/>
  <c r="F499"/>
  <c r="G499"/>
  <c r="F500"/>
  <c r="G500"/>
  <c r="F501"/>
  <c r="G501"/>
  <c r="F502"/>
  <c r="G502"/>
  <c r="F503"/>
  <c r="G503"/>
  <c r="F504"/>
  <c r="G504"/>
  <c r="F505"/>
  <c r="G505"/>
  <c r="F506"/>
  <c r="G506"/>
  <c r="F507"/>
  <c r="G507"/>
  <c r="F508"/>
  <c r="G508"/>
  <c r="F509"/>
  <c r="G509"/>
  <c r="F510"/>
  <c r="G510"/>
  <c r="F511"/>
  <c r="G511"/>
  <c r="F512"/>
  <c r="G512"/>
  <c r="F513"/>
  <c r="G513"/>
  <c r="F514"/>
  <c r="G514"/>
  <c r="F515"/>
  <c r="G515"/>
  <c r="F516"/>
  <c r="G516"/>
  <c r="F517"/>
  <c r="G517"/>
  <c r="F518"/>
  <c r="G518"/>
  <c r="F519"/>
  <c r="G519"/>
  <c r="F520"/>
  <c r="G520"/>
  <c r="F521"/>
  <c r="G521"/>
  <c r="F522"/>
  <c r="G522"/>
  <c r="F523"/>
  <c r="G523"/>
  <c r="F524"/>
  <c r="G524"/>
  <c r="F525"/>
  <c r="G525"/>
  <c r="F526"/>
  <c r="G526"/>
  <c r="F527"/>
  <c r="G527"/>
  <c r="F528"/>
  <c r="G528"/>
  <c r="F529"/>
  <c r="G529"/>
  <c r="F530"/>
  <c r="G530"/>
  <c r="F531"/>
  <c r="G531"/>
  <c r="F532"/>
  <c r="G532"/>
  <c r="F533"/>
  <c r="G533"/>
  <c r="F534"/>
  <c r="G534"/>
  <c r="F535"/>
  <c r="G535"/>
  <c r="F536"/>
  <c r="G536"/>
  <c r="F537"/>
  <c r="G537"/>
  <c r="F538"/>
  <c r="G538"/>
  <c r="F539"/>
  <c r="G539"/>
  <c r="F540"/>
  <c r="G540"/>
  <c r="F541"/>
  <c r="G541"/>
  <c r="F542"/>
  <c r="G542"/>
  <c r="F543"/>
  <c r="G543"/>
  <c r="F544"/>
  <c r="G544"/>
  <c r="F545"/>
  <c r="G545"/>
  <c r="F546"/>
  <c r="G546"/>
  <c r="F547"/>
  <c r="G547"/>
  <c r="F548"/>
  <c r="G548"/>
  <c r="F549"/>
  <c r="G549"/>
  <c r="F550"/>
  <c r="G550"/>
  <c r="F551"/>
  <c r="G551"/>
  <c r="F552"/>
  <c r="G552"/>
  <c r="F553"/>
  <c r="G553"/>
  <c r="F554"/>
  <c r="G554"/>
  <c r="F555"/>
  <c r="G555"/>
  <c r="F556"/>
  <c r="G556"/>
  <c r="F557"/>
  <c r="G557"/>
  <c r="F558"/>
  <c r="G558"/>
  <c r="F559"/>
  <c r="G559"/>
  <c r="F560"/>
  <c r="G560"/>
  <c r="F561"/>
  <c r="G561"/>
  <c r="F562"/>
  <c r="G562"/>
  <c r="F563"/>
  <c r="G563"/>
  <c r="F564"/>
  <c r="G564"/>
  <c r="F565"/>
  <c r="G565"/>
  <c r="F566"/>
  <c r="G566"/>
  <c r="F567"/>
  <c r="G567"/>
  <c r="F568"/>
  <c r="G568"/>
  <c r="F569"/>
  <c r="G569"/>
  <c r="F570"/>
  <c r="G570"/>
  <c r="F571"/>
  <c r="G571"/>
  <c r="F572"/>
  <c r="G572"/>
  <c r="F573"/>
  <c r="G573"/>
  <c r="F574"/>
  <c r="G574"/>
  <c r="F575"/>
  <c r="G575"/>
  <c r="F576"/>
  <c r="G576"/>
  <c r="F577"/>
  <c r="G577"/>
  <c r="F578"/>
  <c r="G578"/>
  <c r="F579"/>
  <c r="G579"/>
  <c r="F580"/>
  <c r="G580"/>
  <c r="F581"/>
  <c r="G581"/>
  <c r="F582"/>
  <c r="G582"/>
  <c r="F583"/>
  <c r="G583"/>
  <c r="F584"/>
  <c r="G584"/>
  <c r="F585"/>
  <c r="G585"/>
  <c r="F586"/>
  <c r="G586"/>
  <c r="F587"/>
  <c r="G587"/>
  <c r="F588"/>
  <c r="G588"/>
  <c r="F589"/>
  <c r="G589"/>
  <c r="F590"/>
  <c r="G590"/>
  <c r="F591"/>
  <c r="G591"/>
  <c r="F592"/>
  <c r="G592"/>
  <c r="F593"/>
  <c r="G593"/>
  <c r="F594"/>
  <c r="G594"/>
  <c r="F595"/>
  <c r="G595"/>
  <c r="F596"/>
  <c r="G596"/>
  <c r="F597"/>
  <c r="G597"/>
  <c r="F598"/>
  <c r="G598"/>
  <c r="F599"/>
  <c r="G599"/>
  <c r="F600"/>
  <c r="G600"/>
  <c r="F601"/>
  <c r="G601"/>
  <c r="F602"/>
  <c r="G602"/>
  <c r="F603"/>
  <c r="G603"/>
  <c r="F604"/>
  <c r="G604"/>
  <c r="F605"/>
  <c r="G605"/>
  <c r="F606"/>
  <c r="G606"/>
  <c r="F607"/>
  <c r="G607"/>
  <c r="F608"/>
  <c r="G608"/>
  <c r="F609"/>
  <c r="G609"/>
  <c r="F610"/>
  <c r="G610"/>
  <c r="F611"/>
  <c r="G611"/>
  <c r="F612"/>
  <c r="G612"/>
  <c r="F613"/>
  <c r="G613"/>
  <c r="F614"/>
  <c r="G614"/>
  <c r="F615"/>
  <c r="G615"/>
  <c r="F616"/>
  <c r="G616"/>
  <c r="F617"/>
  <c r="G617"/>
  <c r="F618"/>
  <c r="G618"/>
  <c r="F619"/>
  <c r="G619"/>
  <c r="F620"/>
  <c r="G620"/>
  <c r="F621"/>
  <c r="G621"/>
  <c r="F622"/>
  <c r="G622"/>
  <c r="F623"/>
  <c r="G623"/>
  <c r="F624"/>
  <c r="G624"/>
  <c r="F625"/>
  <c r="G625"/>
  <c r="F626"/>
  <c r="G626"/>
  <c r="F627"/>
  <c r="G627"/>
  <c r="F628"/>
  <c r="G628"/>
  <c r="F629"/>
  <c r="G629"/>
  <c r="F630"/>
  <c r="G630"/>
  <c r="F631"/>
  <c r="G631"/>
  <c r="F632"/>
  <c r="G632"/>
  <c r="F633"/>
  <c r="G633"/>
  <c r="F634"/>
  <c r="G634"/>
  <c r="F635"/>
  <c r="G635"/>
  <c r="F636"/>
  <c r="G636"/>
  <c r="F637"/>
  <c r="G637"/>
  <c r="F638"/>
  <c r="G638"/>
  <c r="F639"/>
  <c r="G639"/>
  <c r="F640"/>
  <c r="G640"/>
  <c r="F641"/>
  <c r="G641"/>
  <c r="F642"/>
  <c r="G642"/>
  <c r="F643"/>
  <c r="G643"/>
  <c r="F644"/>
  <c r="G644"/>
  <c r="F645"/>
  <c r="G645"/>
  <c r="F646"/>
  <c r="G646"/>
  <c r="F647"/>
  <c r="G647"/>
  <c r="F648"/>
  <c r="G648"/>
  <c r="F649"/>
  <c r="G649"/>
  <c r="F650"/>
  <c r="G650"/>
  <c r="F651"/>
  <c r="G651"/>
  <c r="F652"/>
  <c r="G652"/>
  <c r="F653"/>
  <c r="G653"/>
  <c r="F654"/>
  <c r="G654"/>
  <c r="F655"/>
  <c r="G655"/>
  <c r="F656"/>
  <c r="G656"/>
  <c r="F657"/>
  <c r="G657"/>
  <c r="F658"/>
  <c r="G658"/>
  <c r="F659"/>
  <c r="G659"/>
  <c r="F660"/>
  <c r="G660"/>
  <c r="F661"/>
  <c r="G661"/>
  <c r="F662"/>
  <c r="G662"/>
  <c r="F663"/>
  <c r="G663"/>
  <c r="F664"/>
  <c r="G664"/>
  <c r="F665"/>
  <c r="G665"/>
  <c r="F666"/>
  <c r="G666"/>
  <c r="F667"/>
  <c r="G667"/>
  <c r="F668"/>
  <c r="G668"/>
  <c r="F669"/>
  <c r="G669"/>
  <c r="F670"/>
  <c r="G670"/>
  <c r="F671"/>
  <c r="G671"/>
  <c r="F672"/>
  <c r="G672"/>
  <c r="F673"/>
  <c r="G673"/>
  <c r="F674"/>
  <c r="G674"/>
  <c r="F675"/>
  <c r="G675"/>
  <c r="F676"/>
  <c r="G676"/>
  <c r="F677"/>
  <c r="G677"/>
  <c r="F678"/>
  <c r="G678"/>
  <c r="F679"/>
  <c r="G679"/>
  <c r="F680"/>
  <c r="G680"/>
  <c r="F681"/>
  <c r="G681"/>
  <c r="F682"/>
  <c r="G682"/>
  <c r="F683"/>
  <c r="G683"/>
  <c r="F684"/>
  <c r="G684"/>
  <c r="F685"/>
  <c r="G685"/>
  <c r="F686"/>
  <c r="G686"/>
  <c r="F687"/>
  <c r="G687"/>
  <c r="F688"/>
  <c r="G688"/>
  <c r="F689"/>
  <c r="G689"/>
  <c r="F690"/>
  <c r="G690"/>
  <c r="F691"/>
  <c r="G691"/>
  <c r="F692"/>
  <c r="G692"/>
  <c r="F693"/>
  <c r="G693"/>
  <c r="F694"/>
  <c r="G694"/>
  <c r="F695"/>
  <c r="G695"/>
  <c r="F696"/>
  <c r="G696"/>
  <c r="F697"/>
  <c r="G697"/>
  <c r="F698"/>
  <c r="G698"/>
  <c r="F699"/>
  <c r="G699"/>
  <c r="F700"/>
  <c r="G700"/>
  <c r="F701"/>
  <c r="G701"/>
  <c r="F702"/>
  <c r="G702"/>
  <c r="F703"/>
  <c r="G703"/>
  <c r="F704"/>
  <c r="G704"/>
  <c r="F705"/>
  <c r="G705"/>
  <c r="F706"/>
  <c r="G706"/>
  <c r="F707"/>
  <c r="G707"/>
  <c r="F708"/>
  <c r="G708"/>
  <c r="F709"/>
  <c r="G709"/>
  <c r="F710"/>
  <c r="G710"/>
  <c r="F711"/>
  <c r="G711"/>
  <c r="F712"/>
  <c r="G712"/>
  <c r="F713"/>
  <c r="G713"/>
  <c r="F714"/>
  <c r="G714"/>
  <c r="F715"/>
  <c r="G715"/>
  <c r="F716"/>
  <c r="G716"/>
  <c r="F717"/>
  <c r="G717"/>
  <c r="F718"/>
  <c r="G718"/>
  <c r="F719"/>
  <c r="G719"/>
  <c r="F720"/>
  <c r="G720"/>
  <c r="F721"/>
  <c r="G721"/>
  <c r="F722"/>
  <c r="G722"/>
  <c r="F723"/>
  <c r="G723"/>
  <c r="F724"/>
  <c r="G724"/>
  <c r="F725"/>
  <c r="G725"/>
  <c r="F726"/>
  <c r="G726"/>
  <c r="F727"/>
  <c r="G727"/>
  <c r="F728"/>
  <c r="G728"/>
  <c r="F729"/>
  <c r="G729"/>
  <c r="F730"/>
  <c r="G730"/>
  <c r="F731"/>
  <c r="G731"/>
  <c r="F732"/>
  <c r="G732"/>
  <c r="F733"/>
  <c r="G733"/>
  <c r="F734"/>
  <c r="G734"/>
  <c r="F735"/>
  <c r="G735"/>
  <c r="F736"/>
  <c r="G736"/>
  <c r="F737"/>
  <c r="G737"/>
  <c r="F738"/>
  <c r="G738"/>
  <c r="F739"/>
  <c r="G739"/>
  <c r="F740"/>
  <c r="G740"/>
  <c r="F741"/>
  <c r="G741"/>
  <c r="F742"/>
  <c r="G742"/>
  <c r="F743"/>
  <c r="G743"/>
  <c r="F744"/>
  <c r="G744"/>
  <c r="F745"/>
  <c r="G745"/>
  <c r="F746"/>
  <c r="G746"/>
  <c r="F747"/>
  <c r="G747"/>
  <c r="F748"/>
  <c r="G748"/>
  <c r="F749"/>
  <c r="G749"/>
  <c r="F750"/>
  <c r="G750"/>
  <c r="F751"/>
  <c r="G751"/>
  <c r="F752"/>
  <c r="G752"/>
  <c r="F753"/>
  <c r="G753"/>
  <c r="F754"/>
  <c r="G754"/>
  <c r="F755"/>
  <c r="G755"/>
  <c r="F756"/>
  <c r="G756"/>
  <c r="F757"/>
  <c r="G757"/>
  <c r="F758"/>
  <c r="G758"/>
  <c r="F759"/>
  <c r="G759"/>
  <c r="F760"/>
  <c r="G760"/>
  <c r="F761"/>
  <c r="G761"/>
  <c r="F762"/>
  <c r="G762"/>
  <c r="F763"/>
  <c r="G763"/>
  <c r="F764"/>
  <c r="G764"/>
  <c r="F765"/>
  <c r="G765"/>
  <c r="F766"/>
  <c r="G766"/>
  <c r="F767"/>
  <c r="G767"/>
  <c r="F768"/>
  <c r="G768"/>
  <c r="F769"/>
  <c r="G769"/>
  <c r="F770"/>
  <c r="G770"/>
  <c r="F771"/>
  <c r="G771"/>
  <c r="F772"/>
  <c r="G772"/>
  <c r="F773"/>
  <c r="G773"/>
  <c r="F774"/>
  <c r="G774"/>
  <c r="F775"/>
  <c r="G775"/>
  <c r="F776"/>
  <c r="G776"/>
  <c r="F777"/>
  <c r="G777"/>
  <c r="F778"/>
  <c r="G778"/>
  <c r="F779"/>
  <c r="G779"/>
  <c r="F780"/>
  <c r="G780"/>
  <c r="F781"/>
  <c r="G781"/>
  <c r="F782"/>
  <c r="G782"/>
  <c r="F783"/>
  <c r="G783"/>
  <c r="F784"/>
  <c r="G784"/>
  <c r="F785"/>
  <c r="G785"/>
  <c r="F786"/>
  <c r="G786"/>
  <c r="F787"/>
  <c r="G787"/>
  <c r="F788"/>
  <c r="G788"/>
  <c r="F789"/>
  <c r="G789"/>
  <c r="F790"/>
  <c r="G790"/>
  <c r="F791"/>
  <c r="G791"/>
  <c r="F792"/>
  <c r="G792"/>
  <c r="F793"/>
  <c r="G793"/>
  <c r="F794"/>
  <c r="G794"/>
  <c r="F795"/>
  <c r="G795"/>
  <c r="F796"/>
  <c r="G796"/>
  <c r="F797"/>
  <c r="G797"/>
  <c r="F798"/>
  <c r="G798"/>
  <c r="F799"/>
  <c r="G799"/>
  <c r="F800"/>
  <c r="G800"/>
  <c r="F801"/>
  <c r="G801"/>
  <c r="F802"/>
  <c r="G802"/>
  <c r="F803"/>
  <c r="G803"/>
  <c r="F804"/>
  <c r="G804"/>
  <c r="F805"/>
  <c r="G805"/>
  <c r="F806"/>
  <c r="G806"/>
  <c r="F807"/>
  <c r="G807"/>
  <c r="F808"/>
  <c r="G808"/>
  <c r="F809"/>
  <c r="G809"/>
  <c r="F810"/>
  <c r="G810"/>
  <c r="F811"/>
  <c r="G811"/>
  <c r="F812"/>
  <c r="G812"/>
  <c r="F813"/>
  <c r="G813"/>
  <c r="F814"/>
  <c r="G814"/>
  <c r="F815"/>
  <c r="G815"/>
  <c r="F816"/>
  <c r="G816"/>
  <c r="F817"/>
  <c r="G817"/>
  <c r="F818"/>
  <c r="G818"/>
  <c r="F819"/>
  <c r="G819"/>
  <c r="F820"/>
  <c r="G820"/>
  <c r="F821"/>
  <c r="G821"/>
  <c r="F822"/>
  <c r="G822"/>
  <c r="F823"/>
  <c r="G823"/>
  <c r="F824"/>
  <c r="G824"/>
  <c r="F825"/>
  <c r="G825"/>
  <c r="F826"/>
  <c r="G826"/>
  <c r="F827"/>
  <c r="G827"/>
  <c r="F828"/>
  <c r="G828"/>
  <c r="F829"/>
  <c r="G829"/>
  <c r="F830"/>
  <c r="G830"/>
  <c r="F831"/>
  <c r="G831"/>
  <c r="F832"/>
  <c r="G832"/>
  <c r="F833"/>
  <c r="G833"/>
  <c r="F834"/>
  <c r="G834"/>
  <c r="F835"/>
  <c r="G835"/>
  <c r="F836"/>
  <c r="G836"/>
  <c r="F837"/>
  <c r="G837"/>
  <c r="F838"/>
  <c r="G838"/>
  <c r="F839"/>
  <c r="G839"/>
  <c r="F840"/>
  <c r="G840"/>
  <c r="F841"/>
  <c r="G841"/>
  <c r="F842"/>
  <c r="G842"/>
  <c r="F843"/>
  <c r="G843"/>
  <c r="F844"/>
  <c r="G844"/>
  <c r="F845"/>
  <c r="G845"/>
  <c r="F846"/>
  <c r="G846"/>
  <c r="F847"/>
  <c r="G847"/>
  <c r="F848"/>
  <c r="G848"/>
  <c r="F849"/>
  <c r="G849"/>
  <c r="F850"/>
  <c r="G850"/>
  <c r="F851"/>
  <c r="G851"/>
  <c r="F852"/>
  <c r="G852"/>
  <c r="F853"/>
  <c r="G853"/>
  <c r="F854"/>
  <c r="G854"/>
  <c r="F855"/>
  <c r="G855"/>
  <c r="F856"/>
  <c r="G856"/>
  <c r="F857"/>
  <c r="G857"/>
  <c r="F858"/>
  <c r="G858"/>
  <c r="F859"/>
  <c r="G859"/>
  <c r="F860"/>
  <c r="G860"/>
  <c r="F861"/>
  <c r="G861"/>
  <c r="F862"/>
  <c r="G862"/>
  <c r="F863"/>
  <c r="G863"/>
  <c r="F864"/>
  <c r="G864"/>
  <c r="F865"/>
  <c r="G865"/>
  <c r="F866"/>
  <c r="G866"/>
  <c r="F867"/>
  <c r="G867"/>
  <c r="F868"/>
  <c r="G868"/>
  <c r="F869"/>
  <c r="G869"/>
  <c r="F870"/>
  <c r="G870"/>
  <c r="F871"/>
  <c r="G871"/>
  <c r="F872"/>
  <c r="G872"/>
  <c r="F873"/>
  <c r="G873"/>
  <c r="F874"/>
  <c r="G874"/>
  <c r="F875"/>
  <c r="G875"/>
  <c r="F876"/>
  <c r="G876"/>
  <c r="F877"/>
  <c r="G877"/>
  <c r="F878"/>
  <c r="G878"/>
  <c r="F879"/>
  <c r="G879"/>
  <c r="F880"/>
  <c r="G880"/>
  <c r="F881"/>
  <c r="G881"/>
  <c r="F882"/>
  <c r="G882"/>
  <c r="F883"/>
  <c r="G883"/>
  <c r="F884"/>
  <c r="G884"/>
  <c r="F885"/>
  <c r="G885"/>
  <c r="F886"/>
  <c r="G886"/>
  <c r="F887"/>
  <c r="G887"/>
  <c r="F888"/>
  <c r="G888"/>
  <c r="F889"/>
  <c r="G889"/>
  <c r="F890"/>
  <c r="G890"/>
  <c r="F891"/>
  <c r="G891"/>
  <c r="F892"/>
  <c r="G892"/>
  <c r="F893"/>
  <c r="G893"/>
  <c r="F894"/>
  <c r="G894"/>
  <c r="F895"/>
  <c r="G895"/>
  <c r="F896"/>
  <c r="G896"/>
  <c r="F897"/>
  <c r="G897"/>
  <c r="F898"/>
  <c r="G898"/>
  <c r="F899"/>
  <c r="G899"/>
  <c r="F900"/>
  <c r="G900"/>
  <c r="F901"/>
  <c r="G901"/>
  <c r="F902"/>
  <c r="G902"/>
  <c r="F903"/>
  <c r="G903"/>
  <c r="F904"/>
  <c r="G904"/>
  <c r="F905"/>
  <c r="G905"/>
  <c r="F906"/>
  <c r="G906"/>
  <c r="F907"/>
  <c r="G907"/>
  <c r="F908"/>
  <c r="G908"/>
  <c r="N6" i="24"/>
  <c r="V6"/>
  <c r="J7"/>
  <c r="B4" i="23"/>
  <c r="H4"/>
  <c r="F6"/>
  <c r="G6"/>
  <c r="H6"/>
  <c r="F7"/>
  <c r="G7"/>
  <c r="H7"/>
  <c r="F8"/>
  <c r="G8"/>
  <c r="H8"/>
  <c r="F9"/>
  <c r="G9"/>
  <c r="H9"/>
  <c r="F10"/>
  <c r="G10"/>
  <c r="H10"/>
  <c r="F11"/>
  <c r="G11"/>
  <c r="H11"/>
  <c r="F12"/>
  <c r="G12"/>
  <c r="H12"/>
  <c r="F13"/>
  <c r="G13"/>
  <c r="H13"/>
  <c r="F14"/>
  <c r="G14"/>
  <c r="H14"/>
  <c r="F15"/>
  <c r="G15"/>
  <c r="H15"/>
  <c r="F16"/>
  <c r="G16"/>
  <c r="H16"/>
  <c r="F17"/>
  <c r="G17"/>
  <c r="H17"/>
  <c r="F18"/>
  <c r="G18"/>
  <c r="H18"/>
  <c r="F19"/>
  <c r="G19"/>
  <c r="H19"/>
  <c r="F20"/>
  <c r="G20"/>
  <c r="H20"/>
  <c r="F21"/>
  <c r="G21"/>
  <c r="H21"/>
  <c r="F22"/>
  <c r="G22"/>
  <c r="H22"/>
  <c r="F23"/>
  <c r="G23"/>
  <c r="H23"/>
  <c r="F24"/>
  <c r="G24"/>
  <c r="H24"/>
  <c r="F25"/>
  <c r="G25"/>
  <c r="H25"/>
  <c r="F26"/>
  <c r="G26"/>
  <c r="H26"/>
  <c r="F27"/>
  <c r="G27"/>
  <c r="H27"/>
  <c r="F28"/>
  <c r="G28"/>
  <c r="H28"/>
  <c r="F29"/>
  <c r="G29"/>
  <c r="H29"/>
  <c r="F30"/>
  <c r="G30"/>
  <c r="H30"/>
  <c r="F31"/>
  <c r="G31"/>
  <c r="H31"/>
  <c r="F32"/>
  <c r="G32"/>
  <c r="H32"/>
  <c r="F33"/>
  <c r="G33"/>
  <c r="H33"/>
  <c r="F34"/>
  <c r="G34"/>
  <c r="H34"/>
  <c r="F35"/>
  <c r="G35"/>
  <c r="H35"/>
  <c r="F36"/>
  <c r="G36"/>
  <c r="H36"/>
  <c r="F37"/>
  <c r="G37"/>
  <c r="H37"/>
  <c r="F38"/>
  <c r="G38"/>
  <c r="H38"/>
  <c r="F39"/>
  <c r="G39"/>
  <c r="H39"/>
  <c r="F40"/>
  <c r="G40"/>
  <c r="H40"/>
  <c r="F41"/>
  <c r="G41"/>
  <c r="H41"/>
  <c r="F42"/>
  <c r="G42"/>
  <c r="H42"/>
  <c r="F43"/>
  <c r="G43"/>
  <c r="H43"/>
  <c r="F44"/>
  <c r="G44"/>
  <c r="H44"/>
  <c r="F45"/>
  <c r="G45"/>
  <c r="H45"/>
  <c r="F46"/>
  <c r="G46"/>
  <c r="H46"/>
  <c r="F47"/>
  <c r="G47"/>
  <c r="H47"/>
  <c r="F48"/>
  <c r="G48"/>
  <c r="H48"/>
  <c r="F49"/>
  <c r="G49"/>
  <c r="H49"/>
  <c r="F50"/>
  <c r="G50"/>
  <c r="H50"/>
  <c r="F51"/>
  <c r="G51"/>
  <c r="H51"/>
  <c r="F52"/>
  <c r="G52"/>
  <c r="H52"/>
  <c r="F53"/>
  <c r="G53"/>
  <c r="H53"/>
  <c r="F54"/>
  <c r="G54"/>
  <c r="H54"/>
  <c r="F55"/>
  <c r="G55"/>
  <c r="H55"/>
  <c r="F56"/>
  <c r="G56"/>
  <c r="H56"/>
  <c r="F57"/>
  <c r="G57"/>
  <c r="H57"/>
  <c r="F58"/>
  <c r="G58"/>
  <c r="H58"/>
  <c r="F59"/>
  <c r="G59"/>
  <c r="H59"/>
  <c r="F60"/>
  <c r="G60"/>
  <c r="H60"/>
  <c r="F61"/>
  <c r="G61"/>
  <c r="H61"/>
  <c r="F62"/>
  <c r="G62"/>
  <c r="H62"/>
  <c r="F63"/>
  <c r="G63"/>
  <c r="H63"/>
  <c r="F64"/>
  <c r="G64"/>
  <c r="H64"/>
  <c r="F65"/>
  <c r="G65"/>
  <c r="H65"/>
  <c r="F66"/>
  <c r="G66"/>
  <c r="H66"/>
  <c r="F67"/>
  <c r="G67"/>
  <c r="H67"/>
  <c r="F68"/>
  <c r="G68"/>
  <c r="H68"/>
  <c r="F69"/>
  <c r="G69"/>
  <c r="H69"/>
  <c r="F70"/>
  <c r="G70"/>
  <c r="H70"/>
  <c r="F71"/>
  <c r="G71"/>
  <c r="H71"/>
  <c r="F72"/>
  <c r="G72"/>
  <c r="H72"/>
  <c r="F73"/>
  <c r="G73"/>
  <c r="H73"/>
  <c r="F74"/>
  <c r="G74"/>
  <c r="H74"/>
  <c r="F75"/>
  <c r="G75"/>
  <c r="H75"/>
  <c r="F76"/>
  <c r="G76"/>
  <c r="H76"/>
  <c r="F77"/>
  <c r="G77"/>
  <c r="H77"/>
  <c r="F78"/>
  <c r="G78"/>
  <c r="H78"/>
  <c r="F79"/>
  <c r="G79"/>
  <c r="H79"/>
  <c r="F80"/>
  <c r="G80"/>
  <c r="H80"/>
  <c r="F81"/>
  <c r="G81"/>
  <c r="H81"/>
  <c r="F82"/>
  <c r="G82"/>
  <c r="H82"/>
  <c r="F83"/>
  <c r="G83"/>
  <c r="H83"/>
  <c r="F84"/>
  <c r="G84"/>
  <c r="H84"/>
  <c r="F85"/>
  <c r="G85"/>
  <c r="H85"/>
  <c r="F86"/>
  <c r="G86"/>
  <c r="H86"/>
  <c r="F87"/>
  <c r="G87"/>
  <c r="H87"/>
  <c r="F88"/>
  <c r="G88"/>
  <c r="H88"/>
  <c r="F89"/>
  <c r="G89"/>
  <c r="H89"/>
  <c r="F90"/>
  <c r="G90"/>
  <c r="H90"/>
  <c r="F91"/>
  <c r="G91"/>
  <c r="H91"/>
  <c r="F92"/>
  <c r="G92"/>
  <c r="H92"/>
  <c r="F93"/>
  <c r="G93"/>
  <c r="H93"/>
  <c r="F94"/>
  <c r="G94"/>
  <c r="H94"/>
  <c r="F95"/>
  <c r="G95"/>
  <c r="H95"/>
  <c r="F96"/>
  <c r="G96"/>
  <c r="H96"/>
  <c r="F97"/>
  <c r="G97"/>
  <c r="H97"/>
  <c r="F98"/>
  <c r="G98"/>
  <c r="H98"/>
  <c r="F99"/>
  <c r="G99"/>
  <c r="H99"/>
  <c r="F100"/>
  <c r="G100"/>
  <c r="H100"/>
  <c r="F101"/>
  <c r="G101"/>
  <c r="H101"/>
  <c r="F102"/>
  <c r="G102"/>
  <c r="H102"/>
  <c r="F103"/>
  <c r="G103"/>
  <c r="H103"/>
  <c r="F104"/>
  <c r="G104"/>
  <c r="H104"/>
  <c r="F105"/>
  <c r="G105"/>
  <c r="H105"/>
  <c r="F106"/>
  <c r="G106"/>
  <c r="H106"/>
  <c r="F107"/>
  <c r="G107"/>
  <c r="H107"/>
  <c r="F108"/>
  <c r="G108"/>
  <c r="H108"/>
  <c r="F109"/>
  <c r="G109"/>
  <c r="H109"/>
  <c r="F110"/>
  <c r="G110"/>
  <c r="H110"/>
  <c r="F111"/>
  <c r="G111"/>
  <c r="H111"/>
  <c r="F112"/>
  <c r="G112"/>
  <c r="H112"/>
  <c r="F113"/>
  <c r="G113"/>
  <c r="H113"/>
  <c r="F114"/>
  <c r="G114"/>
  <c r="H114"/>
  <c r="F115"/>
  <c r="G115"/>
  <c r="H115"/>
  <c r="F116"/>
  <c r="G116"/>
  <c r="H116"/>
  <c r="F117"/>
  <c r="G117"/>
  <c r="H117"/>
  <c r="F118"/>
  <c r="G118"/>
  <c r="H118"/>
  <c r="F119"/>
  <c r="G119"/>
  <c r="H119"/>
  <c r="F120"/>
  <c r="G120"/>
  <c r="H120"/>
  <c r="F121"/>
  <c r="G121"/>
  <c r="H121"/>
  <c r="F122"/>
  <c r="G122"/>
  <c r="H122"/>
  <c r="F123"/>
  <c r="G123"/>
  <c r="H123"/>
  <c r="F124"/>
  <c r="G124"/>
  <c r="H124"/>
  <c r="F125"/>
  <c r="G125"/>
  <c r="H125"/>
  <c r="F126"/>
  <c r="G126"/>
  <c r="H126"/>
  <c r="F127"/>
  <c r="G127"/>
  <c r="H127"/>
  <c r="F128"/>
  <c r="G128"/>
  <c r="H128"/>
  <c r="F129"/>
  <c r="G129"/>
  <c r="H129"/>
  <c r="F130"/>
  <c r="G130"/>
  <c r="H130"/>
  <c r="F131"/>
  <c r="G131"/>
  <c r="H131"/>
  <c r="F132"/>
  <c r="G132"/>
  <c r="H132"/>
  <c r="F133"/>
  <c r="G133"/>
  <c r="H133"/>
  <c r="F134"/>
  <c r="G134"/>
  <c r="H134"/>
  <c r="F135"/>
  <c r="G135"/>
  <c r="H135"/>
  <c r="F136"/>
  <c r="G136"/>
  <c r="H136"/>
  <c r="F137"/>
  <c r="G137"/>
  <c r="H137"/>
  <c r="F138"/>
  <c r="G138"/>
  <c r="H138"/>
  <c r="F139"/>
  <c r="G139"/>
  <c r="H139"/>
  <c r="F140"/>
  <c r="G140"/>
  <c r="H140"/>
  <c r="F141"/>
  <c r="G141"/>
  <c r="H141"/>
  <c r="F142"/>
  <c r="G142"/>
  <c r="H142"/>
  <c r="F143"/>
  <c r="G143"/>
  <c r="H143"/>
  <c r="F144"/>
  <c r="G144"/>
  <c r="H144"/>
  <c r="F145"/>
  <c r="G145"/>
  <c r="H145"/>
  <c r="F146"/>
  <c r="G146"/>
  <c r="H146"/>
  <c r="F147"/>
  <c r="G147"/>
  <c r="H147"/>
  <c r="F148"/>
  <c r="G148"/>
  <c r="H148"/>
  <c r="F149"/>
  <c r="G149"/>
  <c r="H149"/>
  <c r="F150"/>
  <c r="G150"/>
  <c r="H150"/>
  <c r="F151"/>
  <c r="G151"/>
  <c r="H151"/>
  <c r="F152"/>
  <c r="G152"/>
  <c r="H152"/>
  <c r="F153"/>
  <c r="G153"/>
  <c r="H153"/>
  <c r="F154"/>
  <c r="G154"/>
  <c r="H154"/>
  <c r="F155"/>
  <c r="G155"/>
  <c r="H155"/>
  <c r="F156"/>
  <c r="G156"/>
  <c r="H156"/>
  <c r="F157"/>
  <c r="G157"/>
  <c r="H157"/>
  <c r="F158"/>
  <c r="G158"/>
  <c r="H158"/>
  <c r="F159"/>
  <c r="G159"/>
  <c r="H159"/>
  <c r="F160"/>
  <c r="G160"/>
  <c r="H160"/>
  <c r="F161"/>
  <c r="G161"/>
  <c r="H161"/>
  <c r="F162"/>
  <c r="G162"/>
  <c r="H162"/>
  <c r="F163"/>
  <c r="G163"/>
  <c r="H163"/>
  <c r="F164"/>
  <c r="G164"/>
  <c r="H164"/>
  <c r="F165"/>
  <c r="G165"/>
  <c r="H165"/>
  <c r="F166"/>
  <c r="G166"/>
  <c r="H166"/>
  <c r="F167"/>
  <c r="G167"/>
  <c r="H167"/>
  <c r="F168"/>
  <c r="G168"/>
  <c r="H168"/>
  <c r="F169"/>
  <c r="G169"/>
  <c r="H169"/>
  <c r="F170"/>
  <c r="G170"/>
  <c r="H170"/>
  <c r="F171"/>
  <c r="G171"/>
  <c r="H171"/>
  <c r="F172"/>
  <c r="G172"/>
  <c r="H172"/>
  <c r="F173"/>
  <c r="G173"/>
  <c r="H173"/>
  <c r="F174"/>
  <c r="G174"/>
  <c r="H174"/>
  <c r="F175"/>
  <c r="G175"/>
  <c r="H175"/>
  <c r="F176"/>
  <c r="G176"/>
  <c r="H176"/>
  <c r="F177"/>
  <c r="G177"/>
  <c r="H177"/>
  <c r="F178"/>
  <c r="G178"/>
  <c r="H178"/>
  <c r="F179"/>
  <c r="G179"/>
  <c r="H179"/>
  <c r="F180"/>
  <c r="G180"/>
  <c r="H180"/>
  <c r="F181"/>
  <c r="G181"/>
  <c r="H181"/>
  <c r="F182"/>
  <c r="G182"/>
  <c r="H182"/>
  <c r="F183"/>
  <c r="G183"/>
  <c r="H183"/>
  <c r="F184"/>
  <c r="G184"/>
  <c r="H184"/>
  <c r="F185"/>
  <c r="G185"/>
  <c r="H185"/>
  <c r="F186"/>
  <c r="G186"/>
  <c r="H186"/>
  <c r="F187"/>
  <c r="G187"/>
  <c r="H187"/>
  <c r="F188"/>
  <c r="G188"/>
  <c r="H188"/>
  <c r="F189"/>
  <c r="G189"/>
  <c r="H189"/>
  <c r="F190"/>
  <c r="G190"/>
  <c r="H190"/>
  <c r="F191"/>
  <c r="G191"/>
  <c r="H191"/>
  <c r="F192"/>
  <c r="G192"/>
  <c r="H192"/>
  <c r="F193"/>
  <c r="G193"/>
  <c r="H193"/>
  <c r="F194"/>
  <c r="G194"/>
  <c r="H194"/>
  <c r="F195"/>
  <c r="G195"/>
  <c r="H195"/>
  <c r="F196"/>
  <c r="G196"/>
  <c r="H196"/>
  <c r="F197"/>
  <c r="G197"/>
  <c r="H197"/>
  <c r="F198"/>
  <c r="G198"/>
  <c r="H198"/>
  <c r="F199"/>
  <c r="G199"/>
  <c r="H199"/>
  <c r="F200"/>
  <c r="G200"/>
  <c r="H200"/>
  <c r="F201"/>
  <c r="G201"/>
  <c r="H201"/>
  <c r="F202"/>
  <c r="G202"/>
  <c r="H202"/>
  <c r="F203"/>
  <c r="G203"/>
  <c r="H203"/>
  <c r="F204"/>
  <c r="G204"/>
  <c r="H204"/>
  <c r="F205"/>
  <c r="G205"/>
  <c r="H205"/>
  <c r="F206"/>
  <c r="G206"/>
  <c r="H206"/>
  <c r="F207"/>
  <c r="G207"/>
  <c r="H207"/>
  <c r="F208"/>
  <c r="G208"/>
  <c r="H208"/>
  <c r="F209"/>
  <c r="G209"/>
  <c r="H209"/>
  <c r="F210"/>
  <c r="G210"/>
  <c r="H210"/>
  <c r="F211"/>
  <c r="G211"/>
  <c r="H211"/>
  <c r="F212"/>
  <c r="G212"/>
  <c r="H212"/>
  <c r="F213"/>
  <c r="G213"/>
  <c r="H213"/>
  <c r="F214"/>
  <c r="G214"/>
  <c r="H214"/>
  <c r="F215"/>
  <c r="G215"/>
  <c r="H215"/>
  <c r="F216"/>
  <c r="G216"/>
  <c r="H216"/>
  <c r="F217"/>
  <c r="G217"/>
  <c r="H217"/>
  <c r="F218"/>
  <c r="G218"/>
  <c r="H218"/>
  <c r="F219"/>
  <c r="G219"/>
  <c r="H219"/>
  <c r="F220"/>
  <c r="G220"/>
  <c r="H220"/>
  <c r="F221"/>
  <c r="G221"/>
  <c r="H221"/>
  <c r="F222"/>
  <c r="G222"/>
  <c r="H222"/>
  <c r="F223"/>
  <c r="G223"/>
  <c r="H223"/>
  <c r="F224"/>
  <c r="G224"/>
  <c r="H224"/>
  <c r="F225"/>
  <c r="G225"/>
  <c r="H225"/>
  <c r="F226"/>
  <c r="G226"/>
  <c r="H226"/>
  <c r="F227"/>
  <c r="G227"/>
  <c r="H227"/>
  <c r="F228"/>
  <c r="G228"/>
  <c r="H228"/>
  <c r="F229"/>
  <c r="G229"/>
  <c r="H229"/>
  <c r="F230"/>
  <c r="G230"/>
  <c r="H230"/>
  <c r="F231"/>
  <c r="G231"/>
  <c r="H231"/>
  <c r="F232"/>
  <c r="G232"/>
  <c r="H232"/>
  <c r="F233"/>
  <c r="G233"/>
  <c r="H233"/>
  <c r="F234"/>
  <c r="G234"/>
  <c r="H234"/>
  <c r="F235"/>
  <c r="G235"/>
  <c r="H235"/>
  <c r="F236"/>
  <c r="G236"/>
  <c r="H236"/>
  <c r="F237"/>
  <c r="G237"/>
  <c r="H237"/>
  <c r="F238"/>
  <c r="G238"/>
  <c r="H238"/>
  <c r="F239"/>
  <c r="G239"/>
  <c r="H239"/>
  <c r="F240"/>
  <c r="G240"/>
  <c r="H240"/>
  <c r="F241"/>
  <c r="G241"/>
  <c r="H241"/>
  <c r="F242"/>
  <c r="G242"/>
  <c r="H242"/>
  <c r="F243"/>
  <c r="G243"/>
  <c r="H243"/>
  <c r="F244"/>
  <c r="G244"/>
  <c r="H244"/>
  <c r="F245"/>
  <c r="G245"/>
  <c r="H245"/>
  <c r="F246"/>
  <c r="G246"/>
  <c r="H246"/>
  <c r="F247"/>
  <c r="G247"/>
  <c r="H247"/>
  <c r="F248"/>
  <c r="G248"/>
  <c r="H248"/>
  <c r="F249"/>
  <c r="G249"/>
  <c r="H249"/>
  <c r="F250"/>
  <c r="G250"/>
  <c r="H250"/>
  <c r="F251"/>
  <c r="G251"/>
  <c r="H251"/>
  <c r="F252"/>
  <c r="G252"/>
  <c r="H252"/>
  <c r="F253"/>
  <c r="G253"/>
  <c r="H253"/>
  <c r="F254"/>
  <c r="G254"/>
  <c r="H254"/>
  <c r="F255"/>
  <c r="G255"/>
  <c r="H255"/>
  <c r="F256"/>
  <c r="G256"/>
  <c r="H256"/>
  <c r="F257"/>
  <c r="G257"/>
  <c r="H257"/>
  <c r="F258"/>
  <c r="G258"/>
  <c r="H258"/>
  <c r="F259"/>
  <c r="G259"/>
  <c r="H259"/>
  <c r="F260"/>
  <c r="G260"/>
  <c r="H260"/>
  <c r="F261"/>
  <c r="G261"/>
  <c r="H261"/>
  <c r="F262"/>
  <c r="G262"/>
  <c r="H262"/>
  <c r="F263"/>
  <c r="G263"/>
  <c r="H263"/>
  <c r="F264"/>
  <c r="G264"/>
  <c r="H264"/>
  <c r="F265"/>
  <c r="G265"/>
  <c r="H265"/>
  <c r="F266"/>
  <c r="G266"/>
  <c r="H266"/>
  <c r="F267"/>
  <c r="G267"/>
  <c r="H267"/>
  <c r="F268"/>
  <c r="G268"/>
  <c r="H268"/>
  <c r="F269"/>
  <c r="G269"/>
  <c r="H269"/>
  <c r="F270"/>
  <c r="G270"/>
  <c r="H270"/>
  <c r="F271"/>
  <c r="G271"/>
  <c r="H271"/>
  <c r="F272"/>
  <c r="G272"/>
  <c r="H272"/>
  <c r="F273"/>
  <c r="G273"/>
  <c r="H273"/>
  <c r="F274"/>
  <c r="G274"/>
  <c r="H274"/>
  <c r="F275"/>
  <c r="G275"/>
  <c r="H275"/>
  <c r="F276"/>
  <c r="G276"/>
  <c r="H276"/>
  <c r="F277"/>
  <c r="G277"/>
  <c r="H277"/>
  <c r="F278"/>
  <c r="G278"/>
  <c r="H278"/>
  <c r="F279"/>
  <c r="G279"/>
  <c r="H279"/>
  <c r="F280"/>
  <c r="G280"/>
  <c r="H280"/>
  <c r="F281"/>
  <c r="G281"/>
  <c r="H281"/>
  <c r="F282"/>
  <c r="G282"/>
  <c r="H282"/>
  <c r="F283"/>
  <c r="G283"/>
  <c r="H283"/>
  <c r="F284"/>
  <c r="G284"/>
  <c r="H284"/>
  <c r="F285"/>
  <c r="G285"/>
  <c r="H285"/>
  <c r="F286"/>
  <c r="G286"/>
  <c r="H286"/>
  <c r="F287"/>
  <c r="G287"/>
  <c r="H287"/>
  <c r="F288"/>
  <c r="G288"/>
  <c r="H288"/>
  <c r="F289"/>
  <c r="G289"/>
  <c r="H289"/>
  <c r="F290"/>
  <c r="G290"/>
  <c r="H290"/>
  <c r="F291"/>
  <c r="G291"/>
  <c r="H291"/>
  <c r="F292"/>
  <c r="G292"/>
  <c r="H292"/>
  <c r="F293"/>
  <c r="G293"/>
  <c r="H293"/>
  <c r="F294"/>
  <c r="G294"/>
  <c r="H294"/>
  <c r="F295"/>
  <c r="G295"/>
  <c r="H295"/>
  <c r="F296"/>
  <c r="G296"/>
  <c r="H296"/>
  <c r="F297"/>
  <c r="G297"/>
  <c r="H297"/>
  <c r="F298"/>
  <c r="G298"/>
  <c r="H298"/>
  <c r="F299"/>
  <c r="G299"/>
  <c r="H299"/>
  <c r="F300"/>
  <c r="G300"/>
  <c r="H300"/>
  <c r="F301"/>
  <c r="G301"/>
  <c r="H301"/>
  <c r="F302"/>
  <c r="G302"/>
  <c r="H302"/>
  <c r="F303"/>
  <c r="G303"/>
  <c r="H303"/>
  <c r="F304"/>
  <c r="G304"/>
  <c r="H304"/>
  <c r="F305"/>
  <c r="G305"/>
  <c r="H305"/>
  <c r="F306"/>
  <c r="G306"/>
  <c r="H306"/>
  <c r="F307"/>
  <c r="G307"/>
  <c r="H307"/>
  <c r="F308"/>
  <c r="G308"/>
  <c r="H308"/>
  <c r="F309"/>
  <c r="G309"/>
  <c r="H309"/>
  <c r="F310"/>
  <c r="G310"/>
  <c r="H310"/>
  <c r="F311"/>
  <c r="G311"/>
  <c r="H311"/>
  <c r="F312"/>
  <c r="G312"/>
  <c r="H312"/>
  <c r="F313"/>
  <c r="G313"/>
  <c r="H313"/>
  <c r="F314"/>
  <c r="G314"/>
  <c r="H314"/>
  <c r="F315"/>
  <c r="G315"/>
  <c r="H315"/>
  <c r="F316"/>
  <c r="G316"/>
  <c r="H316"/>
  <c r="F317"/>
  <c r="G317"/>
  <c r="H317"/>
  <c r="F318"/>
  <c r="G318"/>
  <c r="H318"/>
  <c r="F319"/>
  <c r="G319"/>
  <c r="H319"/>
  <c r="F320"/>
  <c r="G320"/>
  <c r="H320"/>
  <c r="F321"/>
  <c r="G321"/>
  <c r="H321"/>
  <c r="F322"/>
  <c r="G322"/>
  <c r="H322"/>
  <c r="F323"/>
  <c r="G323"/>
  <c r="H323"/>
  <c r="F324"/>
  <c r="G324"/>
  <c r="H324"/>
  <c r="F325"/>
  <c r="G325"/>
  <c r="H325"/>
  <c r="F326"/>
  <c r="G326"/>
  <c r="H326"/>
  <c r="F327"/>
  <c r="G327"/>
  <c r="H327"/>
  <c r="F328"/>
  <c r="G328"/>
  <c r="H328"/>
  <c r="F329"/>
  <c r="G329"/>
  <c r="H329"/>
  <c r="F330"/>
  <c r="G330"/>
  <c r="H330"/>
  <c r="F331"/>
  <c r="G331"/>
  <c r="H331"/>
  <c r="F332"/>
  <c r="G332"/>
  <c r="H332"/>
  <c r="F333"/>
  <c r="G333"/>
  <c r="H333"/>
  <c r="F334"/>
  <c r="G334"/>
  <c r="H334"/>
  <c r="F335"/>
  <c r="G335"/>
  <c r="H335"/>
  <c r="F336"/>
  <c r="G336"/>
  <c r="H336"/>
  <c r="F337"/>
  <c r="G337"/>
  <c r="H337"/>
  <c r="F338"/>
  <c r="G338"/>
  <c r="H338"/>
  <c r="F339"/>
  <c r="G339"/>
  <c r="H339"/>
  <c r="F340"/>
  <c r="G340"/>
  <c r="H340"/>
  <c r="F341"/>
  <c r="G341"/>
  <c r="H341"/>
  <c r="F342"/>
  <c r="G342"/>
  <c r="H342"/>
  <c r="F343"/>
  <c r="G343"/>
  <c r="H343"/>
  <c r="F344"/>
  <c r="G344"/>
  <c r="H344"/>
  <c r="F345"/>
  <c r="G345"/>
  <c r="H345"/>
  <c r="F346"/>
  <c r="G346"/>
  <c r="H346"/>
  <c r="F347"/>
  <c r="G347"/>
  <c r="H347"/>
  <c r="F348"/>
  <c r="G348"/>
  <c r="H348"/>
  <c r="F349"/>
  <c r="G349"/>
  <c r="H349"/>
  <c r="F350"/>
  <c r="G350"/>
  <c r="H350"/>
  <c r="F351"/>
  <c r="G351"/>
  <c r="H351"/>
  <c r="F352"/>
  <c r="G352"/>
  <c r="H352"/>
  <c r="F353"/>
  <c r="G353"/>
  <c r="H353"/>
  <c r="F354"/>
  <c r="G354"/>
  <c r="H354"/>
  <c r="F355"/>
  <c r="G355"/>
  <c r="H355"/>
  <c r="F356"/>
  <c r="G356"/>
  <c r="H356"/>
  <c r="F357"/>
  <c r="G357"/>
  <c r="H357"/>
  <c r="F358"/>
  <c r="G358"/>
  <c r="H358"/>
  <c r="F359"/>
  <c r="G359"/>
  <c r="H359"/>
  <c r="F360"/>
  <c r="G360"/>
  <c r="H360"/>
  <c r="F361"/>
  <c r="G361"/>
  <c r="H361"/>
  <c r="F362"/>
  <c r="G362"/>
  <c r="H362"/>
  <c r="F363"/>
  <c r="G363"/>
  <c r="H363"/>
  <c r="F364"/>
  <c r="G364"/>
  <c r="H364"/>
  <c r="F365"/>
  <c r="G365"/>
  <c r="H365"/>
  <c r="F366"/>
  <c r="G366"/>
  <c r="H366"/>
  <c r="F367"/>
  <c r="G367"/>
  <c r="H367"/>
  <c r="F368"/>
  <c r="G368"/>
  <c r="H368"/>
  <c r="F369"/>
  <c r="G369"/>
  <c r="H369"/>
  <c r="F370"/>
  <c r="G370"/>
  <c r="H370"/>
  <c r="F371"/>
  <c r="G371"/>
  <c r="H371"/>
  <c r="F372"/>
  <c r="G372"/>
  <c r="H372"/>
  <c r="F373"/>
  <c r="G373"/>
  <c r="H373"/>
  <c r="F374"/>
  <c r="G374"/>
  <c r="H374"/>
  <c r="F375"/>
  <c r="G375"/>
  <c r="H375"/>
  <c r="F376"/>
  <c r="G376"/>
  <c r="H376"/>
  <c r="F377"/>
  <c r="G377"/>
  <c r="H377"/>
  <c r="F378"/>
  <c r="G378"/>
  <c r="H378"/>
  <c r="F379"/>
  <c r="G379"/>
  <c r="H379"/>
  <c r="F380"/>
  <c r="G380"/>
  <c r="H380"/>
  <c r="F381"/>
  <c r="G381"/>
  <c r="H381"/>
  <c r="F382"/>
  <c r="G382"/>
  <c r="H382"/>
  <c r="F383"/>
  <c r="G383"/>
  <c r="H383"/>
  <c r="F384"/>
  <c r="G384"/>
  <c r="H384"/>
  <c r="F385"/>
  <c r="G385"/>
  <c r="H385"/>
  <c r="F386"/>
  <c r="G386"/>
  <c r="H386"/>
  <c r="F387"/>
  <c r="G387"/>
  <c r="H387"/>
  <c r="F388"/>
  <c r="G388"/>
  <c r="H388"/>
  <c r="F389"/>
  <c r="G389"/>
  <c r="H389"/>
  <c r="F390"/>
  <c r="G390"/>
  <c r="H390"/>
  <c r="F391"/>
  <c r="G391"/>
  <c r="H391"/>
  <c r="F392"/>
  <c r="G392"/>
  <c r="H392"/>
  <c r="F393"/>
  <c r="G393"/>
  <c r="H393"/>
  <c r="F394"/>
  <c r="G394"/>
  <c r="H394"/>
  <c r="F395"/>
  <c r="G395"/>
  <c r="H395"/>
  <c r="F396"/>
  <c r="G396"/>
  <c r="H396"/>
  <c r="F397"/>
  <c r="G397"/>
  <c r="H397"/>
  <c r="F398"/>
  <c r="G398"/>
  <c r="H398"/>
  <c r="F399"/>
  <c r="G399"/>
  <c r="H399"/>
  <c r="F400"/>
  <c r="G400"/>
  <c r="H400"/>
  <c r="F401"/>
  <c r="G401"/>
  <c r="H401"/>
  <c r="F402"/>
  <c r="G402"/>
  <c r="H402"/>
  <c r="F403"/>
  <c r="G403"/>
  <c r="H403"/>
  <c r="F404"/>
  <c r="G404"/>
  <c r="H404"/>
  <c r="F405"/>
  <c r="G405"/>
  <c r="H405"/>
  <c r="F406"/>
  <c r="G406"/>
  <c r="H406"/>
  <c r="F407"/>
  <c r="G407"/>
  <c r="H407"/>
  <c r="F408"/>
  <c r="G408"/>
  <c r="H408"/>
  <c r="F409"/>
  <c r="G409"/>
  <c r="H409"/>
  <c r="F410"/>
  <c r="G410"/>
  <c r="H410"/>
  <c r="F411"/>
  <c r="G411"/>
  <c r="H411"/>
  <c r="F412"/>
  <c r="G412"/>
  <c r="H412"/>
  <c r="F413"/>
  <c r="G413"/>
  <c r="H413"/>
  <c r="F414"/>
  <c r="G414"/>
  <c r="H414"/>
  <c r="F415"/>
  <c r="G415"/>
  <c r="H415"/>
  <c r="F416"/>
  <c r="G416"/>
  <c r="H416"/>
  <c r="F417"/>
  <c r="G417"/>
  <c r="H417"/>
  <c r="F418"/>
  <c r="G418"/>
  <c r="H418"/>
  <c r="F419"/>
  <c r="G419"/>
  <c r="H419"/>
  <c r="F420"/>
  <c r="G420"/>
  <c r="H420"/>
  <c r="F421"/>
  <c r="G421"/>
  <c r="H421"/>
  <c r="F422"/>
  <c r="G422"/>
  <c r="H422"/>
  <c r="F423"/>
  <c r="G423"/>
  <c r="H423"/>
  <c r="F424"/>
  <c r="G424"/>
  <c r="H424"/>
  <c r="F425"/>
  <c r="G425"/>
  <c r="H425"/>
  <c r="F426"/>
  <c r="G426"/>
  <c r="H426"/>
  <c r="F427"/>
  <c r="G427"/>
  <c r="H427"/>
  <c r="F428"/>
  <c r="G428"/>
  <c r="H428"/>
  <c r="F429"/>
  <c r="G429"/>
  <c r="H429"/>
  <c r="F430"/>
  <c r="G430"/>
  <c r="H430"/>
  <c r="F431"/>
  <c r="G431"/>
  <c r="H431"/>
  <c r="F432"/>
  <c r="G432"/>
  <c r="H432"/>
  <c r="F433"/>
  <c r="G433"/>
  <c r="H433"/>
  <c r="F434"/>
  <c r="G434"/>
  <c r="H434"/>
  <c r="F435"/>
  <c r="G435"/>
  <c r="H435"/>
  <c r="F436"/>
  <c r="G436"/>
  <c r="H436"/>
  <c r="F437"/>
  <c r="G437"/>
  <c r="H437"/>
  <c r="F438"/>
  <c r="G438"/>
  <c r="H438"/>
  <c r="F439"/>
  <c r="G439"/>
  <c r="H439"/>
  <c r="F440"/>
  <c r="G440"/>
  <c r="H440"/>
  <c r="F441"/>
  <c r="G441"/>
  <c r="H441"/>
  <c r="F442"/>
  <c r="G442"/>
  <c r="H442"/>
  <c r="F443"/>
  <c r="G443"/>
  <c r="H443"/>
  <c r="F444"/>
  <c r="G444"/>
  <c r="H444"/>
  <c r="F445"/>
  <c r="G445"/>
  <c r="H445"/>
  <c r="F446"/>
  <c r="G446"/>
  <c r="H446"/>
  <c r="F447"/>
  <c r="G447"/>
  <c r="H447"/>
  <c r="F448"/>
  <c r="G448"/>
  <c r="H448"/>
  <c r="F449"/>
  <c r="G449"/>
  <c r="H449"/>
  <c r="F450"/>
  <c r="G450"/>
  <c r="H450"/>
  <c r="F451"/>
  <c r="G451"/>
  <c r="H451"/>
  <c r="F452"/>
  <c r="G452"/>
  <c r="H452"/>
  <c r="F453"/>
  <c r="G453"/>
  <c r="H453"/>
  <c r="F454"/>
  <c r="G454"/>
  <c r="H454"/>
  <c r="F455"/>
  <c r="G455"/>
  <c r="H455"/>
  <c r="F456"/>
  <c r="G456"/>
  <c r="H456"/>
  <c r="F457"/>
  <c r="G457"/>
  <c r="H457"/>
  <c r="F458"/>
  <c r="G458"/>
  <c r="H458"/>
  <c r="F459"/>
  <c r="G459"/>
  <c r="H459"/>
  <c r="F460"/>
  <c r="G460"/>
  <c r="H460"/>
  <c r="F461"/>
  <c r="G461"/>
  <c r="H461"/>
  <c r="F462"/>
  <c r="G462"/>
  <c r="H462"/>
  <c r="F463"/>
  <c r="G463"/>
  <c r="H463"/>
  <c r="F464"/>
  <c r="G464"/>
  <c r="H464"/>
  <c r="F465"/>
  <c r="G465"/>
  <c r="H465"/>
  <c r="F466"/>
  <c r="G466"/>
  <c r="H466"/>
  <c r="F467"/>
  <c r="G467"/>
  <c r="H467"/>
  <c r="F468"/>
  <c r="G468"/>
  <c r="H468"/>
  <c r="F469"/>
  <c r="G469"/>
  <c r="H469"/>
  <c r="F470"/>
  <c r="G470"/>
  <c r="H470"/>
  <c r="F471"/>
  <c r="G471"/>
  <c r="H471"/>
  <c r="F472"/>
  <c r="G472"/>
  <c r="H472"/>
  <c r="F473"/>
  <c r="G473"/>
  <c r="H473"/>
  <c r="F474"/>
  <c r="G474"/>
  <c r="H474"/>
  <c r="F475"/>
  <c r="G475"/>
  <c r="H475"/>
  <c r="F476"/>
  <c r="G476"/>
  <c r="H476"/>
  <c r="F477"/>
  <c r="G477"/>
  <c r="H477"/>
  <c r="F478"/>
  <c r="G478"/>
  <c r="H478"/>
  <c r="F479"/>
  <c r="G479"/>
  <c r="H479"/>
  <c r="F480"/>
  <c r="G480"/>
  <c r="H480"/>
  <c r="F481"/>
  <c r="G481"/>
  <c r="H481"/>
  <c r="F482"/>
  <c r="G482"/>
  <c r="H482"/>
  <c r="F483"/>
  <c r="G483"/>
  <c r="H483"/>
  <c r="F484"/>
  <c r="G484"/>
  <c r="H484"/>
  <c r="F485"/>
  <c r="G485"/>
  <c r="H485"/>
  <c r="F486"/>
  <c r="G486"/>
  <c r="H486"/>
  <c r="F487"/>
  <c r="G487"/>
  <c r="H487"/>
  <c r="F488"/>
  <c r="G488"/>
  <c r="H488"/>
  <c r="F489"/>
  <c r="G489"/>
  <c r="H489"/>
  <c r="F490"/>
  <c r="G490"/>
  <c r="H490"/>
  <c r="F491"/>
  <c r="G491"/>
  <c r="H491"/>
  <c r="F492"/>
  <c r="G492"/>
  <c r="H492"/>
  <c r="F493"/>
  <c r="G493"/>
  <c r="H493"/>
  <c r="F494"/>
  <c r="G494"/>
  <c r="H494"/>
  <c r="F495"/>
  <c r="G495"/>
  <c r="H495"/>
  <c r="F496"/>
  <c r="G496"/>
  <c r="H496"/>
  <c r="F497"/>
  <c r="G497"/>
  <c r="H497"/>
  <c r="F498"/>
  <c r="G498"/>
  <c r="H498"/>
  <c r="F499"/>
  <c r="G499"/>
  <c r="H499"/>
  <c r="F500"/>
  <c r="G500"/>
  <c r="H500"/>
  <c r="F501"/>
  <c r="G501"/>
  <c r="H501"/>
  <c r="F502"/>
  <c r="G502"/>
  <c r="H502"/>
  <c r="F503"/>
  <c r="G503"/>
  <c r="H503"/>
  <c r="F504"/>
  <c r="G504"/>
  <c r="H504"/>
  <c r="F505"/>
  <c r="G505"/>
  <c r="H505"/>
  <c r="F506"/>
  <c r="G506"/>
  <c r="H506"/>
  <c r="F507"/>
  <c r="G507"/>
  <c r="H507"/>
  <c r="F508"/>
  <c r="G508"/>
  <c r="H508"/>
  <c r="F509"/>
  <c r="G509"/>
  <c r="H509"/>
  <c r="F510"/>
  <c r="G510"/>
  <c r="H510"/>
  <c r="F511"/>
  <c r="G511"/>
  <c r="H511"/>
  <c r="F512"/>
  <c r="G512"/>
  <c r="H512"/>
  <c r="F513"/>
  <c r="G513"/>
  <c r="H513"/>
  <c r="F514"/>
  <c r="G514"/>
  <c r="H514"/>
  <c r="F515"/>
  <c r="G515"/>
  <c r="H515"/>
  <c r="F516"/>
  <c r="G516"/>
  <c r="H516"/>
  <c r="F517"/>
  <c r="G517"/>
  <c r="H517"/>
  <c r="F518"/>
  <c r="G518"/>
  <c r="H518"/>
  <c r="F519"/>
  <c r="G519"/>
  <c r="H519"/>
  <c r="F520"/>
  <c r="G520"/>
  <c r="H520"/>
  <c r="F521"/>
  <c r="G521"/>
  <c r="H521"/>
  <c r="F522"/>
  <c r="G522"/>
  <c r="H522"/>
  <c r="F523"/>
  <c r="G523"/>
  <c r="H523"/>
  <c r="F524"/>
  <c r="G524"/>
  <c r="H524"/>
  <c r="F525"/>
  <c r="G525"/>
  <c r="H525"/>
  <c r="F526"/>
  <c r="G526"/>
  <c r="H526"/>
  <c r="F527"/>
  <c r="G527"/>
  <c r="H527"/>
  <c r="F528"/>
  <c r="G528"/>
  <c r="H528"/>
  <c r="F529"/>
  <c r="G529"/>
  <c r="H529"/>
  <c r="F530"/>
  <c r="G530"/>
  <c r="H530"/>
  <c r="F531"/>
  <c r="G531"/>
  <c r="H531"/>
  <c r="F532"/>
  <c r="G532"/>
  <c r="H532"/>
  <c r="F533"/>
  <c r="G533"/>
  <c r="H533"/>
  <c r="F534"/>
  <c r="G534"/>
  <c r="H534"/>
  <c r="F535"/>
  <c r="G535"/>
  <c r="H535"/>
  <c r="F536"/>
  <c r="G536"/>
  <c r="H536"/>
  <c r="F537"/>
  <c r="G537"/>
  <c r="H537"/>
  <c r="F538"/>
  <c r="G538"/>
  <c r="H538"/>
  <c r="F539"/>
  <c r="G539"/>
  <c r="H539"/>
  <c r="F540"/>
  <c r="G540"/>
  <c r="H540"/>
  <c r="F541"/>
  <c r="G541"/>
  <c r="H541"/>
  <c r="F542"/>
  <c r="G542"/>
  <c r="H542"/>
  <c r="F543"/>
  <c r="G543"/>
  <c r="H543"/>
  <c r="F544"/>
  <c r="G544"/>
  <c r="H544"/>
  <c r="F545"/>
  <c r="G545"/>
  <c r="H545"/>
  <c r="F546"/>
  <c r="G546"/>
  <c r="H546"/>
  <c r="F547"/>
  <c r="G547"/>
  <c r="H547"/>
  <c r="F548"/>
  <c r="G548"/>
  <c r="H548"/>
  <c r="F549"/>
  <c r="G549"/>
  <c r="H549"/>
  <c r="F550"/>
  <c r="G550"/>
  <c r="H550"/>
  <c r="F551"/>
  <c r="G551"/>
  <c r="H551"/>
  <c r="F552"/>
  <c r="G552"/>
  <c r="H552"/>
  <c r="F553"/>
  <c r="G553"/>
  <c r="H553"/>
  <c r="F554"/>
  <c r="G554"/>
  <c r="H554"/>
  <c r="F555"/>
  <c r="G555"/>
  <c r="H555"/>
  <c r="F556"/>
  <c r="G556"/>
  <c r="H556"/>
  <c r="F557"/>
  <c r="G557"/>
  <c r="H557"/>
  <c r="F558"/>
  <c r="G558"/>
  <c r="H558"/>
  <c r="F559"/>
  <c r="G559"/>
  <c r="H559"/>
  <c r="F560"/>
  <c r="G560"/>
  <c r="H560"/>
  <c r="F561"/>
  <c r="G561"/>
  <c r="H561"/>
  <c r="F562"/>
  <c r="G562"/>
  <c r="H562"/>
  <c r="F563"/>
  <c r="G563"/>
  <c r="H563"/>
  <c r="F564"/>
  <c r="G564"/>
  <c r="H564"/>
  <c r="F565"/>
  <c r="G565"/>
  <c r="H565"/>
  <c r="F566"/>
  <c r="G566"/>
  <c r="H566"/>
  <c r="F567"/>
  <c r="G567"/>
  <c r="H567"/>
  <c r="F568"/>
  <c r="G568"/>
  <c r="H568"/>
  <c r="F569"/>
  <c r="G569"/>
  <c r="H569"/>
  <c r="F570"/>
  <c r="G570"/>
  <c r="H570"/>
  <c r="F571"/>
  <c r="G571"/>
  <c r="H571"/>
  <c r="F572"/>
  <c r="G572"/>
  <c r="H572"/>
  <c r="F573"/>
  <c r="G573"/>
  <c r="H573"/>
  <c r="F574"/>
  <c r="G574"/>
  <c r="H574"/>
  <c r="F575"/>
  <c r="G575"/>
  <c r="H575"/>
  <c r="F576"/>
  <c r="G576"/>
  <c r="H576"/>
  <c r="F577"/>
  <c r="G577"/>
  <c r="H577"/>
  <c r="F578"/>
  <c r="G578"/>
  <c r="H578"/>
  <c r="F579"/>
  <c r="G579"/>
  <c r="H579"/>
  <c r="F580"/>
  <c r="G580"/>
  <c r="H580"/>
  <c r="F581"/>
  <c r="G581"/>
  <c r="H581"/>
  <c r="F582"/>
  <c r="G582"/>
  <c r="H582"/>
  <c r="F583"/>
  <c r="G583"/>
  <c r="H583"/>
  <c r="F584"/>
  <c r="G584"/>
  <c r="H584"/>
  <c r="F585"/>
  <c r="G585"/>
  <c r="H585"/>
  <c r="F586"/>
  <c r="G586"/>
  <c r="H586"/>
  <c r="F587"/>
  <c r="G587"/>
  <c r="H587"/>
  <c r="F588"/>
  <c r="G588"/>
  <c r="H588"/>
  <c r="F589"/>
  <c r="G589"/>
  <c r="H589"/>
  <c r="F590"/>
  <c r="G590"/>
  <c r="H590"/>
  <c r="F591"/>
  <c r="G591"/>
  <c r="H591"/>
  <c r="F592"/>
  <c r="G592"/>
  <c r="H592"/>
  <c r="F593"/>
  <c r="G593"/>
  <c r="H593"/>
  <c r="F594"/>
  <c r="G594"/>
  <c r="H594"/>
  <c r="F595"/>
  <c r="G595"/>
  <c r="H595"/>
  <c r="F596"/>
  <c r="G596"/>
  <c r="H596"/>
  <c r="F597"/>
  <c r="G597"/>
  <c r="H597"/>
  <c r="F598"/>
  <c r="G598"/>
  <c r="H598"/>
  <c r="F599"/>
  <c r="G599"/>
  <c r="H599"/>
  <c r="F600"/>
  <c r="G600"/>
  <c r="H600"/>
  <c r="F601"/>
  <c r="G601"/>
  <c r="H601"/>
  <c r="F602"/>
  <c r="G602"/>
  <c r="H602"/>
  <c r="F603"/>
  <c r="G603"/>
  <c r="H603"/>
  <c r="F604"/>
  <c r="G604"/>
  <c r="H604"/>
  <c r="F605"/>
  <c r="G605"/>
  <c r="H605"/>
  <c r="F606"/>
  <c r="G606"/>
  <c r="H606"/>
  <c r="F607"/>
  <c r="G607"/>
  <c r="H607"/>
  <c r="F608"/>
  <c r="G608"/>
  <c r="H608"/>
  <c r="F609"/>
  <c r="G609"/>
  <c r="H609"/>
  <c r="F610"/>
  <c r="G610"/>
  <c r="H610"/>
  <c r="F611"/>
  <c r="G611"/>
  <c r="H611"/>
  <c r="F612"/>
  <c r="G612"/>
  <c r="H612"/>
  <c r="F613"/>
  <c r="G613"/>
  <c r="H613"/>
  <c r="F614"/>
  <c r="G614"/>
  <c r="H614"/>
  <c r="F615"/>
  <c r="G615"/>
  <c r="H615"/>
  <c r="F616"/>
  <c r="G616"/>
  <c r="H616"/>
  <c r="F617"/>
  <c r="G617"/>
  <c r="H617"/>
  <c r="F618"/>
  <c r="G618"/>
  <c r="H618"/>
  <c r="F619"/>
  <c r="G619"/>
  <c r="H619"/>
  <c r="F620"/>
  <c r="G620"/>
  <c r="H620"/>
  <c r="F621"/>
  <c r="G621"/>
  <c r="H621"/>
  <c r="F622"/>
  <c r="G622"/>
  <c r="H622"/>
  <c r="F623"/>
  <c r="G623"/>
  <c r="H623"/>
  <c r="F624"/>
  <c r="G624"/>
  <c r="H624"/>
  <c r="F625"/>
  <c r="G625"/>
  <c r="H625"/>
  <c r="F626"/>
  <c r="G626"/>
  <c r="H626"/>
  <c r="F627"/>
  <c r="G627"/>
  <c r="H627"/>
  <c r="F628"/>
  <c r="G628"/>
  <c r="H628"/>
  <c r="F629"/>
  <c r="G629"/>
  <c r="H629"/>
  <c r="F630"/>
  <c r="G630"/>
  <c r="H630"/>
  <c r="F631"/>
  <c r="G631"/>
  <c r="H631"/>
  <c r="F632"/>
  <c r="G632"/>
  <c r="H632"/>
  <c r="F633"/>
  <c r="G633"/>
  <c r="H633"/>
  <c r="F634"/>
  <c r="G634"/>
  <c r="H634"/>
  <c r="F635"/>
  <c r="G635"/>
  <c r="H635"/>
  <c r="F636"/>
  <c r="G636"/>
  <c r="H636"/>
  <c r="F637"/>
  <c r="G637"/>
  <c r="H637"/>
  <c r="F638"/>
  <c r="G638"/>
  <c r="H638"/>
  <c r="F639"/>
  <c r="G639"/>
  <c r="H639"/>
  <c r="F640"/>
  <c r="G640"/>
  <c r="H640"/>
  <c r="F641"/>
  <c r="G641"/>
  <c r="H641"/>
  <c r="F642"/>
  <c r="G642"/>
  <c r="H642"/>
  <c r="F643"/>
  <c r="G643"/>
  <c r="H643"/>
  <c r="F644"/>
  <c r="G644"/>
  <c r="H644"/>
  <c r="F645"/>
  <c r="G645"/>
  <c r="H645"/>
  <c r="F646"/>
  <c r="G646"/>
  <c r="H646"/>
  <c r="F647"/>
  <c r="G647"/>
  <c r="H647"/>
  <c r="F648"/>
  <c r="G648"/>
  <c r="H648"/>
  <c r="F649"/>
  <c r="G649"/>
  <c r="H649"/>
  <c r="F650"/>
  <c r="G650"/>
  <c r="H650"/>
  <c r="F651"/>
  <c r="G651"/>
  <c r="H651"/>
  <c r="F652"/>
  <c r="G652"/>
  <c r="H652"/>
  <c r="F653"/>
  <c r="G653"/>
  <c r="H653"/>
  <c r="F654"/>
  <c r="G654"/>
  <c r="H654"/>
  <c r="F655"/>
  <c r="G655"/>
  <c r="H655"/>
  <c r="F656"/>
  <c r="G656"/>
  <c r="H656"/>
  <c r="F657"/>
  <c r="G657"/>
  <c r="H657"/>
  <c r="F658"/>
  <c r="G658"/>
  <c r="H658"/>
  <c r="F659"/>
  <c r="G659"/>
  <c r="H659"/>
  <c r="F660"/>
  <c r="G660"/>
  <c r="H660"/>
  <c r="F661"/>
  <c r="G661"/>
  <c r="H661"/>
  <c r="F662"/>
  <c r="G662"/>
  <c r="H662"/>
  <c r="F663"/>
  <c r="G663"/>
  <c r="H663"/>
  <c r="F664"/>
  <c r="G664"/>
  <c r="H664"/>
  <c r="F665"/>
  <c r="G665"/>
  <c r="H665"/>
  <c r="F666"/>
  <c r="G666"/>
  <c r="H666"/>
  <c r="F667"/>
  <c r="G667"/>
  <c r="H667"/>
  <c r="F668"/>
  <c r="G668"/>
  <c r="H668"/>
  <c r="F669"/>
  <c r="G669"/>
  <c r="H669"/>
  <c r="F670"/>
  <c r="G670"/>
  <c r="H670"/>
  <c r="F671"/>
  <c r="G671"/>
  <c r="H671"/>
  <c r="F672"/>
  <c r="G672"/>
  <c r="H672"/>
  <c r="F673"/>
  <c r="G673"/>
  <c r="H673"/>
  <c r="F674"/>
  <c r="G674"/>
  <c r="H674"/>
  <c r="F675"/>
  <c r="G675"/>
  <c r="H675"/>
  <c r="F676"/>
  <c r="G676"/>
  <c r="H676"/>
  <c r="F677"/>
  <c r="G677"/>
  <c r="H677"/>
  <c r="F678"/>
  <c r="G678"/>
  <c r="H678"/>
  <c r="F679"/>
  <c r="G679"/>
  <c r="H679"/>
  <c r="F680"/>
  <c r="G680"/>
  <c r="H680"/>
  <c r="F681"/>
  <c r="G681"/>
  <c r="H681"/>
  <c r="F682"/>
  <c r="G682"/>
  <c r="H682"/>
  <c r="F683"/>
  <c r="G683"/>
  <c r="H683"/>
  <c r="F684"/>
  <c r="G684"/>
  <c r="H684"/>
  <c r="F685"/>
  <c r="G685"/>
  <c r="H685"/>
  <c r="F686"/>
  <c r="G686"/>
  <c r="H686"/>
  <c r="F687"/>
  <c r="G687"/>
  <c r="H687"/>
  <c r="F688"/>
  <c r="G688"/>
  <c r="H688"/>
  <c r="F689"/>
  <c r="G689"/>
  <c r="H689"/>
  <c r="F690"/>
  <c r="G690"/>
  <c r="H690"/>
  <c r="F691"/>
  <c r="G691"/>
  <c r="H691"/>
  <c r="F692"/>
  <c r="G692"/>
  <c r="H692"/>
  <c r="F693"/>
  <c r="G693"/>
  <c r="H693"/>
  <c r="F694"/>
  <c r="G694"/>
  <c r="H694"/>
  <c r="F695"/>
  <c r="G695"/>
  <c r="H695"/>
  <c r="F696"/>
  <c r="G696"/>
  <c r="H696"/>
  <c r="F697"/>
  <c r="G697"/>
  <c r="H697"/>
  <c r="F698"/>
  <c r="G698"/>
  <c r="H698"/>
  <c r="F699"/>
  <c r="G699"/>
  <c r="H699"/>
  <c r="F700"/>
  <c r="G700"/>
  <c r="H700"/>
  <c r="F701"/>
  <c r="G701"/>
  <c r="H701"/>
  <c r="F702"/>
  <c r="G702"/>
  <c r="H702"/>
  <c r="F703"/>
  <c r="G703"/>
  <c r="H703"/>
  <c r="F704"/>
  <c r="G704"/>
  <c r="H704"/>
  <c r="F705"/>
  <c r="G705"/>
  <c r="H705"/>
  <c r="F706"/>
  <c r="G706"/>
  <c r="H706"/>
  <c r="F707"/>
  <c r="G707"/>
  <c r="H707"/>
  <c r="F708"/>
  <c r="G708"/>
  <c r="H708"/>
  <c r="F709"/>
  <c r="G709"/>
  <c r="H709"/>
  <c r="F710"/>
  <c r="G710"/>
  <c r="H710"/>
  <c r="F711"/>
  <c r="G711"/>
  <c r="H711"/>
  <c r="F712"/>
  <c r="G712"/>
  <c r="H712"/>
  <c r="F713"/>
  <c r="G713"/>
  <c r="H713"/>
  <c r="F714"/>
  <c r="G714"/>
  <c r="H714"/>
  <c r="F715"/>
  <c r="G715"/>
  <c r="H715"/>
  <c r="F716"/>
  <c r="G716"/>
  <c r="H716"/>
  <c r="F717"/>
  <c r="G717"/>
  <c r="H717"/>
  <c r="F718"/>
  <c r="G718"/>
  <c r="H718"/>
  <c r="F719"/>
  <c r="G719"/>
  <c r="H719"/>
  <c r="F720"/>
  <c r="G720"/>
  <c r="H720"/>
  <c r="F721"/>
  <c r="G721"/>
  <c r="H721"/>
  <c r="F722"/>
  <c r="G722"/>
  <c r="H722"/>
  <c r="F723"/>
  <c r="G723"/>
  <c r="H723"/>
  <c r="F724"/>
  <c r="G724"/>
  <c r="H724"/>
  <c r="F725"/>
  <c r="G725"/>
  <c r="H725"/>
  <c r="F726"/>
  <c r="G726"/>
  <c r="H726"/>
  <c r="F727"/>
  <c r="G727"/>
  <c r="H727"/>
  <c r="F728"/>
  <c r="G728"/>
  <c r="H728"/>
  <c r="F729"/>
  <c r="G729"/>
  <c r="H729"/>
  <c r="F730"/>
  <c r="G730"/>
  <c r="H730"/>
  <c r="F731"/>
  <c r="G731"/>
  <c r="H731"/>
  <c r="F732"/>
  <c r="G732"/>
  <c r="H732"/>
  <c r="F733"/>
  <c r="G733"/>
  <c r="H733"/>
  <c r="F734"/>
  <c r="G734"/>
  <c r="H734"/>
  <c r="F735"/>
  <c r="G735"/>
  <c r="H735"/>
  <c r="F736"/>
  <c r="G736"/>
  <c r="H736"/>
  <c r="F737"/>
  <c r="G737"/>
  <c r="H737"/>
  <c r="F738"/>
  <c r="G738"/>
  <c r="H738"/>
  <c r="F739"/>
  <c r="G739"/>
  <c r="H739"/>
  <c r="F740"/>
  <c r="G740"/>
  <c r="H740"/>
  <c r="F741"/>
  <c r="G741"/>
  <c r="H741"/>
  <c r="F742"/>
  <c r="G742"/>
  <c r="H742"/>
  <c r="F743"/>
  <c r="G743"/>
  <c r="H743"/>
  <c r="F744"/>
  <c r="G744"/>
  <c r="H744"/>
  <c r="F745"/>
  <c r="G745"/>
  <c r="H745"/>
  <c r="F746"/>
  <c r="G746"/>
  <c r="H746"/>
  <c r="F747"/>
  <c r="G747"/>
  <c r="H747"/>
  <c r="F748"/>
  <c r="G748"/>
  <c r="H748"/>
  <c r="F749"/>
  <c r="G749"/>
  <c r="H749"/>
  <c r="F750"/>
  <c r="G750"/>
  <c r="H750"/>
  <c r="F751"/>
  <c r="G751"/>
  <c r="H751"/>
  <c r="F752"/>
  <c r="G752"/>
  <c r="H752"/>
  <c r="F753"/>
  <c r="G753"/>
  <c r="H753"/>
  <c r="F754"/>
  <c r="G754"/>
  <c r="H754"/>
  <c r="F755"/>
  <c r="G755"/>
  <c r="H755"/>
  <c r="F756"/>
  <c r="G756"/>
  <c r="H756"/>
  <c r="F757"/>
  <c r="G757"/>
  <c r="H757"/>
  <c r="F758"/>
  <c r="G758"/>
  <c r="H758"/>
  <c r="F759"/>
  <c r="G759"/>
  <c r="H759"/>
  <c r="F760"/>
  <c r="G760"/>
  <c r="H760"/>
  <c r="F761"/>
  <c r="G761"/>
  <c r="H761"/>
  <c r="F762"/>
  <c r="G762"/>
  <c r="H762"/>
  <c r="F763"/>
  <c r="G763"/>
  <c r="H763"/>
  <c r="F764"/>
  <c r="G764"/>
  <c r="H764"/>
  <c r="F765"/>
  <c r="G765"/>
  <c r="H765"/>
  <c r="F766"/>
  <c r="G766"/>
  <c r="H766"/>
  <c r="F767"/>
  <c r="G767"/>
  <c r="H767"/>
  <c r="F768"/>
  <c r="G768"/>
  <c r="H768"/>
  <c r="F769"/>
  <c r="G769"/>
  <c r="H769"/>
  <c r="F770"/>
  <c r="G770"/>
  <c r="H770"/>
  <c r="F771"/>
  <c r="G771"/>
  <c r="H771"/>
  <c r="F772"/>
  <c r="G772"/>
  <c r="H772"/>
  <c r="F773"/>
  <c r="G773"/>
  <c r="H773"/>
  <c r="F774"/>
  <c r="G774"/>
  <c r="H774"/>
  <c r="F775"/>
  <c r="G775"/>
  <c r="H775"/>
  <c r="F776"/>
  <c r="G776"/>
  <c r="H776"/>
  <c r="F777"/>
  <c r="G777"/>
  <c r="H777"/>
  <c r="F778"/>
  <c r="G778"/>
  <c r="H778"/>
  <c r="F779"/>
  <c r="G779"/>
  <c r="H779"/>
  <c r="F780"/>
  <c r="G780"/>
  <c r="H780"/>
  <c r="F781"/>
  <c r="G781"/>
  <c r="H781"/>
  <c r="F782"/>
  <c r="G782"/>
  <c r="H782"/>
  <c r="F783"/>
  <c r="G783"/>
  <c r="H783"/>
  <c r="F784"/>
  <c r="G784"/>
  <c r="H784"/>
  <c r="F785"/>
  <c r="G785"/>
  <c r="H785"/>
  <c r="F786"/>
  <c r="G786"/>
  <c r="H786"/>
  <c r="F787"/>
  <c r="G787"/>
  <c r="H787"/>
  <c r="F788"/>
  <c r="G788"/>
  <c r="H788"/>
  <c r="F789"/>
  <c r="G789"/>
  <c r="H789"/>
  <c r="F790"/>
  <c r="G790"/>
  <c r="H790"/>
  <c r="F791"/>
  <c r="G791"/>
  <c r="H791"/>
  <c r="F792"/>
  <c r="G792"/>
  <c r="H792"/>
  <c r="F793"/>
  <c r="G793"/>
  <c r="H793"/>
  <c r="F794"/>
  <c r="G794"/>
  <c r="H794"/>
  <c r="F795"/>
  <c r="G795"/>
  <c r="H795"/>
  <c r="F796"/>
  <c r="G796"/>
  <c r="H796"/>
  <c r="F797"/>
  <c r="G797"/>
  <c r="H797"/>
  <c r="F798"/>
  <c r="G798"/>
  <c r="H798"/>
  <c r="F799"/>
  <c r="G799"/>
  <c r="H799"/>
  <c r="F800"/>
  <c r="G800"/>
  <c r="H800"/>
  <c r="F801"/>
  <c r="G801"/>
  <c r="H801"/>
  <c r="F802"/>
  <c r="G802"/>
  <c r="H802"/>
  <c r="F803"/>
  <c r="G803"/>
  <c r="H803"/>
  <c r="F804"/>
  <c r="G804"/>
  <c r="H804"/>
  <c r="F805"/>
  <c r="G805"/>
  <c r="H805"/>
  <c r="F806"/>
  <c r="G806"/>
  <c r="H806"/>
  <c r="F807"/>
  <c r="G807"/>
  <c r="H807"/>
  <c r="F808"/>
  <c r="G808"/>
  <c r="H808"/>
  <c r="F809"/>
  <c r="G809"/>
  <c r="H809"/>
  <c r="F810"/>
  <c r="G810"/>
  <c r="H810"/>
  <c r="F811"/>
  <c r="G811"/>
  <c r="H811"/>
  <c r="F812"/>
  <c r="G812"/>
  <c r="H812"/>
  <c r="F813"/>
  <c r="G813"/>
  <c r="H813"/>
  <c r="F814"/>
  <c r="G814"/>
  <c r="H814"/>
  <c r="F815"/>
  <c r="G815"/>
  <c r="H815"/>
  <c r="F816"/>
  <c r="G816"/>
  <c r="H816"/>
  <c r="F817"/>
  <c r="G817"/>
  <c r="H817"/>
  <c r="F818"/>
  <c r="G818"/>
  <c r="H818"/>
  <c r="F819"/>
  <c r="G819"/>
  <c r="H819"/>
  <c r="F820"/>
  <c r="G820"/>
  <c r="H820"/>
  <c r="F821"/>
  <c r="G821"/>
  <c r="H821"/>
  <c r="F822"/>
  <c r="G822"/>
  <c r="H822"/>
  <c r="F823"/>
  <c r="G823"/>
  <c r="H823"/>
  <c r="F824"/>
  <c r="G824"/>
  <c r="H824"/>
  <c r="F825"/>
  <c r="G825"/>
  <c r="H825"/>
  <c r="F826"/>
  <c r="G826"/>
  <c r="H826"/>
  <c r="F827"/>
  <c r="G827"/>
  <c r="H827"/>
  <c r="F828"/>
  <c r="G828"/>
  <c r="H828"/>
  <c r="F829"/>
  <c r="G829"/>
  <c r="H829"/>
  <c r="F830"/>
  <c r="G830"/>
  <c r="H830"/>
  <c r="F831"/>
  <c r="G831"/>
  <c r="H831"/>
  <c r="F832"/>
  <c r="G832"/>
  <c r="H832"/>
  <c r="F833"/>
  <c r="G833"/>
  <c r="H833"/>
  <c r="F834"/>
  <c r="G834"/>
  <c r="H834"/>
  <c r="F835"/>
  <c r="G835"/>
  <c r="H835"/>
  <c r="F836"/>
  <c r="G836"/>
  <c r="H836"/>
  <c r="F837"/>
  <c r="G837"/>
  <c r="H837"/>
  <c r="F838"/>
  <c r="G838"/>
  <c r="H838"/>
  <c r="F839"/>
  <c r="G839"/>
  <c r="H839"/>
  <c r="F840"/>
  <c r="G840"/>
  <c r="H840"/>
  <c r="F841"/>
  <c r="G841"/>
  <c r="H841"/>
  <c r="F842"/>
  <c r="G842"/>
  <c r="H842"/>
  <c r="F843"/>
  <c r="G843"/>
  <c r="H843"/>
  <c r="F844"/>
  <c r="G844"/>
  <c r="H844"/>
  <c r="F845"/>
  <c r="G845"/>
  <c r="H845"/>
  <c r="F846"/>
  <c r="G846"/>
  <c r="H846"/>
  <c r="F847"/>
  <c r="G847"/>
  <c r="H847"/>
  <c r="F848"/>
  <c r="G848"/>
  <c r="H848"/>
  <c r="F849"/>
  <c r="G849"/>
  <c r="H849"/>
  <c r="F850"/>
  <c r="G850"/>
  <c r="H850"/>
  <c r="F851"/>
  <c r="G851"/>
  <c r="H851"/>
  <c r="F852"/>
  <c r="G852"/>
  <c r="H852"/>
  <c r="F853"/>
  <c r="G853"/>
  <c r="H853"/>
  <c r="F854"/>
  <c r="G854"/>
  <c r="H854"/>
  <c r="F855"/>
  <c r="G855"/>
  <c r="H855"/>
  <c r="F856"/>
  <c r="G856"/>
  <c r="H856"/>
  <c r="F857"/>
  <c r="G857"/>
  <c r="H857"/>
  <c r="F858"/>
  <c r="G858"/>
  <c r="H858"/>
  <c r="F859"/>
  <c r="G859"/>
  <c r="H859"/>
  <c r="F860"/>
  <c r="G860"/>
  <c r="H860"/>
  <c r="F861"/>
  <c r="G861"/>
  <c r="H861"/>
  <c r="F862"/>
  <c r="G862"/>
  <c r="H862"/>
  <c r="F863"/>
  <c r="G863"/>
  <c r="H863"/>
  <c r="F864"/>
  <c r="G864"/>
  <c r="H864"/>
  <c r="F865"/>
  <c r="G865"/>
  <c r="H865"/>
  <c r="F866"/>
  <c r="G866"/>
  <c r="H866"/>
  <c r="F867"/>
  <c r="G867"/>
  <c r="H867"/>
  <c r="F868"/>
  <c r="G868"/>
  <c r="H868"/>
  <c r="F869"/>
  <c r="G869"/>
  <c r="H869"/>
  <c r="F870"/>
  <c r="G870"/>
  <c r="H870"/>
  <c r="F871"/>
  <c r="G871"/>
  <c r="H871"/>
  <c r="F872"/>
  <c r="G872"/>
  <c r="H872"/>
  <c r="F873"/>
  <c r="G873"/>
  <c r="H873"/>
  <c r="F874"/>
  <c r="G874"/>
  <c r="H874"/>
  <c r="F875"/>
  <c r="G875"/>
  <c r="H875"/>
  <c r="F876"/>
  <c r="G876"/>
  <c r="H876"/>
  <c r="F877"/>
  <c r="G877"/>
  <c r="H877"/>
  <c r="F878"/>
  <c r="G878"/>
  <c r="H878"/>
  <c r="F879"/>
  <c r="G879"/>
  <c r="H879"/>
  <c r="F880"/>
  <c r="G880"/>
  <c r="H880"/>
  <c r="F881"/>
  <c r="G881"/>
  <c r="H881"/>
  <c r="F882"/>
  <c r="G882"/>
  <c r="H882"/>
  <c r="F883"/>
  <c r="G883"/>
  <c r="H883"/>
  <c r="F884"/>
  <c r="G884"/>
  <c r="H884"/>
  <c r="F885"/>
  <c r="G885"/>
  <c r="H885"/>
  <c r="F886"/>
  <c r="G886"/>
  <c r="H886"/>
  <c r="F887"/>
  <c r="G887"/>
  <c r="H887"/>
  <c r="F888"/>
  <c r="G888"/>
  <c r="H888"/>
  <c r="F889"/>
  <c r="G889"/>
  <c r="H889"/>
  <c r="F890"/>
  <c r="G890"/>
  <c r="H890"/>
  <c r="F891"/>
  <c r="G891"/>
  <c r="H891"/>
  <c r="F892"/>
  <c r="G892"/>
  <c r="H892"/>
  <c r="F893"/>
  <c r="G893"/>
  <c r="H893"/>
  <c r="F894"/>
  <c r="G894"/>
  <c r="H894"/>
  <c r="F895"/>
  <c r="G895"/>
  <c r="H895"/>
  <c r="F896"/>
  <c r="G896"/>
  <c r="H896"/>
  <c r="F897"/>
  <c r="G897"/>
  <c r="H897"/>
  <c r="F898"/>
  <c r="G898"/>
  <c r="H898"/>
  <c r="F899"/>
  <c r="G899"/>
  <c r="H899"/>
  <c r="F900"/>
  <c r="G900"/>
  <c r="H900"/>
  <c r="F901"/>
  <c r="G901"/>
  <c r="H901"/>
  <c r="F902"/>
  <c r="G902"/>
  <c r="H902"/>
  <c r="F903"/>
  <c r="G903"/>
  <c r="H903"/>
  <c r="F904"/>
  <c r="G904"/>
  <c r="H904"/>
  <c r="F905"/>
  <c r="G905"/>
  <c r="H905"/>
  <c r="F906"/>
  <c r="G906"/>
  <c r="H906"/>
  <c r="D28" i="16"/>
  <c r="D27"/>
  <c r="C14" i="44"/>
  <c r="C20" s="1"/>
  <c r="D14"/>
  <c r="D20" s="1"/>
  <c r="C27"/>
  <c r="C33" s="1"/>
  <c r="D27"/>
  <c r="D33" s="1"/>
  <c r="E18" i="43"/>
  <c r="F26" s="1"/>
  <c r="G18"/>
  <c r="I18"/>
  <c r="F23"/>
  <c r="F28" s="1"/>
  <c r="F29" s="1"/>
  <c r="I23"/>
  <c r="J23"/>
  <c r="J28" s="1"/>
  <c r="I26"/>
  <c r="J26"/>
  <c r="I28"/>
  <c r="E17" i="12"/>
  <c r="C29" s="1"/>
  <c r="D29" s="1"/>
  <c r="D30" s="1"/>
  <c r="C41" i="35"/>
  <c r="D42" s="1"/>
  <c r="M12" i="36"/>
  <c r="F14"/>
  <c r="G14"/>
  <c r="G20"/>
  <c r="J20"/>
  <c r="G22"/>
  <c r="J21"/>
  <c r="F26"/>
  <c r="G26"/>
  <c r="F28"/>
  <c r="G28"/>
  <c r="E29"/>
  <c r="F29"/>
  <c r="G29"/>
  <c r="H29"/>
  <c r="C62"/>
  <c r="D62"/>
  <c r="D31" s="1"/>
  <c r="C19" i="37"/>
  <c r="C20"/>
  <c r="C10" i="36"/>
  <c r="C11" s="1"/>
  <c r="C21" i="37"/>
  <c r="C22" s="1"/>
  <c r="C23" s="1"/>
  <c r="C24" s="1"/>
  <c r="C25" s="1"/>
  <c r="C26" s="1"/>
  <c r="G36"/>
  <c r="G38" s="1"/>
  <c r="G40" s="1"/>
  <c r="G41" s="1"/>
  <c r="B42"/>
  <c r="C10" i="16"/>
  <c r="G24"/>
  <c r="G30" s="1"/>
  <c r="F25"/>
  <c r="G25"/>
  <c r="F26"/>
  <c r="G26"/>
  <c r="F27"/>
  <c r="G27"/>
  <c r="F28"/>
  <c r="G28"/>
  <c r="F29"/>
  <c r="G29"/>
  <c r="C10" i="56"/>
  <c r="C11"/>
  <c r="C13"/>
  <c r="C13" i="16"/>
  <c r="C31" i="36"/>
  <c r="C27"/>
  <c r="E10" i="56"/>
  <c r="E7"/>
  <c r="E6"/>
  <c r="E5"/>
  <c r="E3"/>
  <c r="N14" i="30"/>
  <c r="B18" i="28"/>
  <c r="C14" i="56"/>
  <c r="C12"/>
  <c r="E12"/>
  <c r="B16" i="28"/>
  <c r="N19"/>
  <c r="S19" s="1"/>
  <c r="N15"/>
  <c r="N16" i="30"/>
  <c r="S16" s="1"/>
  <c r="C9" i="56"/>
  <c r="E9"/>
  <c r="Q14" i="28"/>
  <c r="N10"/>
  <c r="O10"/>
  <c r="N17"/>
  <c r="S17" s="1"/>
  <c r="D19" i="36"/>
  <c r="G26" i="43"/>
  <c r="G23"/>
  <c r="G28" s="1"/>
  <c r="G29" s="1"/>
  <c r="H23"/>
  <c r="H28" s="1"/>
  <c r="H29" s="1"/>
  <c r="C13" i="36"/>
  <c r="C14" s="1"/>
  <c r="H26" i="43"/>
  <c r="C25" i="36"/>
  <c r="C26" s="1"/>
  <c r="D24" i="16"/>
  <c r="D25" i="36"/>
  <c r="D26" s="1"/>
  <c r="C29" i="16"/>
  <c r="C28"/>
  <c r="I28" s="1"/>
  <c r="D26"/>
  <c r="D13" i="36"/>
  <c r="D14" s="1"/>
  <c r="C26" i="16"/>
  <c r="E26" s="1"/>
  <c r="J26" s="1"/>
  <c r="D29"/>
  <c r="C25"/>
  <c r="D27" i="36"/>
  <c r="D28" s="1"/>
  <c r="E26" i="43"/>
  <c r="E23"/>
  <c r="H24" i="16"/>
  <c r="D25"/>
  <c r="C27"/>
  <c r="I26"/>
  <c r="E28" i="43"/>
  <c r="E29" s="1"/>
  <c r="AK4" i="31"/>
  <c r="Z4" i="24"/>
  <c r="K4" i="31"/>
  <c r="K4" i="24"/>
  <c r="AD4" i="31"/>
  <c r="AA4" i="24"/>
  <c r="J4"/>
  <c r="V4" i="31"/>
  <c r="AD4" i="24"/>
  <c r="N4"/>
  <c r="W4"/>
  <c r="Q4"/>
  <c r="N4" i="31"/>
  <c r="J4"/>
  <c r="O4"/>
  <c r="AC4"/>
  <c r="AK4" i="24"/>
  <c r="U4"/>
  <c r="AC4"/>
  <c r="S4" i="31"/>
  <c r="W4"/>
  <c r="Q4"/>
  <c r="AG4"/>
  <c r="Y4" i="24"/>
  <c r="M4"/>
  <c r="R4" i="31"/>
  <c r="AA4"/>
  <c r="R4" i="24"/>
  <c r="I4" i="31"/>
  <c r="O4" i="24"/>
  <c r="U4" i="31"/>
  <c r="V4" i="24"/>
  <c r="Z4" i="31"/>
  <c r="Y4"/>
  <c r="AG4" i="24"/>
  <c r="I4"/>
  <c r="M4" i="31"/>
  <c r="S4" i="24"/>
  <c r="M22" i="36" l="1"/>
  <c r="D23"/>
  <c r="C23"/>
  <c r="C29"/>
  <c r="D29"/>
  <c r="D21"/>
  <c r="D22" s="1"/>
  <c r="C21"/>
  <c r="C22" s="1"/>
  <c r="H25" i="16"/>
  <c r="H29"/>
  <c r="H26"/>
  <c r="C23" i="66"/>
  <c r="D23" s="1"/>
  <c r="E16" i="56"/>
  <c r="D26" i="43"/>
  <c r="D23"/>
  <c r="D28" s="1"/>
  <c r="D29" s="1"/>
  <c r="C23"/>
  <c r="C28" s="1"/>
  <c r="C29" s="1"/>
  <c r="C26"/>
  <c r="F51" i="13"/>
  <c r="D24" i="35"/>
  <c r="D29"/>
  <c r="D32"/>
  <c r="D33"/>
  <c r="D18"/>
  <c r="D35"/>
  <c r="D36"/>
  <c r="D37"/>
  <c r="D17"/>
  <c r="D22"/>
  <c r="D23"/>
  <c r="D40"/>
  <c r="D26"/>
  <c r="D27"/>
  <c r="D28"/>
  <c r="D30"/>
  <c r="D31"/>
  <c r="D34"/>
  <c r="D19"/>
  <c r="D25"/>
  <c r="D20"/>
  <c r="D21"/>
  <c r="D38"/>
  <c r="D39"/>
  <c r="E29" i="16"/>
  <c r="H28"/>
  <c r="H27"/>
  <c r="F30"/>
  <c r="E28"/>
  <c r="J28" s="1"/>
  <c r="C3" i="55"/>
  <c r="C4"/>
  <c r="H30" i="16"/>
  <c r="C19" i="36"/>
  <c r="P10" i="28"/>
  <c r="H33" i="16"/>
  <c r="E25" i="49"/>
  <c r="E17"/>
  <c r="D11" i="37"/>
  <c r="C27"/>
  <c r="C28" s="1"/>
  <c r="C29" s="1"/>
  <c r="C30" s="1"/>
  <c r="C31" s="1"/>
  <c r="C32" s="1"/>
  <c r="C33" s="1"/>
  <c r="C34" s="1"/>
  <c r="C35" s="1"/>
  <c r="C36" s="1"/>
  <c r="C37" s="1"/>
  <c r="C38" s="1"/>
  <c r="C39" s="1"/>
  <c r="C40" s="1"/>
  <c r="C41" s="1"/>
  <c r="D15" i="36"/>
  <c r="C15"/>
  <c r="B11" i="28"/>
  <c r="D18" i="66"/>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N17" i="30"/>
  <c r="S17" s="1"/>
  <c r="C24" i="66"/>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E20"/>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E2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E22"/>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E23"/>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E19"/>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F47"/>
  <c r="E46"/>
  <c r="AI16"/>
  <c r="D30" i="16"/>
  <c r="C34" i="49"/>
  <c r="D34" s="1"/>
  <c r="B18" i="30"/>
  <c r="E27" i="16"/>
  <c r="J27" s="1"/>
  <c r="E25"/>
  <c r="J25" s="1"/>
  <c r="C30"/>
  <c r="I30" s="1"/>
  <c r="C28" i="36"/>
  <c r="D10"/>
  <c r="D11" s="1"/>
  <c r="D33"/>
  <c r="D33" i="43"/>
  <c r="F33"/>
  <c r="H33"/>
  <c r="D34"/>
  <c r="D35" s="1"/>
  <c r="F34"/>
  <c r="H34"/>
  <c r="F35"/>
  <c r="H35"/>
  <c r="D36"/>
  <c r="D38" s="1"/>
  <c r="F36"/>
  <c r="H36"/>
  <c r="D37"/>
  <c r="F37"/>
  <c r="H37"/>
  <c r="I27" i="16"/>
  <c r="C9" i="37"/>
  <c r="E20" i="49"/>
  <c r="F50" i="13"/>
  <c r="N15" i="30"/>
  <c r="N22" s="1"/>
  <c r="N18"/>
  <c r="S18" s="1"/>
  <c r="S23" s="1"/>
  <c r="B8" i="28"/>
  <c r="C30" i="12"/>
  <c r="C12" i="16"/>
  <c r="C24" i="42"/>
  <c r="C19" i="55" s="1"/>
  <c r="C11" i="16"/>
  <c r="N22" i="28"/>
  <c r="B16" i="30"/>
  <c r="Q14"/>
  <c r="C8"/>
  <c r="B8" s="1"/>
  <c r="G5" i="25"/>
  <c r="N5"/>
  <c r="C5"/>
  <c r="M5"/>
  <c r="E5"/>
  <c r="K5"/>
  <c r="D5"/>
  <c r="I5"/>
  <c r="J5"/>
  <c r="O5"/>
  <c r="L5"/>
  <c r="S23" i="28"/>
  <c r="E15" i="56"/>
  <c r="C25" i="42" s="1"/>
  <c r="C15" i="55" s="1"/>
  <c r="C16" s="1"/>
  <c r="H32" i="16"/>
  <c r="E29" i="49"/>
  <c r="E27"/>
  <c r="E21"/>
  <c r="E28"/>
  <c r="E19"/>
  <c r="B11" i="30"/>
  <c r="P10"/>
  <c r="J29" i="16"/>
  <c r="I25"/>
  <c r="I24"/>
  <c r="E24"/>
  <c r="I29"/>
  <c r="M15" i="31"/>
  <c r="N14" i="24"/>
  <c r="J15" i="31"/>
  <c r="B20" i="30"/>
  <c r="K15" i="31"/>
  <c r="L15"/>
  <c r="N15"/>
  <c r="B22" i="30"/>
  <c r="S20" s="1"/>
  <c r="J14" i="31"/>
  <c r="K54" i="30"/>
  <c r="L14" i="24"/>
  <c r="M15"/>
  <c r="L14" i="31"/>
  <c r="N15" i="24"/>
  <c r="M14" i="31"/>
  <c r="L15" i="24"/>
  <c r="N14" i="31"/>
  <c r="K14"/>
  <c r="M14" i="24"/>
  <c r="C36" i="49" l="1"/>
  <c r="D36" s="1"/>
  <c r="S21" i="30"/>
  <c r="S15" s="1"/>
  <c r="E22" i="49"/>
  <c r="D41" i="35"/>
  <c r="C11" i="37"/>
  <c r="C12" s="1"/>
  <c r="D12"/>
  <c r="D13" s="1"/>
  <c r="D16" i="36"/>
  <c r="D17" s="1"/>
  <c r="C16"/>
  <c r="C17" s="1"/>
  <c r="F46" i="66"/>
  <c r="G47"/>
  <c r="K18" i="31"/>
  <c r="AJ16" i="66"/>
  <c r="B22" i="28"/>
  <c r="S20" s="1"/>
  <c r="S21" s="1"/>
  <c r="S15" s="1"/>
  <c r="E30" i="49"/>
  <c r="C37"/>
  <c r="D37" s="1"/>
  <c r="C35"/>
  <c r="D35" s="1"/>
  <c r="C14" i="16"/>
  <c r="C37" s="1"/>
  <c r="B17" i="30"/>
  <c r="B10" s="1"/>
  <c r="B17" i="28"/>
  <c r="B10" s="1"/>
  <c r="C38" i="55"/>
  <c r="H5" i="25"/>
  <c r="B12" i="30"/>
  <c r="B9" s="1"/>
  <c r="B12" i="28"/>
  <c r="B9" s="1"/>
  <c r="C33" i="49"/>
  <c r="C33" i="36"/>
  <c r="J24" i="16"/>
  <c r="E30"/>
  <c r="J14" i="24"/>
  <c r="J15"/>
  <c r="K56" i="30"/>
  <c r="J18" i="31"/>
  <c r="O15"/>
  <c r="O14"/>
  <c r="M16" s="1"/>
  <c r="D41" i="16" l="1"/>
  <c r="D40"/>
  <c r="C13" i="37"/>
  <c r="D40" s="1"/>
  <c r="C39" i="16"/>
  <c r="D36"/>
  <c r="D39"/>
  <c r="C38" i="49"/>
  <c r="D38" s="1"/>
  <c r="D37" i="16"/>
  <c r="C38"/>
  <c r="C40"/>
  <c r="D38"/>
  <c r="C41"/>
  <c r="C36"/>
  <c r="H47" i="66"/>
  <c r="G46"/>
  <c r="AK16"/>
  <c r="B20" i="28"/>
  <c r="K54"/>
  <c r="K56" s="1"/>
  <c r="K14" i="24"/>
  <c r="O14" s="1"/>
  <c r="M16" s="1"/>
  <c r="K15"/>
  <c r="J18" s="1"/>
  <c r="J13" i="30"/>
  <c r="J17" s="1"/>
  <c r="C129" s="1"/>
  <c r="D33" i="49"/>
  <c r="J13" i="28"/>
  <c r="J17" s="1"/>
  <c r="C147" s="1"/>
  <c r="E26" i="37"/>
  <c r="E41"/>
  <c r="E24"/>
  <c r="E29"/>
  <c r="E27"/>
  <c r="E38"/>
  <c r="E23"/>
  <c r="E31"/>
  <c r="E28"/>
  <c r="E30"/>
  <c r="E22"/>
  <c r="E37"/>
  <c r="E33"/>
  <c r="E25"/>
  <c r="E40"/>
  <c r="E39"/>
  <c r="E35"/>
  <c r="E21"/>
  <c r="E32"/>
  <c r="E18"/>
  <c r="E20"/>
  <c r="E36"/>
  <c r="E34"/>
  <c r="E19"/>
  <c r="J30" i="16"/>
  <c r="L16" i="31"/>
  <c r="N16"/>
  <c r="K16"/>
  <c r="S14" i="28"/>
  <c r="J16" i="31"/>
  <c r="S14" i="30"/>
  <c r="D37" i="37" l="1"/>
  <c r="D34"/>
  <c r="D41"/>
  <c r="D18"/>
  <c r="C42" i="16"/>
  <c r="D42"/>
  <c r="D26" i="37"/>
  <c r="D36"/>
  <c r="D35"/>
  <c r="D19"/>
  <c r="D25"/>
  <c r="D24"/>
  <c r="D20"/>
  <c r="D38"/>
  <c r="D22"/>
  <c r="D29"/>
  <c r="D27"/>
  <c r="D39"/>
  <c r="D32"/>
  <c r="D23"/>
  <c r="D31"/>
  <c r="D21"/>
  <c r="D33"/>
  <c r="D28"/>
  <c r="D30"/>
  <c r="C58" i="30"/>
  <c r="C124"/>
  <c r="C149"/>
  <c r="C137"/>
  <c r="C93"/>
  <c r="C104"/>
  <c r="C100"/>
  <c r="C143"/>
  <c r="C131"/>
  <c r="C147"/>
  <c r="C94"/>
  <c r="H46" i="66"/>
  <c r="I47"/>
  <c r="C135" i="30"/>
  <c r="C125"/>
  <c r="C109"/>
  <c r="C67"/>
  <c r="C98"/>
  <c r="C78"/>
  <c r="C57"/>
  <c r="C119"/>
  <c r="C128"/>
  <c r="C71"/>
  <c r="AL16" i="66"/>
  <c r="C92" i="30"/>
  <c r="C106"/>
  <c r="C51"/>
  <c r="C76"/>
  <c r="F9" s="1"/>
  <c r="F15" s="1"/>
  <c r="H54" s="1"/>
  <c r="C53"/>
  <c r="C79"/>
  <c r="C110"/>
  <c r="C72"/>
  <c r="C136"/>
  <c r="C99"/>
  <c r="C66"/>
  <c r="C103"/>
  <c r="C87"/>
  <c r="C120"/>
  <c r="C54"/>
  <c r="C121"/>
  <c r="C102"/>
  <c r="C63"/>
  <c r="C64"/>
  <c r="C91"/>
  <c r="C122"/>
  <c r="C130"/>
  <c r="C141"/>
  <c r="C113"/>
  <c r="C73"/>
  <c r="C117"/>
  <c r="C88"/>
  <c r="C105"/>
  <c r="C132"/>
  <c r="C75"/>
  <c r="C150"/>
  <c r="C146"/>
  <c r="C86"/>
  <c r="O15" i="24"/>
  <c r="K16"/>
  <c r="C144" i="30"/>
  <c r="C118"/>
  <c r="C60"/>
  <c r="L16" i="24"/>
  <c r="J16"/>
  <c r="N16"/>
  <c r="K18"/>
  <c r="C138" i="30"/>
  <c r="C148"/>
  <c r="C55"/>
  <c r="C83"/>
  <c r="C114"/>
  <c r="C133"/>
  <c r="C89"/>
  <c r="C145"/>
  <c r="C84"/>
  <c r="C108"/>
  <c r="C61"/>
  <c r="C127"/>
  <c r="C77"/>
  <c r="C96"/>
  <c r="C59"/>
  <c r="C123"/>
  <c r="C90"/>
  <c r="C69"/>
  <c r="C140"/>
  <c r="C111"/>
  <c r="C115"/>
  <c r="C142"/>
  <c r="C68"/>
  <c r="C56"/>
  <c r="C62"/>
  <c r="C112"/>
  <c r="C139"/>
  <c r="C101"/>
  <c r="F24" s="1"/>
  <c r="F26" s="1"/>
  <c r="J54" s="1"/>
  <c r="C81"/>
  <c r="C116"/>
  <c r="C82"/>
  <c r="C134"/>
  <c r="C126"/>
  <c r="C74"/>
  <c r="C97"/>
  <c r="C52"/>
  <c r="C85"/>
  <c r="C80"/>
  <c r="C70"/>
  <c r="C95"/>
  <c r="C65"/>
  <c r="C107"/>
  <c r="E42" i="37"/>
  <c r="C122" i="28"/>
  <c r="C55"/>
  <c r="C132"/>
  <c r="C134"/>
  <c r="C63"/>
  <c r="C145"/>
  <c r="C58"/>
  <c r="C85"/>
  <c r="C92"/>
  <c r="C51"/>
  <c r="C64"/>
  <c r="C114"/>
  <c r="C68"/>
  <c r="C84"/>
  <c r="C90"/>
  <c r="C54"/>
  <c r="C121"/>
  <c r="C120"/>
  <c r="C95"/>
  <c r="C123"/>
  <c r="C86"/>
  <c r="C97"/>
  <c r="C76"/>
  <c r="F9" s="1"/>
  <c r="F15" s="1"/>
  <c r="H54" s="1"/>
  <c r="C53"/>
  <c r="C77"/>
  <c r="C67"/>
  <c r="C75"/>
  <c r="C143"/>
  <c r="C116"/>
  <c r="C74"/>
  <c r="C106"/>
  <c r="C138"/>
  <c r="C69"/>
  <c r="C105"/>
  <c r="C137"/>
  <c r="C88"/>
  <c r="C52"/>
  <c r="C56"/>
  <c r="C127"/>
  <c r="C115"/>
  <c r="C135"/>
  <c r="C70"/>
  <c r="C102"/>
  <c r="C65"/>
  <c r="C125"/>
  <c r="C128"/>
  <c r="C87"/>
  <c r="C91"/>
  <c r="C82"/>
  <c r="C146"/>
  <c r="C113"/>
  <c r="C104"/>
  <c r="C79"/>
  <c r="C139"/>
  <c r="C78"/>
  <c r="C142"/>
  <c r="C101"/>
  <c r="F24" s="1"/>
  <c r="F26" s="1"/>
  <c r="J54" s="1"/>
  <c r="C80"/>
  <c r="C108"/>
  <c r="C99"/>
  <c r="C110"/>
  <c r="C73"/>
  <c r="C133"/>
  <c r="C144"/>
  <c r="C103"/>
  <c r="C118"/>
  <c r="C150"/>
  <c r="C81"/>
  <c r="C109"/>
  <c r="C141"/>
  <c r="C96"/>
  <c r="C59"/>
  <c r="C140"/>
  <c r="C119"/>
  <c r="C131"/>
  <c r="C107"/>
  <c r="C66"/>
  <c r="C98"/>
  <c r="C130"/>
  <c r="C61"/>
  <c r="C93"/>
  <c r="C129"/>
  <c r="C72"/>
  <c r="C136"/>
  <c r="C124"/>
  <c r="C111"/>
  <c r="C83"/>
  <c r="C148"/>
  <c r="C62"/>
  <c r="C94"/>
  <c r="C126"/>
  <c r="C57"/>
  <c r="C89"/>
  <c r="C117"/>
  <c r="C149"/>
  <c r="C112"/>
  <c r="C60"/>
  <c r="C71"/>
  <c r="C100"/>
  <c r="T14"/>
  <c r="B25" s="1"/>
  <c r="S22"/>
  <c r="T14" i="30"/>
  <c r="B25" s="1"/>
  <c r="F12" s="1"/>
  <c r="S22"/>
  <c r="F8"/>
  <c r="F23" l="1"/>
  <c r="D42" i="37"/>
  <c r="F12" i="28"/>
  <c r="J47" i="66"/>
  <c r="I46"/>
  <c r="F14" i="30"/>
  <c r="AM16" i="66"/>
  <c r="F8" i="28"/>
  <c r="F25" i="30"/>
  <c r="F14" i="28"/>
  <c r="F23"/>
  <c r="F25"/>
  <c r="H56"/>
  <c r="M54"/>
  <c r="J56" i="30"/>
  <c r="J56" i="28"/>
  <c r="H56" i="30"/>
  <c r="M54"/>
  <c r="J46" i="66" l="1"/>
  <c r="K47"/>
  <c r="AN16"/>
  <c r="L47" l="1"/>
  <c r="K46"/>
  <c r="AO16"/>
  <c r="L46" l="1"/>
  <c r="M47"/>
  <c r="AP16"/>
  <c r="N47" l="1"/>
  <c r="M46"/>
  <c r="AQ16"/>
  <c r="N46" l="1"/>
  <c r="O47"/>
  <c r="AR16"/>
  <c r="P47" l="1"/>
  <c r="O46"/>
  <c r="AS16"/>
  <c r="P46" l="1"/>
  <c r="Q47"/>
  <c r="AT16"/>
  <c r="R47" l="1"/>
  <c r="Q46"/>
  <c r="AU16"/>
  <c r="R46" l="1"/>
  <c r="S47"/>
  <c r="AV16"/>
  <c r="T47" l="1"/>
  <c r="S46"/>
  <c r="AW16"/>
  <c r="T46" l="1"/>
  <c r="U47"/>
  <c r="AX16"/>
  <c r="V47" l="1"/>
  <c r="U46"/>
  <c r="AY16"/>
  <c r="V46" l="1"/>
  <c r="W47"/>
  <c r="X47" l="1"/>
  <c r="W46"/>
  <c r="X46" l="1"/>
  <c r="Y47"/>
  <c r="Z47" l="1"/>
  <c r="Y46"/>
  <c r="Z46" l="1"/>
  <c r="AA47"/>
  <c r="AB47" l="1"/>
  <c r="AA46"/>
  <c r="AB46" l="1"/>
  <c r="AC47"/>
  <c r="AD47" l="1"/>
  <c r="AC46"/>
  <c r="AD46" l="1"/>
  <c r="AE47"/>
  <c r="AF47" l="1"/>
  <c r="AE46"/>
  <c r="AF46" l="1"/>
  <c r="AG47"/>
  <c r="AH47" l="1"/>
  <c r="AG46"/>
  <c r="AH46" l="1"/>
  <c r="AI47"/>
  <c r="AJ47" l="1"/>
  <c r="AI46"/>
  <c r="AJ46" l="1"/>
  <c r="AK47"/>
  <c r="AL47" l="1"/>
  <c r="AK46"/>
  <c r="AL46" l="1"/>
  <c r="AM47"/>
  <c r="AN47" l="1"/>
  <c r="AM46"/>
  <c r="AN46" l="1"/>
  <c r="AO47"/>
  <c r="AP47" l="1"/>
  <c r="AO46"/>
  <c r="AP46" l="1"/>
  <c r="AQ47"/>
  <c r="AR47" l="1"/>
  <c r="AQ46"/>
  <c r="AR46" l="1"/>
  <c r="AS47"/>
  <c r="AT47" l="1"/>
  <c r="AS46"/>
  <c r="AT46" l="1"/>
  <c r="AU47"/>
  <c r="AV47" l="1"/>
  <c r="AU46"/>
  <c r="AV46" l="1"/>
  <c r="AW47"/>
  <c r="AX47" l="1"/>
  <c r="AW46"/>
  <c r="AX46" l="1"/>
  <c r="AY47"/>
  <c r="AY46" l="1"/>
</calcChain>
</file>

<file path=xl/comments1.xml><?xml version="1.0" encoding="utf-8"?>
<comments xmlns="http://schemas.openxmlformats.org/spreadsheetml/2006/main">
  <authors>
    <author>Chris DeAlmagro</author>
  </authors>
  <commentList>
    <comment ref="E11" authorId="0">
      <text>
        <r>
          <rPr>
            <sz val="8"/>
            <color indexed="81"/>
            <rFont val="Tahoma"/>
            <family val="2"/>
          </rPr>
          <t>Insert N/A only if there is no square footage associated with this space.</t>
        </r>
      </text>
    </comment>
    <comment ref="E12" authorId="0">
      <text>
        <r>
          <rPr>
            <sz val="8"/>
            <color indexed="81"/>
            <rFont val="Tahoma"/>
            <family val="2"/>
          </rPr>
          <t>Insert N/A only if there is no square footage associated with this space.</t>
        </r>
      </text>
    </comment>
    <comment ref="E13" authorId="0">
      <text>
        <r>
          <rPr>
            <sz val="8"/>
            <color indexed="81"/>
            <rFont val="Tahoma"/>
            <family val="2"/>
          </rPr>
          <t>Insert N/A only if there is no square footage associated with this space.</t>
        </r>
      </text>
    </comment>
    <comment ref="E14" authorId="0">
      <text>
        <r>
          <rPr>
            <sz val="8"/>
            <color indexed="81"/>
            <rFont val="Tahoma"/>
            <family val="2"/>
          </rPr>
          <t>Insert N/A only if there is no square footage associated with this space.</t>
        </r>
      </text>
    </comment>
    <comment ref="E15" authorId="0">
      <text>
        <r>
          <rPr>
            <sz val="8"/>
            <color indexed="81"/>
            <rFont val="Tahoma"/>
            <family val="2"/>
          </rPr>
          <t>Insert N/A only if there is no square footage associated with this space.</t>
        </r>
      </text>
    </comment>
    <comment ref="E16" authorId="0">
      <text>
        <r>
          <rPr>
            <sz val="8"/>
            <color indexed="81"/>
            <rFont val="Tahoma"/>
            <family val="2"/>
          </rPr>
          <t>Insert N/A only if there is no square footage associated with this space.</t>
        </r>
      </text>
    </comment>
    <comment ref="E17" authorId="0">
      <text>
        <r>
          <rPr>
            <sz val="8"/>
            <color indexed="81"/>
            <rFont val="Tahoma"/>
            <family val="2"/>
          </rPr>
          <t>Insert N/A only if there is no square footage associated with this space.</t>
        </r>
      </text>
    </comment>
    <comment ref="E18" authorId="0">
      <text>
        <r>
          <rPr>
            <sz val="8"/>
            <color indexed="81"/>
            <rFont val="Tahoma"/>
            <family val="2"/>
          </rPr>
          <t>Insert N/A only if there is no square footage associated with this space.</t>
        </r>
      </text>
    </comment>
    <comment ref="E19" authorId="0">
      <text>
        <r>
          <rPr>
            <sz val="8"/>
            <color indexed="81"/>
            <rFont val="Tahoma"/>
            <family val="2"/>
          </rPr>
          <t>Insert N/A only if there is no square footage associated with this space.</t>
        </r>
      </text>
    </comment>
    <comment ref="E20" authorId="0">
      <text>
        <r>
          <rPr>
            <sz val="8"/>
            <color indexed="81"/>
            <rFont val="Tahoma"/>
            <family val="2"/>
          </rPr>
          <t>Insert N/A only if there is no square footage associated with this space.</t>
        </r>
      </text>
    </comment>
    <comment ref="E21" authorId="0">
      <text>
        <r>
          <rPr>
            <sz val="8"/>
            <color indexed="81"/>
            <rFont val="Tahoma"/>
            <family val="2"/>
          </rPr>
          <t>Insert N/A only if there is no square footage associated with this space.</t>
        </r>
      </text>
    </comment>
    <comment ref="E22" authorId="0">
      <text>
        <r>
          <rPr>
            <sz val="8"/>
            <color indexed="81"/>
            <rFont val="Tahoma"/>
            <family val="2"/>
          </rPr>
          <t>Insert N/A only if there is no square footage associated with this space.</t>
        </r>
      </text>
    </comment>
    <comment ref="E23" authorId="0">
      <text>
        <r>
          <rPr>
            <sz val="8"/>
            <color indexed="81"/>
            <rFont val="Tahoma"/>
            <family val="2"/>
          </rPr>
          <t>Insert N/A only if there is no square footage associated with this space.</t>
        </r>
      </text>
    </comment>
  </commentList>
</comments>
</file>

<file path=xl/comments2.xml><?xml version="1.0" encoding="utf-8"?>
<comments xmlns="http://schemas.openxmlformats.org/spreadsheetml/2006/main">
  <authors>
    <author>Shelley Beaulieu</author>
    <author>gvijayakumar</author>
  </authors>
  <commentList>
    <comment ref="J3" authorId="0">
      <text>
        <r>
          <rPr>
            <sz val="8"/>
            <color indexed="81"/>
            <rFont val="Tahoma"/>
            <family val="2"/>
          </rPr>
          <t>e.g. Fluorescent, Incandescent, LED</t>
        </r>
      </text>
    </comment>
    <comment ref="L3" authorId="1">
      <text>
        <r>
          <rPr>
            <b/>
            <sz val="8"/>
            <color indexed="81"/>
            <rFont val="Tahoma"/>
            <family val="2"/>
          </rPr>
          <t xml:space="preserve">Follow Appendix B of Minimum Performance Standards
</t>
        </r>
        <r>
          <rPr>
            <sz val="8"/>
            <color indexed="81"/>
            <rFont val="Tahoma"/>
            <family val="2"/>
          </rPr>
          <t xml:space="preserve">
</t>
        </r>
      </text>
    </comment>
  </commentList>
</comments>
</file>

<file path=xl/sharedStrings.xml><?xml version="1.0" encoding="utf-8"?>
<sst xmlns="http://schemas.openxmlformats.org/spreadsheetml/2006/main" count="17760" uniqueCount="3028">
  <si>
    <t>$/Gallon</t>
  </si>
  <si>
    <t>Fossil Fuel, Btu</t>
  </si>
  <si>
    <t>9. When finished, be sure to delete any "#N/A" from blank rows.</t>
  </si>
  <si>
    <t>PROPOSED W/SF</t>
  </si>
  <si>
    <t>O</t>
  </si>
  <si>
    <t>P</t>
  </si>
  <si>
    <t>Q</t>
  </si>
  <si>
    <t>R</t>
  </si>
  <si>
    <t>S</t>
  </si>
  <si>
    <t>T</t>
  </si>
  <si>
    <t>U</t>
  </si>
  <si>
    <t>V</t>
  </si>
  <si>
    <t>eQuest SC</t>
  </si>
  <si>
    <t>PTHP</t>
  </si>
  <si>
    <t>Apartment</t>
  </si>
  <si>
    <t>3 - Bedroom</t>
  </si>
  <si>
    <t>4 - Bedroom</t>
  </si>
  <si>
    <t>Total Square Ft</t>
  </si>
  <si>
    <t>Conditioned?</t>
  </si>
  <si>
    <t>Heated &amp; Cooled</t>
  </si>
  <si>
    <t>Unconditioned</t>
  </si>
  <si>
    <t>Heated-Only</t>
  </si>
  <si>
    <t>Cooled-Only</t>
  </si>
  <si>
    <t>993</t>
  </si>
  <si>
    <t>"Richland"</t>
  </si>
  <si>
    <t>948</t>
  </si>
  <si>
    <t>"Richmond"</t>
  </si>
  <si>
    <t>230</t>
  </si>
  <si>
    <t>231</t>
  </si>
  <si>
    <t>232</t>
  </si>
  <si>
    <t>='Design Assistant'!I17</t>
  </si>
  <si>
    <t>CDD</t>
  </si>
  <si>
    <t>HDD</t>
  </si>
  <si>
    <t>"Wisconsin"</t>
  </si>
  <si>
    <t>"Eau Claire"</t>
  </si>
  <si>
    <t>MINNEAPOLIS-ST.PAUL    MN</t>
  </si>
  <si>
    <t>624</t>
  </si>
  <si>
    <t>"Effingham"</t>
  </si>
  <si>
    <t>798</t>
  </si>
  <si>
    <t>"El Paso"</t>
  </si>
  <si>
    <t>MIDLAND-ODESSA    TX</t>
  </si>
  <si>
    <t>El Paso</t>
  </si>
  <si>
    <t>TXELPASO.txt</t>
  </si>
  <si>
    <t>799</t>
  </si>
  <si>
    <t>EL PASO    TX</t>
  </si>
  <si>
    <t>279</t>
  </si>
  <si>
    <t>"Elizabeth City"</t>
  </si>
  <si>
    <t>NORFOLK    VA</t>
  </si>
  <si>
    <t>Norfolk</t>
  </si>
  <si>
    <t xml:space="preserve">VANORFOL.txt </t>
  </si>
  <si>
    <t>072</t>
  </si>
  <si>
    <t>"Elizabeth"</t>
  </si>
  <si>
    <t>NEWARK    NJ</t>
  </si>
  <si>
    <t>Newark</t>
  </si>
  <si>
    <t>NJNEWARK.txt</t>
  </si>
  <si>
    <t>427</t>
  </si>
  <si>
    <t>"Elizabethtown"</t>
  </si>
  <si>
    <t>898</t>
  </si>
  <si>
    <t>"Elko"</t>
  </si>
  <si>
    <t>Do apartments have dishwashers?  (Y/N)</t>
  </si>
  <si>
    <t>"Hyannis"</t>
  </si>
  <si>
    <t>834</t>
  </si>
  <si>
    <t>"Idaho Falls"</t>
  </si>
  <si>
    <t>POCATELLO    ID</t>
  </si>
  <si>
    <t>Pocatello</t>
  </si>
  <si>
    <t>IDPOCATE.txt</t>
  </si>
  <si>
    <t>673</t>
  </si>
  <si>
    <t>"Independence"</t>
  </si>
  <si>
    <t>157</t>
  </si>
  <si>
    <t>460</t>
  </si>
  <si>
    <t>"Indianapolis"</t>
  </si>
  <si>
    <t>461</t>
  </si>
  <si>
    <t>462</t>
  </si>
  <si>
    <t>903</t>
  </si>
  <si>
    <t>"Inglewood"</t>
  </si>
  <si>
    <t>LOS ANGELES AP    CA</t>
  </si>
  <si>
    <t>498</t>
  </si>
  <si>
    <t>"Iron Mountain"</t>
  </si>
  <si>
    <t>MARQUETTE    MI</t>
  </si>
  <si>
    <t>148</t>
  </si>
  <si>
    <t>"Ithaca"</t>
  </si>
  <si>
    <t>SYRACUSE    NY</t>
  </si>
  <si>
    <t>492</t>
  </si>
  <si>
    <t>"Jackson"</t>
  </si>
  <si>
    <t>390</t>
  </si>
  <si>
    <t>391</t>
  </si>
  <si>
    <t>392</t>
  </si>
  <si>
    <t>383</t>
  </si>
  <si>
    <t>830</t>
  </si>
  <si>
    <t>LANDER    WY</t>
  </si>
  <si>
    <t>320</t>
  </si>
  <si>
    <t>"Jacksonville"</t>
  </si>
  <si>
    <t>JACKSONVILLE    FL</t>
  </si>
  <si>
    <t>321</t>
  </si>
  <si>
    <t>322</t>
  </si>
  <si>
    <t>114</t>
  </si>
  <si>
    <t>"Jamaica"</t>
  </si>
  <si>
    <t>584</t>
  </si>
  <si>
    <t>"Jamestown"</t>
  </si>
  <si>
    <t>147</t>
  </si>
  <si>
    <t>355</t>
  </si>
  <si>
    <t>"Jasper"</t>
  </si>
  <si>
    <t>650</t>
  </si>
  <si>
    <t>"Jefferson_City"</t>
  </si>
  <si>
    <t>651</t>
  </si>
  <si>
    <t>073</t>
  </si>
  <si>
    <t>"Jersey_City"</t>
  </si>
  <si>
    <t>376</t>
  </si>
  <si>
    <t>"Johnson City"</t>
  </si>
  <si>
    <t>159</t>
  </si>
  <si>
    <t>"Johnstown"</t>
  </si>
  <si>
    <t>724</t>
  </si>
  <si>
    <t>"Jonesboro"</t>
  </si>
  <si>
    <t>648</t>
  </si>
  <si>
    <t>"Joplin"</t>
  </si>
  <si>
    <t>998</t>
  </si>
  <si>
    <t>"Juneau"</t>
  </si>
  <si>
    <t>JUNEAU    AK</t>
  </si>
  <si>
    <t>Juneau</t>
  </si>
  <si>
    <t>AKJUNEAU.txt</t>
  </si>
  <si>
    <t>490</t>
  </si>
  <si>
    <t>"Kalamazoo"</t>
  </si>
  <si>
    <t>491</t>
  </si>
  <si>
    <t>599</t>
  </si>
  <si>
    <t>"Kalispell"</t>
  </si>
  <si>
    <t>kWh</t>
  </si>
  <si>
    <t xml:space="preserve">Enter data in the cells highlighted with this color. </t>
  </si>
  <si>
    <t>For proposed design simulation enter exterior lighting specified on drawings.</t>
  </si>
  <si>
    <t>Area Type</t>
  </si>
  <si>
    <t xml:space="preserve">Lighting Power Density </t>
  </si>
  <si>
    <t>Area</t>
  </si>
  <si>
    <t>W/SqFt</t>
  </si>
  <si>
    <t>"Newport"</t>
  </si>
  <si>
    <t>143</t>
  </si>
  <si>
    <t>"Niagara Falls"</t>
  </si>
  <si>
    <t>687</t>
  </si>
  <si>
    <t>"Norfolk"</t>
  </si>
  <si>
    <t>Tradable</t>
  </si>
  <si>
    <t>Non-Tradable</t>
  </si>
  <si>
    <t>Notes:</t>
  </si>
  <si>
    <t xml:space="preserve">(1) Enter area of all illuminated walls or surfaces in the Area column </t>
  </si>
  <si>
    <t>(2) Enter total linear foot of door width for main entrance doors</t>
  </si>
  <si>
    <t xml:space="preserve">Enter data in the cells highlighted in this color. </t>
  </si>
  <si>
    <t>"Meridian"</t>
  </si>
  <si>
    <t>330</t>
  </si>
  <si>
    <t>"Miami"</t>
  </si>
  <si>
    <t>KEY WEST    FL</t>
  </si>
  <si>
    <t>331</t>
  </si>
  <si>
    <t>332</t>
  </si>
  <si>
    <t>409</t>
  </si>
  <si>
    <t>"Middlesboro"</t>
  </si>
  <si>
    <t>797</t>
  </si>
  <si>
    <t>"Midland"</t>
  </si>
  <si>
    <t>Midland Odessa</t>
  </si>
  <si>
    <t>TXMIDLAN.txt</t>
  </si>
  <si>
    <t>593</t>
  </si>
  <si>
    <t>"Miles City"</t>
  </si>
  <si>
    <t>GLASGOW    MT</t>
  </si>
  <si>
    <t>530</t>
  </si>
  <si>
    <t>"Milwaukee"</t>
  </si>
  <si>
    <t>Milwaukee</t>
  </si>
  <si>
    <t>WIMILWAU.txt</t>
  </si>
  <si>
    <t>531</t>
  </si>
  <si>
    <t>532</t>
  </si>
  <si>
    <t>MILWAUKEE    WI</t>
  </si>
  <si>
    <t>533</t>
  </si>
  <si>
    <t>553</t>
  </si>
  <si>
    <t>"Minneapolis"</t>
  </si>
  <si>
    <t>554</t>
  </si>
  <si>
    <t>115</t>
  </si>
  <si>
    <t>"Minneola"</t>
  </si>
  <si>
    <t>587</t>
  </si>
  <si>
    <t>"Minot"</t>
  </si>
  <si>
    <t>WILLISTON    ND</t>
  </si>
  <si>
    <t>598</t>
  </si>
  <si>
    <t>"Missoula"</t>
  </si>
  <si>
    <t>573</t>
  </si>
  <si>
    <t>"Mitchell"</t>
  </si>
  <si>
    <t>365</t>
  </si>
  <si>
    <t>"Mobile"</t>
  </si>
  <si>
    <t>366</t>
  </si>
  <si>
    <t>576</t>
  </si>
  <si>
    <t>"Mobridge"</t>
  </si>
  <si>
    <t>712</t>
  </si>
  <si>
    <t>"Monroe"</t>
  </si>
  <si>
    <t>939</t>
  </si>
  <si>
    <t>"Monterey"</t>
  </si>
  <si>
    <t>SAN FRANCISCO C.O.    CA</t>
  </si>
  <si>
    <t>San Francisco</t>
  </si>
  <si>
    <t>CASANFRA.txt</t>
  </si>
  <si>
    <t>360</t>
  </si>
  <si>
    <t>"Montgomery"</t>
  </si>
  <si>
    <t>361</t>
  </si>
  <si>
    <t>Source kBtu</t>
  </si>
  <si>
    <t>Source kBtu / unit</t>
  </si>
  <si>
    <t>Source kBtu @ 168 hours</t>
  </si>
  <si>
    <t>Bldg ES Target Site EU</t>
  </si>
  <si>
    <t>Bldg ES Target Source EU</t>
  </si>
  <si>
    <t>Assumed 0.75 times residental kBtu/SF.</t>
  </si>
  <si>
    <t>COOLP</t>
  </si>
  <si>
    <t>Based on CBECS 99 averages (~200 kBtu/sqft).</t>
  </si>
  <si>
    <t>Adjustment Factor =</t>
  </si>
  <si>
    <t>NA</t>
  </si>
  <si>
    <t>HEATP</t>
  </si>
  <si>
    <t>Assume parking light operating hrs are 84</t>
  </si>
  <si>
    <t>Bldg Site Total</t>
  </si>
  <si>
    <t># of bedrooms</t>
  </si>
  <si>
    <t># of apartments</t>
  </si>
  <si>
    <t># of clothes washers</t>
  </si>
  <si>
    <t>GPM</t>
  </si>
  <si>
    <t># kitchen faucets</t>
  </si>
  <si>
    <t># lav faucets</t>
  </si>
  <si>
    <t>C0</t>
  </si>
  <si>
    <t>Lsqftreg</t>
  </si>
  <si>
    <t>C1</t>
  </si>
  <si>
    <t>LSQFTREG</t>
  </si>
  <si>
    <t>mean sqftreg=</t>
  </si>
  <si>
    <t>cddcoolp</t>
  </si>
  <si>
    <t>C2</t>
  </si>
  <si>
    <t>hddheatp</t>
  </si>
  <si>
    <t>C3</t>
  </si>
  <si>
    <t>bedrooms</t>
  </si>
  <si>
    <t>C4</t>
  </si>
  <si>
    <t>BEDROOMS</t>
  </si>
  <si>
    <t>Benchmark Score</t>
  </si>
  <si>
    <t xml:space="preserve">Adj Ln Source kBtu </t>
  </si>
  <si>
    <t>Customized Adj Ln Source kBtu</t>
  </si>
  <si>
    <t>Gamma Fitting Not Done</t>
  </si>
  <si>
    <t>E Star Design</t>
  </si>
  <si>
    <t>Your Bldg</t>
  </si>
  <si>
    <t>Delta to min E Star design</t>
  </si>
  <si>
    <t>Building Source Energy Use (kBtu/year)</t>
  </si>
  <si>
    <t>Building Source E Use Intensity  (kBtu/ft2-year)</t>
  </si>
  <si>
    <r>
      <t>kBtu/</t>
    </r>
    <r>
      <rPr>
        <sz val="11"/>
        <rFont val="Arial"/>
        <family val="2"/>
      </rPr>
      <t>year</t>
    </r>
  </si>
  <si>
    <t>actual</t>
  </si>
  <si>
    <t>climate mapped</t>
  </si>
  <si>
    <t>weather normalization mapped</t>
  </si>
  <si>
    <t>zip_code</t>
  </si>
  <si>
    <t>zip_state</t>
  </si>
  <si>
    <t>zip_city</t>
  </si>
  <si>
    <t>city state</t>
  </si>
  <si>
    <t>state</t>
  </si>
  <si>
    <t>city</t>
  </si>
  <si>
    <t>file name</t>
  </si>
  <si>
    <t>User</t>
  </si>
  <si>
    <t>574</t>
  </si>
  <si>
    <t>"South_Dakota"</t>
  </si>
  <si>
    <t>SD</t>
  </si>
  <si>
    <t>"Aberdeen"</t>
  </si>
  <si>
    <t>ABERDEEN    SD</t>
  </si>
  <si>
    <t>Fargo</t>
  </si>
  <si>
    <t>ND</t>
  </si>
  <si>
    <t>NDFARGO.txt</t>
  </si>
  <si>
    <t>795</t>
  </si>
  <si>
    <t>"Texas"</t>
  </si>
  <si>
    <t>TX</t>
  </si>
  <si>
    <t>"Abilene"</t>
  </si>
  <si>
    <t>ABILENE    TX</t>
  </si>
  <si>
    <t>Abilene</t>
  </si>
  <si>
    <t>TXABILEN.txt</t>
  </si>
  <si>
    <t>796</t>
  </si>
  <si>
    <t>036</t>
  </si>
  <si>
    <t>"New_Hampshire"</t>
  </si>
  <si>
    <t>NH</t>
  </si>
  <si>
    <t>"Acworth"</t>
  </si>
  <si>
    <t>CONCORD    NH</t>
  </si>
  <si>
    <t>Concord</t>
  </si>
  <si>
    <t>NHCONCOR.txt</t>
  </si>
  <si>
    <t>790</t>
  </si>
  <si>
    <t>"Adrian"</t>
  </si>
  <si>
    <t>AMARILLO    TX</t>
  </si>
  <si>
    <t>Amarillo</t>
  </si>
  <si>
    <t>TXAMARIL.txt</t>
  </si>
  <si>
    <t>298</t>
  </si>
  <si>
    <t>"South_Carolina"</t>
  </si>
  <si>
    <t>SC</t>
  </si>
  <si>
    <t>"Aiken"</t>
  </si>
  <si>
    <t>COLUMBIA    SC</t>
  </si>
  <si>
    <t>Columbia</t>
  </si>
  <si>
    <t>SCCOLMBA.txt</t>
  </si>
  <si>
    <t>714</t>
  </si>
  <si>
    <t>"Louisiana"</t>
  </si>
  <si>
    <t>LA</t>
  </si>
  <si>
    <t>540</t>
  </si>
  <si>
    <t>"River Falls"</t>
  </si>
  <si>
    <t>119</t>
  </si>
  <si>
    <t>"Riverhead"</t>
  </si>
  <si>
    <t>925</t>
  </si>
  <si>
    <t>"Riverside"</t>
  </si>
  <si>
    <t>825</t>
  </si>
  <si>
    <t>"Riverton"</t>
  </si>
  <si>
    <t>240</t>
  </si>
  <si>
    <t>"Roanoke"</t>
  </si>
  <si>
    <t>241</t>
  </si>
  <si>
    <t>559</t>
  </si>
  <si>
    <t>"Rochester"</t>
  </si>
  <si>
    <t>144</t>
  </si>
  <si>
    <t>145</t>
  </si>
  <si>
    <t>146</t>
  </si>
  <si>
    <t>612</t>
  </si>
  <si>
    <t>"Rock Island"</t>
  </si>
  <si>
    <t>829</t>
  </si>
  <si>
    <t>"Rock Springs"</t>
  </si>
  <si>
    <t>297</t>
  </si>
  <si>
    <t>"Rock_Hill"</t>
  </si>
  <si>
    <t>610</t>
  </si>
  <si>
    <t>"Rockford"</t>
  </si>
  <si>
    <t>611</t>
  </si>
  <si>
    <t>048</t>
  </si>
  <si>
    <t>"Rockland"</t>
  </si>
  <si>
    <t>208</t>
  </si>
  <si>
    <t>"Rockville"</t>
  </si>
  <si>
    <t>278</t>
  </si>
  <si>
    <t>"Rocky Mount"</t>
  </si>
  <si>
    <t>654</t>
  </si>
  <si>
    <t>"Rolla"</t>
  </si>
  <si>
    <t>655</t>
  </si>
  <si>
    <t>882</t>
  </si>
  <si>
    <t>"Roswell"</t>
  </si>
  <si>
    <t>ROSWELL    NM</t>
  </si>
  <si>
    <t>480</t>
  </si>
  <si>
    <t>"Royal Oak"</t>
  </si>
  <si>
    <t>728</t>
  </si>
  <si>
    <t>"Russellville"</t>
  </si>
  <si>
    <t>422</t>
  </si>
  <si>
    <t>057</t>
  </si>
  <si>
    <t>"Rutland"</t>
  </si>
  <si>
    <t>958</t>
  </si>
  <si>
    <t>"Sacramento"</t>
  </si>
  <si>
    <t>942</t>
  </si>
  <si>
    <t>"Sacramento/Placerville"</t>
  </si>
  <si>
    <t>956</t>
  </si>
  <si>
    <t>486</t>
  </si>
  <si>
    <t>"Saginaw"</t>
  </si>
  <si>
    <t>487</t>
  </si>
  <si>
    <t>633</t>
  </si>
  <si>
    <t>"Saint Charles"</t>
  </si>
  <si>
    <t>563</t>
  </si>
  <si>
    <t>"Saint Cloud"</t>
  </si>
  <si>
    <t>644</t>
  </si>
  <si>
    <t>"Saint Joseph"</t>
  </si>
  <si>
    <t>645</t>
  </si>
  <si>
    <t>630</t>
  </si>
  <si>
    <t>"Saint Louis"</t>
  </si>
  <si>
    <t>631</t>
  </si>
  <si>
    <t>632</t>
  </si>
  <si>
    <t>550</t>
  </si>
  <si>
    <t>"Saint Paul"</t>
  </si>
  <si>
    <t>551</t>
  </si>
  <si>
    <t>973</t>
  </si>
  <si>
    <t>"Salem"</t>
  </si>
  <si>
    <t>812</t>
  </si>
  <si>
    <t>"Salida"</t>
  </si>
  <si>
    <t>674</t>
  </si>
  <si>
    <t>"Salina"</t>
  </si>
  <si>
    <t>218</t>
  </si>
  <si>
    <t>"Salisbury"</t>
  </si>
  <si>
    <t>WALLOPS ISLAND    VA</t>
  </si>
  <si>
    <t>841</t>
  </si>
  <si>
    <t>"Salt Lake City"</t>
  </si>
  <si>
    <t>840</t>
  </si>
  <si>
    <t>"Salt Lake City/Heber City"</t>
  </si>
  <si>
    <t>769</t>
  </si>
  <si>
    <t>"San Angelo"</t>
  </si>
  <si>
    <t>SAN ANGELO    TX</t>
  </si>
  <si>
    <t>San Angelo</t>
  </si>
  <si>
    <t>TXSANANG.txt</t>
  </si>
  <si>
    <t>781</t>
  </si>
  <si>
    <t>"San Antonio"</t>
  </si>
  <si>
    <t>782</t>
  </si>
  <si>
    <t>923</t>
  </si>
  <si>
    <t>"San Bern./Victorville/Redlands"</t>
  </si>
  <si>
    <t>924</t>
  </si>
  <si>
    <t>"San Bernardino"</t>
  </si>
  <si>
    <t>919</t>
  </si>
  <si>
    <t>"San Diego"</t>
  </si>
  <si>
    <t>920</t>
  </si>
  <si>
    <t>921</t>
  </si>
  <si>
    <t>941</t>
  </si>
  <si>
    <t>"San Francisco"</t>
  </si>
  <si>
    <t>"Aimwell"</t>
  </si>
  <si>
    <t>SHREVEPORT    LA</t>
  </si>
  <si>
    <t>Shreveport</t>
  </si>
  <si>
    <t>LASHREVE.txt</t>
  </si>
  <si>
    <t>442</t>
  </si>
  <si>
    <t>"Ohio"</t>
  </si>
  <si>
    <t>OH</t>
  </si>
  <si>
    <t>"Akron"</t>
  </si>
  <si>
    <t>AKRON    OH</t>
  </si>
  <si>
    <t>Akron Canton</t>
  </si>
  <si>
    <t>OHAKRON.txt</t>
  </si>
  <si>
    <t>443</t>
  </si>
  <si>
    <t>811</t>
  </si>
  <si>
    <t>"Colorado"</t>
  </si>
  <si>
    <t>CO</t>
  </si>
  <si>
    <t>"Alamosa"</t>
  </si>
  <si>
    <t>ALAMOSA    CO</t>
  </si>
  <si>
    <t>Colorado Springs</t>
  </si>
  <si>
    <t>COCOSPGS.txt</t>
  </si>
  <si>
    <t>317</t>
  </si>
  <si>
    <t>"Georgia"</t>
  </si>
  <si>
    <t>GA</t>
  </si>
  <si>
    <t>"Albany"</t>
  </si>
  <si>
    <t>COLUMBUS    GA</t>
  </si>
  <si>
    <t>Columbus</t>
  </si>
  <si>
    <t>GACOLMBS.txt</t>
  </si>
  <si>
    <t>120</t>
  </si>
  <si>
    <t>"New_York"</t>
  </si>
  <si>
    <t>NY</t>
  </si>
  <si>
    <t>ALBANY    NY</t>
  </si>
  <si>
    <t>Albany</t>
  </si>
  <si>
    <t>NYALBANY.txt</t>
  </si>
  <si>
    <t>121</t>
  </si>
  <si>
    <t>122</t>
  </si>
  <si>
    <t>871</t>
  </si>
  <si>
    <t>"New_Mexico"</t>
  </si>
  <si>
    <t>NM</t>
  </si>
  <si>
    <t>"Albuquerque"</t>
  </si>
  <si>
    <t>ALBUQUERQUE    NM</t>
  </si>
  <si>
    <t>Albuquerque</t>
  </si>
  <si>
    <t>NMALBUQU.txt</t>
  </si>
  <si>
    <t>872</t>
  </si>
  <si>
    <t>713</t>
  </si>
  <si>
    <t>"Alexandria"</t>
  </si>
  <si>
    <t>223</t>
  </si>
  <si>
    <t>"Virginia"</t>
  </si>
  <si>
    <t>VA</t>
  </si>
  <si>
    <t>WASHINGTON NAT'L AP DC</t>
  </si>
  <si>
    <t>DC</t>
  </si>
  <si>
    <t>Washington</t>
  </si>
  <si>
    <t>MD</t>
  </si>
  <si>
    <t>MDWASHDC.txt</t>
  </si>
  <si>
    <t>918</t>
  </si>
  <si>
    <t>"California"</t>
  </si>
  <si>
    <t>CA</t>
  </si>
  <si>
    <t>"Alhambra"</t>
  </si>
  <si>
    <t>LOS ANGELES C.O.    CA</t>
  </si>
  <si>
    <t>Los Angeles</t>
  </si>
  <si>
    <t>CALOSANG.txt</t>
  </si>
  <si>
    <t>181</t>
  </si>
  <si>
    <t>"Pennsylvania"</t>
  </si>
  <si>
    <t>PA</t>
  </si>
  <si>
    <t>"Allentown"</t>
  </si>
  <si>
    <t>ALLENTOWN    PA</t>
  </si>
  <si>
    <t>Allentown</t>
  </si>
  <si>
    <t>PAALLENT.txt</t>
  </si>
  <si>
    <t>693</t>
  </si>
  <si>
    <t>"Nebraska"</t>
  </si>
  <si>
    <t>NE</t>
  </si>
  <si>
    <t>"Alliance"</t>
  </si>
  <si>
    <t>RAPID CITY    SD</t>
  </si>
  <si>
    <t>Rapid City</t>
  </si>
  <si>
    <t>SDRAPCTY.txt</t>
  </si>
  <si>
    <t>166</t>
  </si>
  <si>
    <t>"Altoona"</t>
  </si>
  <si>
    <t>PITTSBURGH    PA</t>
  </si>
  <si>
    <t>Pittsburgh</t>
  </si>
  <si>
    <t>PAPITTSB.txt</t>
  </si>
  <si>
    <t>791</t>
  </si>
  <si>
    <t>"Amarillo"</t>
  </si>
  <si>
    <t>928</t>
  </si>
  <si>
    <t>"Anaheim"</t>
  </si>
  <si>
    <t>LONG BEACH    CA</t>
  </si>
  <si>
    <t>995</t>
  </si>
  <si>
    <t>"Alaska"</t>
  </si>
  <si>
    <t>AK</t>
  </si>
  <si>
    <t>"Anchorage"</t>
  </si>
  <si>
    <t>ANCHORAGE    AK</t>
  </si>
  <si>
    <t>Anchorage</t>
  </si>
  <si>
    <t>AKANCHOR.txt</t>
  </si>
  <si>
    <t>996</t>
  </si>
  <si>
    <t>289</t>
  </si>
  <si>
    <t>"North_Carolina"</t>
  </si>
  <si>
    <t>NC</t>
  </si>
  <si>
    <t>"Andrews"</t>
  </si>
  <si>
    <t>KNOXVILLE    TN</t>
  </si>
  <si>
    <t>TN</t>
  </si>
  <si>
    <t>Knoxville</t>
  </si>
  <si>
    <t>TNKNOXVI.txt</t>
  </si>
  <si>
    <t>481</t>
  </si>
  <si>
    <t>"Michigan"</t>
  </si>
  <si>
    <t>MI</t>
  </si>
  <si>
    <t>"Ann Arbor"</t>
  </si>
  <si>
    <t>DETROIT    MI</t>
  </si>
  <si>
    <t>Detroit</t>
  </si>
  <si>
    <t>MIDETROI.txt</t>
  </si>
  <si>
    <t>214</t>
  </si>
  <si>
    <t>"Maryland"</t>
  </si>
  <si>
    <t>"Annapolis"</t>
  </si>
  <si>
    <t>BALTIMORE    MD</t>
  </si>
  <si>
    <t>Baltimore</t>
  </si>
  <si>
    <t>MDBALTIM.txt</t>
  </si>
  <si>
    <t>362</t>
  </si>
  <si>
    <t>"Alabama"</t>
  </si>
  <si>
    <t>AL</t>
  </si>
  <si>
    <t>"Anniston"</t>
  </si>
  <si>
    <t>BIRMINGHAM AP    AL</t>
  </si>
  <si>
    <t>Birmingham</t>
  </si>
  <si>
    <t xml:space="preserve">ALBIRMIN.txt </t>
  </si>
  <si>
    <t>734</t>
  </si>
  <si>
    <t>"Oklahoma"</t>
  </si>
  <si>
    <t>OK</t>
  </si>
  <si>
    <t>"Ardmore"</t>
  </si>
  <si>
    <t>DALLAS-FORT WORTH    TX</t>
  </si>
  <si>
    <t>Dallas Ft Worth</t>
  </si>
  <si>
    <t>TXDALLAS.txt</t>
  </si>
  <si>
    <t>222</t>
  </si>
  <si>
    <t>"Arlington"</t>
  </si>
  <si>
    <t>287</t>
  </si>
  <si>
    <t>"Asheville"</t>
  </si>
  <si>
    <t>BRISTOL-JHNSN CTY-KNGSPRT    TN</t>
  </si>
  <si>
    <t>Asheville</t>
  </si>
  <si>
    <t>NCASHEVI.txt</t>
  </si>
  <si>
    <t>288</t>
  </si>
  <si>
    <t>ASHEVILLE    NC</t>
  </si>
  <si>
    <t>411</t>
  </si>
  <si>
    <t>"Kentucky"</t>
  </si>
  <si>
    <t>KY</t>
  </si>
  <si>
    <t>"Ashland"</t>
  </si>
  <si>
    <t>Units</t>
  </si>
  <si>
    <t>Appliances</t>
  </si>
  <si>
    <t>Raleigh Durham</t>
  </si>
  <si>
    <t>NCRALEIG.txt</t>
  </si>
  <si>
    <t>620</t>
  </si>
  <si>
    <t>"East Saint Louis"</t>
  </si>
  <si>
    <t>622</t>
  </si>
  <si>
    <t>216</t>
  </si>
  <si>
    <t>"Easton"</t>
  </si>
  <si>
    <t>547</t>
  </si>
  <si>
    <t>"Erie"</t>
  </si>
  <si>
    <t>165</t>
  </si>
  <si>
    <t>974</t>
  </si>
  <si>
    <t>"Eugene"</t>
  </si>
  <si>
    <t>EUGENE    OR</t>
  </si>
  <si>
    <t>Eugene</t>
  </si>
  <si>
    <t>OREUGENE.txt</t>
  </si>
  <si>
    <t>955</t>
  </si>
  <si>
    <t>"Eureka"</t>
  </si>
  <si>
    <t>EUREKA    CA</t>
  </si>
  <si>
    <t>Medford</t>
  </si>
  <si>
    <t>ORMEDFOR.txt</t>
  </si>
  <si>
    <t>602</t>
  </si>
  <si>
    <t>"Evanston"</t>
  </si>
  <si>
    <t>476</t>
  </si>
  <si>
    <t>WVELKINS.txt</t>
  </si>
  <si>
    <t>264</t>
  </si>
  <si>
    <t>994</t>
  </si>
  <si>
    <t>"Washington"</t>
  </si>
  <si>
    <t>"Clarkston"</t>
  </si>
  <si>
    <t>PENDLETON    OR</t>
  </si>
  <si>
    <t>346</t>
  </si>
  <si>
    <t>"Clearwater"</t>
  </si>
  <si>
    <t>440</t>
  </si>
  <si>
    <t>"Cleveland"</t>
  </si>
  <si>
    <t>CLEVELAND    OH</t>
  </si>
  <si>
    <t>Cleveland</t>
  </si>
  <si>
    <t>OHCLEVEL.txt</t>
  </si>
  <si>
    <t>441</t>
  </si>
  <si>
    <t>736</t>
  </si>
  <si>
    <t>"Clinton"</t>
  </si>
  <si>
    <t>OKLAHOMA CITY    OK</t>
  </si>
  <si>
    <t>"Palo Alto"</t>
  </si>
  <si>
    <t>324</t>
  </si>
  <si>
    <t>"Panama City"</t>
  </si>
  <si>
    <t>APALACHICOLA    FL</t>
  </si>
  <si>
    <t>Tallahassee</t>
  </si>
  <si>
    <t>FLTALLAH.txt</t>
  </si>
  <si>
    <t>261</t>
  </si>
  <si>
    <t>"Parkersburg"</t>
  </si>
  <si>
    <t>910</t>
  </si>
  <si>
    <t>"Pasadena"</t>
  </si>
  <si>
    <t>911</t>
  </si>
  <si>
    <t>074</t>
  </si>
  <si>
    <t>"Paterson"</t>
  </si>
  <si>
    <t>075</t>
  </si>
  <si>
    <t>978</t>
  </si>
  <si>
    <t>"Pendleton"</t>
  </si>
  <si>
    <t>TNNASHVI.txt</t>
  </si>
  <si>
    <t>318</t>
  </si>
  <si>
    <t>"Columbus"</t>
  </si>
  <si>
    <t>MACON    GA</t>
  </si>
  <si>
    <t>319</t>
  </si>
  <si>
    <t>472</t>
  </si>
  <si>
    <t>397</t>
  </si>
  <si>
    <t>"Mississippi"</t>
  </si>
  <si>
    <t>686</t>
  </si>
  <si>
    <t>GRAND ISLAND    NE</t>
  </si>
  <si>
    <t>Lincoln</t>
  </si>
  <si>
    <t>NELINCOL.txt</t>
  </si>
  <si>
    <t>430</t>
  </si>
  <si>
    <t>431</t>
  </si>
  <si>
    <t>432</t>
  </si>
  <si>
    <t>945</t>
  </si>
  <si>
    <t>"Concord"</t>
  </si>
  <si>
    <t>SACRAMENTO    CA</t>
  </si>
  <si>
    <t>Sacramento</t>
  </si>
  <si>
    <t>CASACRAM.txt</t>
  </si>
  <si>
    <t>033</t>
  </si>
  <si>
    <t>669</t>
  </si>
  <si>
    <t>"Concordia"</t>
  </si>
  <si>
    <t>CONCORDIA    KS</t>
  </si>
  <si>
    <t>Topeka</t>
  </si>
  <si>
    <t>KSTOPEKA.txt</t>
  </si>
  <si>
    <t>WORCESTER    MA</t>
  </si>
  <si>
    <t>Boston</t>
  </si>
  <si>
    <t>MABOSTON.txt</t>
  </si>
  <si>
    <t>021</t>
  </si>
  <si>
    <t>BOSTON    MA</t>
  </si>
  <si>
    <t>022</t>
  </si>
  <si>
    <t>803</t>
  </si>
  <si>
    <t>"Boulder"</t>
  </si>
  <si>
    <t>DENVER    CO</t>
  </si>
  <si>
    <t>Denver</t>
  </si>
  <si>
    <t>CODENVER.txt</t>
  </si>
  <si>
    <t>421</t>
  </si>
  <si>
    <t>"Bowling Green"</t>
  </si>
  <si>
    <t>LOUISVILLE    KY</t>
  </si>
  <si>
    <t>Louisville</t>
  </si>
  <si>
    <t>KYLOUISV.txt</t>
  </si>
  <si>
    <t>434</t>
  </si>
  <si>
    <t>TOLEDO    OH</t>
  </si>
  <si>
    <t>Toledo</t>
  </si>
  <si>
    <t>OHTOLEDO.txt</t>
  </si>
  <si>
    <t>342</t>
  </si>
  <si>
    <t>"Florida"</t>
  </si>
  <si>
    <t>FL</t>
  </si>
  <si>
    <t>"Bradenton"</t>
  </si>
  <si>
    <t>TAMPA    FL</t>
  </si>
  <si>
    <t>Tampa St. Petersburg</t>
  </si>
  <si>
    <t>FLTAMPA.txt</t>
  </si>
  <si>
    <t>167</t>
  </si>
  <si>
    <t>"Bradford"</t>
  </si>
  <si>
    <t>ERIE    PA</t>
  </si>
  <si>
    <t>Erie</t>
  </si>
  <si>
    <t>PAERIE.txt</t>
  </si>
  <si>
    <t>564</t>
  </si>
  <si>
    <t>"Brainerd"</t>
  </si>
  <si>
    <t>SAINT CLOUD    MN</t>
  </si>
  <si>
    <t>Minneapolis St. Paul</t>
  </si>
  <si>
    <t>MNMINPLS.txt</t>
  </si>
  <si>
    <t>053</t>
  </si>
  <si>
    <t>"Brattleboro"</t>
  </si>
  <si>
    <t>066</t>
  </si>
  <si>
    <t>"Connecticut"</t>
  </si>
  <si>
    <t>CT</t>
  </si>
  <si>
    <t>"Bridgeport"</t>
  </si>
  <si>
    <t>BRIDGEPORT    CT</t>
  </si>
  <si>
    <t>Bridgeport</t>
  </si>
  <si>
    <t>CTBRIDGE.txt</t>
  </si>
  <si>
    <t>242</t>
  </si>
  <si>
    <t>"Bristol"</t>
  </si>
  <si>
    <t>023</t>
  </si>
  <si>
    <t>Oklahoma City</t>
  </si>
  <si>
    <t>OKOKLCTY.txt</t>
  </si>
  <si>
    <t>881</t>
  </si>
  <si>
    <t>"Clovis"</t>
  </si>
  <si>
    <t>CLAYTON    NM</t>
  </si>
  <si>
    <t>838</t>
  </si>
  <si>
    <t>"Coeur D'Alene"</t>
  </si>
  <si>
    <t>Do not edit cells highlighted in this color.</t>
  </si>
  <si>
    <t># of washers</t>
  </si>
  <si>
    <t># of dishwashers</t>
  </si>
  <si>
    <t>Common Washer, kWh/yr-bldg</t>
  </si>
  <si>
    <t>In-Unit Clothes Washer, kWh/yr-bldg</t>
  </si>
  <si>
    <t># of dryers</t>
  </si>
  <si>
    <t>In-Unit Dryer, kWh/yr-bldg</t>
  </si>
  <si>
    <t>Common Dryer, kWh/yr-bldg</t>
  </si>
  <si>
    <t>Apartment Systems</t>
  </si>
  <si>
    <t xml:space="preserve"> </t>
  </si>
  <si>
    <t>"Whittier"</t>
  </si>
  <si>
    <t>763</t>
  </si>
  <si>
    <t>"Wichita Falls"</t>
  </si>
  <si>
    <t>670</t>
  </si>
  <si>
    <t>"Wichita"</t>
  </si>
  <si>
    <t>671</t>
  </si>
  <si>
    <t>672</t>
  </si>
  <si>
    <t>186</t>
  </si>
  <si>
    <t>"Wilkes-Barre"</t>
  </si>
  <si>
    <t>187</t>
  </si>
  <si>
    <t>177</t>
  </si>
  <si>
    <t>"Williamsport"</t>
  </si>
  <si>
    <t>062</t>
  </si>
  <si>
    <t>"Willimantic"</t>
  </si>
  <si>
    <t>588</t>
  </si>
  <si>
    <t>"Williston"</t>
  </si>
  <si>
    <t>562</t>
  </si>
  <si>
    <t>"Willmar"</t>
  </si>
  <si>
    <t>HURON    SD</t>
  </si>
  <si>
    <t>197</t>
  </si>
  <si>
    <t>"Wilmington"</t>
  </si>
  <si>
    <t>198</t>
  </si>
  <si>
    <t>284</t>
  </si>
  <si>
    <t>226</t>
  </si>
  <si>
    <t>"Winchester"</t>
  </si>
  <si>
    <t>561</t>
  </si>
  <si>
    <t>"Windom"</t>
  </si>
  <si>
    <t>865</t>
  </si>
  <si>
    <t>"Window Rock"</t>
  </si>
  <si>
    <t>270</t>
  </si>
  <si>
    <t>"Winston-Salem"</t>
  </si>
  <si>
    <t>271</t>
  </si>
  <si>
    <t>018</t>
  </si>
  <si>
    <t>"Woburn"</t>
  </si>
  <si>
    <t>592</t>
  </si>
  <si>
    <t>"Wolf Point"</t>
  </si>
  <si>
    <t>738</t>
  </si>
  <si>
    <t>"Woodward"</t>
  </si>
  <si>
    <t>014</t>
  </si>
  <si>
    <t>"Worcester"</t>
  </si>
  <si>
    <t>015</t>
  </si>
  <si>
    <t>016</t>
  </si>
  <si>
    <t>Hartford-Springfield</t>
  </si>
  <si>
    <t>CTHARTFO.txt</t>
  </si>
  <si>
    <t>061</t>
  </si>
  <si>
    <t>HARTFORD    CT</t>
  </si>
  <si>
    <t>689</t>
  </si>
  <si>
    <t>"Hastings"</t>
  </si>
  <si>
    <t>394</t>
  </si>
  <si>
    <t>"Hattiesburg"</t>
  </si>
  <si>
    <t>MOBILE    AL</t>
  </si>
  <si>
    <t>Mobile</t>
  </si>
  <si>
    <t>ALMOBILE.txt</t>
  </si>
  <si>
    <t>595</t>
  </si>
  <si>
    <t>"Havre"</t>
  </si>
  <si>
    <t>676</t>
  </si>
  <si>
    <t>"Hays"</t>
  </si>
  <si>
    <t>417</t>
  </si>
  <si>
    <t>"Hazard"</t>
  </si>
  <si>
    <t>418</t>
  </si>
  <si>
    <t>182</t>
  </si>
  <si>
    <t>"Hazleton"</t>
  </si>
  <si>
    <t>AVOCA    PA</t>
  </si>
  <si>
    <t>596</t>
  </si>
  <si>
    <t>"Helena"</t>
  </si>
  <si>
    <t>HELENA    MT</t>
  </si>
  <si>
    <t>424</t>
  </si>
  <si>
    <t>"Henderson"</t>
  </si>
  <si>
    <t>286</t>
  </si>
  <si>
    <t>"Hickory"</t>
  </si>
  <si>
    <t>117</t>
  </si>
  <si>
    <t>"Hicksville"</t>
  </si>
  <si>
    <t>118</t>
  </si>
  <si>
    <t>967</t>
  </si>
  <si>
    <t>"Hawaii"</t>
  </si>
  <si>
    <t>HI</t>
  </si>
  <si>
    <t>"Honolulu"</t>
  </si>
  <si>
    <t>HILO    HI</t>
  </si>
  <si>
    <t>Honolulu</t>
  </si>
  <si>
    <t>HIHONOLU.txt</t>
  </si>
  <si>
    <t>968</t>
  </si>
  <si>
    <t>HONOLULU    HI</t>
  </si>
  <si>
    <t>970</t>
  </si>
  <si>
    <t>"Hood River"</t>
  </si>
  <si>
    <t>SALEM    OR</t>
  </si>
  <si>
    <t>Salem</t>
  </si>
  <si>
    <t>ORSALEM.txt</t>
  </si>
  <si>
    <t>718</t>
  </si>
  <si>
    <t>"Hope"</t>
  </si>
  <si>
    <t>719</t>
  </si>
  <si>
    <t>"Hot Springs"</t>
  </si>
  <si>
    <t>499</t>
  </si>
  <si>
    <t>"Houghton"</t>
  </si>
  <si>
    <t>HOUGHTON LAKE    MI</t>
  </si>
  <si>
    <t>Sault Ste Marie</t>
  </si>
  <si>
    <t>MISTEMAR.txt</t>
  </si>
  <si>
    <t>770</t>
  </si>
  <si>
    <t>"Houston"</t>
  </si>
  <si>
    <t>771</t>
  </si>
  <si>
    <t>772</t>
  </si>
  <si>
    <t>774</t>
  </si>
  <si>
    <t>255</t>
  </si>
  <si>
    <t>"Huntington"</t>
  </si>
  <si>
    <t>257</t>
  </si>
  <si>
    <t>357</t>
  </si>
  <si>
    <t>"Huntsville"</t>
  </si>
  <si>
    <t>358</t>
  </si>
  <si>
    <t>675</t>
  </si>
  <si>
    <t>"Hutchinson"</t>
  </si>
  <si>
    <t>026</t>
  </si>
  <si>
    <t>Average # bedrooms in living units</t>
  </si>
  <si>
    <t>Common Washer, W/SqFt</t>
  </si>
  <si>
    <t>Common Dryer, W/SqFt</t>
  </si>
  <si>
    <t>F-factor</t>
  </si>
  <si>
    <t>1 Dryer</t>
  </si>
  <si>
    <t>In-Unit Washer, W/SqFt</t>
  </si>
  <si>
    <t>In-Unit Dryer, W/SqFt</t>
  </si>
  <si>
    <t>1 Stove</t>
  </si>
  <si>
    <t>Baseline Design</t>
  </si>
  <si>
    <t>Exterior Lighting Allowances (Per Table 9.4.5 of ASHRAE 90.1)</t>
  </si>
  <si>
    <t>Total Area For Space Type, SqFt</t>
  </si>
  <si>
    <t>952</t>
  </si>
  <si>
    <t>"Stockton"</t>
  </si>
  <si>
    <t>STOCKTON    CA</t>
  </si>
  <si>
    <t>183</t>
  </si>
  <si>
    <t>"Stroudsburg"</t>
  </si>
  <si>
    <t>439</t>
  </si>
  <si>
    <t>"Stuebenville"</t>
  </si>
  <si>
    <t>109</t>
  </si>
  <si>
    <t>"Suffern"</t>
  </si>
  <si>
    <t>079</t>
  </si>
  <si>
    <t>"Summit"</t>
  </si>
  <si>
    <t>178</t>
  </si>
  <si>
    <t>"Sunbury"</t>
  </si>
  <si>
    <t>961</t>
  </si>
  <si>
    <t>"Susanville"</t>
  </si>
  <si>
    <t>WINNEMUCCA    NV</t>
  </si>
  <si>
    <t>304</t>
  </si>
  <si>
    <t>"Swainsboro"</t>
  </si>
  <si>
    <t>130</t>
  </si>
  <si>
    <t>"Syracuse"</t>
  </si>
  <si>
    <t>131</t>
  </si>
  <si>
    <t>132</t>
  </si>
  <si>
    <t>983</t>
  </si>
  <si>
    <t>"Tacoma"</t>
  </si>
  <si>
    <t>SEATTLE SEA-TAC AP    WA</t>
  </si>
  <si>
    <t>984</t>
  </si>
  <si>
    <t>323</t>
  </si>
  <si>
    <t>"Tallahassee"</t>
  </si>
  <si>
    <t>TALLAHASSEE    FL</t>
  </si>
  <si>
    <t>335</t>
  </si>
  <si>
    <t>"Tampa"</t>
  </si>
  <si>
    <t>336</t>
  </si>
  <si>
    <t>246</t>
  </si>
  <si>
    <t>"Tazewell"</t>
  </si>
  <si>
    <t>765</t>
  </si>
  <si>
    <t>"Temple"</t>
  </si>
  <si>
    <t>478</t>
  </si>
  <si>
    <t>"Terre Haute"</t>
  </si>
  <si>
    <t>755</t>
  </si>
  <si>
    <t>"Texarkana"</t>
  </si>
  <si>
    <t>703</t>
  </si>
  <si>
    <t>"Thibodaux"</t>
  </si>
  <si>
    <t>567</t>
  </si>
  <si>
    <t>"Thief River Falls"</t>
  </si>
  <si>
    <t>327</t>
  </si>
  <si>
    <t>"Titusville"</t>
  </si>
  <si>
    <t>436</t>
  </si>
  <si>
    <t>"Toledo"</t>
  </si>
  <si>
    <t>890</t>
  </si>
  <si>
    <t>"Tonopah"</t>
  </si>
  <si>
    <t>664</t>
  </si>
  <si>
    <t>"Topeka"</t>
  </si>
  <si>
    <t>665</t>
  </si>
  <si>
    <t>666</t>
  </si>
  <si>
    <t>905</t>
  </si>
  <si>
    <t>"Torrance"</t>
  </si>
  <si>
    <t>496</t>
  </si>
  <si>
    <t>Showerheads</t>
  </si>
  <si>
    <t>Bathroom Faucets</t>
  </si>
  <si>
    <t>Kitchen Faucets</t>
  </si>
  <si>
    <t>Baseline Fixtures, per EPAct 1992</t>
  </si>
  <si>
    <t>Fixture</t>
  </si>
  <si>
    <t>Flow Rate</t>
  </si>
  <si>
    <t>Baseline Toilets (GPF)</t>
  </si>
  <si>
    <t>Baseline Urinals (GPF)</t>
  </si>
  <si>
    <t>Baseline Showerheads (GPM)</t>
  </si>
  <si>
    <t>Baseline Bathroom Faucets (GPM)</t>
  </si>
  <si>
    <t>Baseline Kitchen Faucets (GPM)</t>
  </si>
  <si>
    <t>Fixture Use</t>
  </si>
  <si>
    <t>Fixture Type</t>
  </si>
  <si>
    <t>Duration (sec)</t>
  </si>
  <si>
    <t>Uses/Day/Occupant</t>
  </si>
  <si>
    <t>-</t>
  </si>
  <si>
    <t>Non-Residential</t>
  </si>
  <si>
    <t>In-Unit</t>
  </si>
  <si>
    <t>Common</t>
  </si>
  <si>
    <t>T24 DAY EQP WD</t>
  </si>
  <si>
    <t>Electric Stove, kWh/yr-blg</t>
  </si>
  <si>
    <t>Dishwasher, kWh/yr-unit</t>
  </si>
  <si>
    <t>Dishwasher, kWh/yr-bldg</t>
  </si>
  <si>
    <t>Dishwasher, W/SqFt</t>
  </si>
  <si>
    <t>In-Unit Clothes Washer, kWh/yr</t>
  </si>
  <si>
    <t>washer and dryer</t>
  </si>
  <si>
    <t>Common Washer, kWh/yr-machine</t>
  </si>
  <si>
    <t>DRYER</t>
  </si>
  <si>
    <t>T24 EQP WD</t>
  </si>
  <si>
    <t>Apt Equipment 1</t>
  </si>
  <si>
    <t>Corr &amp; Stairs Equipment 1</t>
  </si>
  <si>
    <t>Elevator W/SqFt</t>
  </si>
  <si>
    <t>Elevator Equipment 1</t>
  </si>
  <si>
    <t>Office W/SqFt</t>
  </si>
  <si>
    <t>Office Equipment 1</t>
  </si>
  <si>
    <t>Apartment Plug load schedule (Same as T24 DAY EQP WD)</t>
  </si>
  <si>
    <t>SqFt</t>
  </si>
  <si>
    <t>W</t>
  </si>
  <si>
    <t>Uncovered parking lots and drives</t>
  </si>
  <si>
    <t>Walkways 10ft wide or greater</t>
  </si>
  <si>
    <t>Exterior stairways</t>
  </si>
  <si>
    <t>Canopies and overhangs</t>
  </si>
  <si>
    <t>Building Facades  (1)</t>
  </si>
  <si>
    <t xml:space="preserve">Lighting Power Density, </t>
  </si>
  <si>
    <t>Linear feet</t>
  </si>
  <si>
    <t>W/linear foot</t>
  </si>
  <si>
    <t>Ft</t>
  </si>
  <si>
    <t>Walkways less than 10 ft wide</t>
  </si>
  <si>
    <t>Enter actual NFRC values in the Proposed column.</t>
  </si>
  <si>
    <t>UA for eQuest</t>
  </si>
  <si>
    <t>Main building entrance (2)</t>
  </si>
  <si>
    <t xml:space="preserve">Other exterior doors (2) </t>
  </si>
  <si>
    <t>Building Facades  (3)</t>
  </si>
  <si>
    <t>Baseline DW</t>
  </si>
  <si>
    <t>gallons/day-apt (1 dishwasher)</t>
  </si>
  <si>
    <t>Proposed DW</t>
  </si>
  <si>
    <t>Average Combined Hourly Infiltration/Ventilation Rate, ACH</t>
  </si>
  <si>
    <t>Average Combined Hourly Infiltration/Ventilation Rate, CFM/SF</t>
  </si>
  <si>
    <t>Basic Project Information</t>
  </si>
  <si>
    <t>Residential</t>
  </si>
  <si>
    <t>KALISPELL    MT</t>
  </si>
  <si>
    <t>609</t>
  </si>
  <si>
    <t>"Kankakee"</t>
  </si>
  <si>
    <t>PEORIA    IL</t>
  </si>
  <si>
    <t>660</t>
  </si>
  <si>
    <t>"Kansas City"</t>
  </si>
  <si>
    <t>TOPEKA    KS</t>
  </si>
  <si>
    <t>661</t>
  </si>
  <si>
    <t>640</t>
  </si>
  <si>
    <t>641</t>
  </si>
  <si>
    <t>034</t>
  </si>
  <si>
    <t>"Keene"</t>
  </si>
  <si>
    <t>831</t>
  </si>
  <si>
    <t>"Kemmerer"</t>
  </si>
  <si>
    <t>999</t>
  </si>
  <si>
    <t>"Ketchikan"</t>
  </si>
  <si>
    <t>KING SALMON    AK</t>
  </si>
  <si>
    <t>267</t>
  </si>
  <si>
    <t>"Keyser"</t>
  </si>
  <si>
    <t>864</t>
  </si>
  <si>
    <t>"Kingman"</t>
  </si>
  <si>
    <t>LAS VEGAS    NV</t>
  </si>
  <si>
    <t>Las Vegas</t>
  </si>
  <si>
    <t>NVLASVEG.txt</t>
  </si>
  <si>
    <t>124</t>
  </si>
  <si>
    <t>"Kingston"</t>
  </si>
  <si>
    <t>285</t>
  </si>
  <si>
    <t>"Kinston"</t>
  </si>
  <si>
    <t>635</t>
  </si>
  <si>
    <t>"Kirksville"</t>
  </si>
  <si>
    <t>162</t>
  </si>
  <si>
    <t>"Kittanning"</t>
  </si>
  <si>
    <t>039</t>
  </si>
  <si>
    <t>"Kittery"</t>
  </si>
  <si>
    <t>976</t>
  </si>
  <si>
    <t>"Klamath Falls"</t>
  </si>
  <si>
    <t>MEDFORD    OR</t>
  </si>
  <si>
    <t>377</t>
  </si>
  <si>
    <t>"Knoxville"</t>
  </si>
  <si>
    <t>378</t>
  </si>
  <si>
    <t>379</t>
  </si>
  <si>
    <t>469</t>
  </si>
  <si>
    <t>"Kokomo"</t>
  </si>
  <si>
    <t>546</t>
  </si>
  <si>
    <t>"La Crosse"</t>
  </si>
  <si>
    <t>MADISON    WI</t>
  </si>
  <si>
    <t>Madison</t>
  </si>
  <si>
    <t>WIMADISO.txt</t>
  </si>
  <si>
    <t>613</t>
  </si>
  <si>
    <t>"La Salle"</t>
  </si>
  <si>
    <t>479</t>
  </si>
  <si>
    <t>"Lafayette"</t>
  </si>
  <si>
    <t>705</t>
  </si>
  <si>
    <t>706</t>
  </si>
  <si>
    <t>"Lake Charles"</t>
  </si>
  <si>
    <t>LAKE CHARLES    LA</t>
  </si>
  <si>
    <t>Lake Charles</t>
  </si>
  <si>
    <t>LALAKECH.txt</t>
  </si>
  <si>
    <t>338</t>
  </si>
  <si>
    <t>"Lakeland"</t>
  </si>
  <si>
    <t>087</t>
  </si>
  <si>
    <t>"Lakewood"</t>
  </si>
  <si>
    <t>935</t>
  </si>
  <si>
    <t>"Lancaster"</t>
  </si>
  <si>
    <t>BISHOP    CA</t>
  </si>
  <si>
    <t>175</t>
  </si>
  <si>
    <t>176</t>
  </si>
  <si>
    <t>488</t>
  </si>
  <si>
    <t>"Lansing"</t>
  </si>
  <si>
    <t>Lansing</t>
  </si>
  <si>
    <t>MILANSIN.txt</t>
  </si>
  <si>
    <t>489</t>
  </si>
  <si>
    <t>780</t>
  </si>
  <si>
    <t>"Laredo/Pearsall"</t>
  </si>
  <si>
    <t>VICTORIA    TX</t>
  </si>
  <si>
    <t>San Antonio</t>
  </si>
  <si>
    <t>TXSANANT.txt</t>
  </si>
  <si>
    <t>880</t>
  </si>
  <si>
    <t>"Las Cruces"</t>
  </si>
  <si>
    <t>877</t>
  </si>
  <si>
    <t>"Las Vegas"</t>
  </si>
  <si>
    <t>Storage, active</t>
  </si>
  <si>
    <t>Storage, inactive</t>
  </si>
  <si>
    <t>Food Preparation</t>
  </si>
  <si>
    <t>Dining Area - For Family Dining</t>
  </si>
  <si>
    <t>Lobby</t>
  </si>
  <si>
    <t>Corridor/Transition</t>
  </si>
  <si>
    <t>Stairs - Active</t>
  </si>
  <si>
    <t>Restroom</t>
  </si>
  <si>
    <t>Electrical/Mechanical</t>
  </si>
  <si>
    <t>Workshop</t>
  </si>
  <si>
    <t>Parking garage</t>
  </si>
  <si>
    <t>Baseline</t>
  </si>
  <si>
    <t>Proposed</t>
  </si>
  <si>
    <t>951</t>
  </si>
  <si>
    <t>"San Jose"</t>
  </si>
  <si>
    <t>009</t>
  </si>
  <si>
    <t>"Puerto_Rico"</t>
  </si>
  <si>
    <t>PR</t>
  </si>
  <si>
    <t>"San Juan"</t>
  </si>
  <si>
    <t>SAN JUAN    PR</t>
  </si>
  <si>
    <t>San Juan Puerto Rico</t>
  </si>
  <si>
    <t>XXSANJUA.txt</t>
  </si>
  <si>
    <t>934</t>
  </si>
  <si>
    <t>"San Luis Obispo"</t>
  </si>
  <si>
    <t>SANTA MARIA    CA</t>
  </si>
  <si>
    <t>944</t>
  </si>
  <si>
    <t>"San Mateo"</t>
  </si>
  <si>
    <t>907</t>
  </si>
  <si>
    <t>"San Pedro"</t>
  </si>
  <si>
    <t>949</t>
  </si>
  <si>
    <t>"San Rafael"</t>
  </si>
  <si>
    <t>926</t>
  </si>
  <si>
    <t>"Santa Ana"</t>
  </si>
  <si>
    <t>927</t>
  </si>
  <si>
    <t>931</t>
  </si>
  <si>
    <t>"Santa Barbara"</t>
  </si>
  <si>
    <t>SANTA BARBARA    CA</t>
  </si>
  <si>
    <t>875</t>
  </si>
  <si>
    <t>"Santa Fe"</t>
  </si>
  <si>
    <t>Santa Fe</t>
  </si>
  <si>
    <t>NMSANTAF.txt</t>
  </si>
  <si>
    <t>904</t>
  </si>
  <si>
    <t>"Santa Monica"</t>
  </si>
  <si>
    <t>954</t>
  </si>
  <si>
    <t>"Santa Rosa"</t>
  </si>
  <si>
    <t>313</t>
  </si>
  <si>
    <t>"Savannah"</t>
  </si>
  <si>
    <t>314</t>
  </si>
  <si>
    <t>123</t>
  </si>
  <si>
    <t>"Schenectady"</t>
  </si>
  <si>
    <t>184</t>
  </si>
  <si>
    <t>"Scranton"</t>
  </si>
  <si>
    <t>185</t>
  </si>
  <si>
    <t>980</t>
  </si>
  <si>
    <t xml:space="preserve">Exterior Lighting </t>
  </si>
  <si>
    <t>Garage, Corridors, Lobbies &amp; Stairs</t>
  </si>
  <si>
    <t>Elevator lighting should only be assigned to ONE elevator zone.</t>
  </si>
  <si>
    <t>Exit Signs can be added as Lighting #2 (kW) in the appropriate zones.</t>
  </si>
  <si>
    <t>Instructions:</t>
  </si>
  <si>
    <t>sum of area of all common laundry rooms</t>
  </si>
  <si>
    <t>Data to be entered in eQuest as Equipment or Internal Energy Sources.</t>
  </si>
  <si>
    <t>Baseline PTAC fan energy should be simulated as 0.3 W/CFM</t>
  </si>
  <si>
    <t>Proposed lighting power density, W/SqFt</t>
  </si>
  <si>
    <t>5. Indicate how many fixtures of each type are in each room in Column E.</t>
  </si>
  <si>
    <t>8. If you need more rows for your building, add them at the bottom by copying rows above (or filling down).</t>
  </si>
  <si>
    <t>ELKO    NV</t>
  </si>
  <si>
    <t>219</t>
  </si>
  <si>
    <t>"Elkton"</t>
  </si>
  <si>
    <t>WILMINGTON    DE</t>
  </si>
  <si>
    <t>Wilmington</t>
  </si>
  <si>
    <t>DEWILMIN.txt</t>
  </si>
  <si>
    <t>046</t>
  </si>
  <si>
    <t>"Ellsworth"</t>
  </si>
  <si>
    <t>149</t>
  </si>
  <si>
    <t>"Elmira"</t>
  </si>
  <si>
    <t>Syracuse</t>
  </si>
  <si>
    <t>NYSYRACU.txt</t>
  </si>
  <si>
    <t>893</t>
  </si>
  <si>
    <t>"Ely"</t>
  </si>
  <si>
    <t>ELY    NV</t>
  </si>
  <si>
    <t>668</t>
  </si>
  <si>
    <t>"Emporia"</t>
  </si>
  <si>
    <t>WICHITA    KS</t>
  </si>
  <si>
    <t>737</t>
  </si>
  <si>
    <t>"Enid"</t>
  </si>
  <si>
    <t>164</t>
  </si>
  <si>
    <t>Fuel</t>
  </si>
  <si>
    <t>Laundry Room</t>
  </si>
  <si>
    <t>Sensible</t>
  </si>
  <si>
    <t>Latent</t>
  </si>
  <si>
    <t>Heat Ratio</t>
  </si>
  <si>
    <t>Parking Garage</t>
  </si>
  <si>
    <t>Use calculated values as inputs into eQuest Glass Type Properties - Basic Specifications screen.</t>
  </si>
  <si>
    <t>Apartment Adjustment</t>
  </si>
  <si>
    <t>Mean LnEUSo =</t>
  </si>
  <si>
    <r>
      <t>kBtu/</t>
    </r>
    <r>
      <rPr>
        <sz val="10"/>
        <rFont val="Arial"/>
        <family val="2"/>
      </rPr>
      <t>yr</t>
    </r>
  </si>
  <si>
    <t>Bdrms</t>
  </si>
  <si>
    <t>CDDCOOLP</t>
  </si>
  <si>
    <t>Resid ES Target Source EU</t>
  </si>
  <si>
    <t>/Unit</t>
  </si>
  <si>
    <t>HDDHEATP</t>
  </si>
  <si>
    <t>Bedrooms/unit</t>
  </si>
  <si>
    <t>Actual Score</t>
  </si>
  <si>
    <t>Predicted LnEUSo =</t>
  </si>
  <si>
    <t>Secondary Space</t>
  </si>
  <si>
    <t>SF</t>
  </si>
  <si>
    <t>Wkly Hrs</t>
  </si>
  <si>
    <t>SF Un- heat- ed</t>
  </si>
  <si>
    <t>127</t>
  </si>
  <si>
    <t>"Monticello"</t>
  </si>
  <si>
    <t>056</t>
  </si>
  <si>
    <t>"Montpelier"</t>
  </si>
  <si>
    <t>814</t>
  </si>
  <si>
    <t>"Montrose"</t>
  </si>
  <si>
    <t>188</t>
  </si>
  <si>
    <t>265</t>
  </si>
  <si>
    <t>"Morgantown"</t>
  </si>
  <si>
    <t>473</t>
  </si>
  <si>
    <t>"Muncie"</t>
  </si>
  <si>
    <t>494</t>
  </si>
  <si>
    <t>"Muskegon"</t>
  </si>
  <si>
    <t>744</t>
  </si>
  <si>
    <t>"Muskogee"</t>
  </si>
  <si>
    <t>435</t>
  </si>
  <si>
    <t>"Napoleon"</t>
  </si>
  <si>
    <t>370</t>
  </si>
  <si>
    <t>"Nashville"</t>
  </si>
  <si>
    <t>371</t>
  </si>
  <si>
    <t>372</t>
  </si>
  <si>
    <t>471</t>
  </si>
  <si>
    <t>"New Albany"</t>
  </si>
  <si>
    <t>027</t>
  </si>
  <si>
    <t>"New Bedford"</t>
  </si>
  <si>
    <t>088</t>
  </si>
  <si>
    <t>"New Brunswick"</t>
  </si>
  <si>
    <t>089</t>
  </si>
  <si>
    <t>161</t>
  </si>
  <si>
    <t>"New Castle"</t>
  </si>
  <si>
    <t>064</t>
  </si>
  <si>
    <t>"New Haven"</t>
  </si>
  <si>
    <t>065</t>
  </si>
  <si>
    <t>063</t>
  </si>
  <si>
    <t>"New London"</t>
  </si>
  <si>
    <t>700</t>
  </si>
  <si>
    <t>"New Orleans"</t>
  </si>
  <si>
    <t>701</t>
  </si>
  <si>
    <t>108</t>
  </si>
  <si>
    <t>"New Rochelle"</t>
  </si>
  <si>
    <t>100</t>
  </si>
  <si>
    <t>"New York"</t>
  </si>
  <si>
    <t>NEW YORK C.PARK    NY</t>
  </si>
  <si>
    <t>101</t>
  </si>
  <si>
    <t>102</t>
  </si>
  <si>
    <t>070</t>
  </si>
  <si>
    <t>"Newark"</t>
  </si>
  <si>
    <t>071</t>
  </si>
  <si>
    <t>410</t>
  </si>
  <si>
    <t>Hour</t>
  </si>
  <si>
    <t>Showerhead gpm</t>
  </si>
  <si>
    <t>Schedule</t>
  </si>
  <si>
    <t>DOE APT DHW</t>
  </si>
  <si>
    <t>EER</t>
  </si>
  <si>
    <t>Fan kW/CFM</t>
  </si>
  <si>
    <t>N</t>
  </si>
  <si>
    <t>396</t>
  </si>
  <si>
    <t>"McComb"</t>
  </si>
  <si>
    <t>690</t>
  </si>
  <si>
    <t>"McCook"</t>
  </si>
  <si>
    <t>975</t>
  </si>
  <si>
    <t>"Medford"</t>
  </si>
  <si>
    <t>329</t>
  </si>
  <si>
    <t>"Melbourne"</t>
  </si>
  <si>
    <t>VERO BEACH    FL</t>
  </si>
  <si>
    <t>Orlando</t>
  </si>
  <si>
    <t>FLORLAND.txt</t>
  </si>
  <si>
    <t>380</t>
  </si>
  <si>
    <t>"Memphis"</t>
  </si>
  <si>
    <t>MEMPHIS    TN</t>
  </si>
  <si>
    <t>Memphis</t>
  </si>
  <si>
    <t>GUAM    PC</t>
  </si>
  <si>
    <t>PC</t>
  </si>
  <si>
    <t>560</t>
  </si>
  <si>
    <t>"Mankato"</t>
  </si>
  <si>
    <t>ROCHESTER    MN</t>
  </si>
  <si>
    <t>448</t>
  </si>
  <si>
    <t>"Mansfield"</t>
  </si>
  <si>
    <t>MANSFIELD    OH</t>
  </si>
  <si>
    <t>449</t>
  </si>
  <si>
    <t>433</t>
  </si>
  <si>
    <t>"Marion"</t>
  </si>
  <si>
    <t>254</t>
  </si>
  <si>
    <t>"Martinsburg"</t>
  </si>
  <si>
    <t>959</t>
  </si>
  <si>
    <t>"Marysville"</t>
  </si>
  <si>
    <t>504</t>
  </si>
  <si>
    <t>"Mason City"</t>
  </si>
  <si>
    <t>382</t>
  </si>
  <si>
    <t>"Mc_Kenzie"</t>
  </si>
  <si>
    <t>745</t>
  </si>
  <si>
    <t>"McAlester"</t>
  </si>
  <si>
    <t>Building Area Summary (conditioned spaces only)</t>
  </si>
  <si>
    <t>NORFOLK    NE</t>
  </si>
  <si>
    <t>233</t>
  </si>
  <si>
    <t>234</t>
  </si>
  <si>
    <t>235</t>
  </si>
  <si>
    <t>236</t>
  </si>
  <si>
    <t>600</t>
  </si>
  <si>
    <t>"North Chicago Sub."</t>
  </si>
  <si>
    <t>ROCKFORD    IL</t>
  </si>
  <si>
    <t>Rockford</t>
  </si>
  <si>
    <t>ILROCKFO.txt</t>
  </si>
  <si>
    <t>601</t>
  </si>
  <si>
    <t>916</t>
  </si>
  <si>
    <t>"North Hollywood"</t>
  </si>
  <si>
    <t>691</t>
  </si>
  <si>
    <t>"North_Platte"</t>
  </si>
  <si>
    <t>NORTH PLATTE    NE</t>
  </si>
  <si>
    <t>North Platte</t>
  </si>
  <si>
    <t>NENPLATT.txt</t>
  </si>
  <si>
    <t>220</t>
  </si>
  <si>
    <t>"Northern VA"</t>
  </si>
  <si>
    <t>221</t>
  </si>
  <si>
    <t>603</t>
  </si>
  <si>
    <t>"Oak Park"</t>
  </si>
  <si>
    <t>946</t>
  </si>
  <si>
    <t>"Oakland"</t>
  </si>
  <si>
    <t>344</t>
  </si>
  <si>
    <t>"Ocala"</t>
  </si>
  <si>
    <t>DAYTONA BEACH    FL</t>
  </si>
  <si>
    <t>Daytona Beach</t>
  </si>
  <si>
    <t>FLDAYTNA.txt</t>
  </si>
  <si>
    <t>844</t>
  </si>
  <si>
    <t>"Utah"</t>
  </si>
  <si>
    <t>UT</t>
  </si>
  <si>
    <t>"Ogden"</t>
  </si>
  <si>
    <t>SALT LAKE CITY    UT</t>
  </si>
  <si>
    <t>Salt Lake City</t>
  </si>
  <si>
    <t>UTSALTLK.txt</t>
  </si>
  <si>
    <t>843</t>
  </si>
  <si>
    <t>SF Not Cool -ed</t>
  </si>
  <si>
    <t>W/sf</t>
  </si>
  <si>
    <t>In-Unit Lighting Table</t>
  </si>
  <si>
    <t>Room Area, SqFt</t>
  </si>
  <si>
    <t>Number of such rooms in the building</t>
  </si>
  <si>
    <t>Total Area, SqFt</t>
  </si>
  <si>
    <t>Summary</t>
  </si>
  <si>
    <t>Total in-unit area with specified lighting, SqFt</t>
  </si>
  <si>
    <t>Total specified lighting, W</t>
  </si>
  <si>
    <t>Specified lighting power density, W/SqFt</t>
  </si>
  <si>
    <t>Baseline lighting power density, W/SqFt</t>
  </si>
  <si>
    <t>Room Types</t>
  </si>
  <si>
    <t>Bathroom</t>
  </si>
  <si>
    <t>Bedroom</t>
  </si>
  <si>
    <t>Closet</t>
  </si>
  <si>
    <t>Dining Room</t>
  </si>
  <si>
    <t>Family Room</t>
  </si>
  <si>
    <t>Hall</t>
  </si>
  <si>
    <t>Kitchen</t>
  </si>
  <si>
    <t>Living Room</t>
  </si>
  <si>
    <t>Office</t>
  </si>
  <si>
    <t>Utility Room</t>
  </si>
  <si>
    <t>Baseline CW</t>
  </si>
  <si>
    <t>hot water gallons/yr  =</t>
  </si>
  <si>
    <t>Proposed CW</t>
  </si>
  <si>
    <t>Toilets</t>
  </si>
  <si>
    <t>Urinals</t>
  </si>
  <si>
    <t>TNMEMPHI.txt</t>
  </si>
  <si>
    <t>381</t>
  </si>
  <si>
    <t>953</t>
  </si>
  <si>
    <t>"Merced"</t>
  </si>
  <si>
    <t>393</t>
  </si>
  <si>
    <t>DHW Storage Volume (gallons)</t>
  </si>
  <si>
    <t>Surface Area</t>
  </si>
  <si>
    <t>DHW Storage Volume (cubic feet)</t>
  </si>
  <si>
    <t>NFRC U-value</t>
  </si>
  <si>
    <t>NFRC SHGC</t>
  </si>
  <si>
    <t>Daily operating hours</t>
  </si>
  <si>
    <t>hr/day</t>
  </si>
  <si>
    <t>APT LTG WD</t>
  </si>
  <si>
    <t>Adjusted Fraction</t>
  </si>
  <si>
    <t>Hr</t>
  </si>
  <si>
    <t>Fraction</t>
  </si>
  <si>
    <t>Refrigerator, kWh/yr-unit</t>
  </si>
  <si>
    <t>Refrigerator, kWh/yr-blg</t>
  </si>
  <si>
    <t>Refrigerator, W/SqFt</t>
  </si>
  <si>
    <t>Electric Stove, kWh/yr-unit</t>
  </si>
  <si>
    <t>Stove, W/SqFt</t>
  </si>
  <si>
    <t xml:space="preserve">In-unit misc W/SqFt </t>
  </si>
  <si>
    <t>Apartments</t>
  </si>
  <si>
    <t>Area, SqFt</t>
  </si>
  <si>
    <t>Notes</t>
  </si>
  <si>
    <t xml:space="preserve">Residential </t>
  </si>
  <si>
    <t>605</t>
  </si>
  <si>
    <t>082</t>
  </si>
  <si>
    <t>"South Jersey"</t>
  </si>
  <si>
    <t>083</t>
  </si>
  <si>
    <t>845</t>
  </si>
  <si>
    <t>"Southeast Utah/Green River"</t>
  </si>
  <si>
    <t>193</t>
  </si>
  <si>
    <t>"Southeastern"</t>
  </si>
  <si>
    <t>194</t>
  </si>
  <si>
    <t>847</t>
  </si>
  <si>
    <t>"Southwest Utah/Cedar City"</t>
  </si>
  <si>
    <t>MILFORD    UT</t>
  </si>
  <si>
    <t>293</t>
  </si>
  <si>
    <t>"Spartanburg"</t>
  </si>
  <si>
    <t>513</t>
  </si>
  <si>
    <t>"Spencer"</t>
  </si>
  <si>
    <t>990</t>
  </si>
  <si>
    <t>"Spokane"</t>
  </si>
  <si>
    <t>991</t>
  </si>
  <si>
    <t>992</t>
  </si>
  <si>
    <t>548</t>
  </si>
  <si>
    <t>"Spooner"</t>
  </si>
  <si>
    <t>625</t>
  </si>
  <si>
    <t>"Springfield"</t>
  </si>
  <si>
    <t>626</t>
  </si>
  <si>
    <t>627</t>
  </si>
  <si>
    <t>010</t>
  </si>
  <si>
    <t>011</t>
  </si>
  <si>
    <t>656</t>
  </si>
  <si>
    <t>657</t>
  </si>
  <si>
    <t>658</t>
  </si>
  <si>
    <t>455</t>
  </si>
  <si>
    <t>058</t>
  </si>
  <si>
    <t>"St. Johnsbury"</t>
  </si>
  <si>
    <t>337</t>
  </si>
  <si>
    <t>"St. Petersburg"</t>
  </si>
  <si>
    <t>068</t>
  </si>
  <si>
    <t>"Stamford"</t>
  </si>
  <si>
    <t>069</t>
  </si>
  <si>
    <t>168</t>
  </si>
  <si>
    <t>"State College"</t>
  </si>
  <si>
    <t>103</t>
  </si>
  <si>
    <t>"Staten Island"</t>
  </si>
  <si>
    <t>244</t>
  </si>
  <si>
    <t>"Staunton"</t>
  </si>
  <si>
    <t>764</t>
  </si>
  <si>
    <t>"Stephenville"</t>
  </si>
  <si>
    <t>Total</t>
  </si>
  <si>
    <t>Studio</t>
  </si>
  <si>
    <t>1 - Bedroom</t>
  </si>
  <si>
    <t>2 - Bedroom</t>
  </si>
  <si>
    <t>Building Area</t>
  </si>
  <si>
    <t>Conference/meeting/multipurpose</t>
  </si>
  <si>
    <t>Garage</t>
  </si>
  <si>
    <t>Other</t>
  </si>
  <si>
    <t>Natural Gas</t>
  </si>
  <si>
    <t>If oil is used rather than natural gas, modifications to table are needed.</t>
  </si>
  <si>
    <t>Include combined floor area of corridors, recreation areas, lobbies, elevator shafts, etc.</t>
  </si>
  <si>
    <t>"Seattle"</t>
  </si>
  <si>
    <t>SEATTLE C.O.    WA</t>
  </si>
  <si>
    <t>981</t>
  </si>
  <si>
    <t>653</t>
  </si>
  <si>
    <t>"Sedalia"</t>
  </si>
  <si>
    <t>367</t>
  </si>
  <si>
    <t>"Selma"</t>
  </si>
  <si>
    <t>748</t>
  </si>
  <si>
    <t>"Shawnee"</t>
  </si>
  <si>
    <t>662</t>
  </si>
  <si>
    <t>"Shawnee/Mission"</t>
  </si>
  <si>
    <t>512</t>
  </si>
  <si>
    <t>"Sheldon"</t>
  </si>
  <si>
    <t>SIOUX FALLS    SD</t>
  </si>
  <si>
    <t>Sioux Falls</t>
  </si>
  <si>
    <t>SDSIOFAL.txt</t>
  </si>
  <si>
    <t>516</t>
  </si>
  <si>
    <t>"Shenandoah"</t>
  </si>
  <si>
    <t>828</t>
  </si>
  <si>
    <t>"Sheridan"</t>
  </si>
  <si>
    <t>859</t>
  </si>
  <si>
    <t>NYNEWYOR.txt</t>
  </si>
  <si>
    <t>112</t>
  </si>
  <si>
    <t>"Brooklyn"</t>
  </si>
  <si>
    <t>785</t>
  </si>
  <si>
    <t>"Brownsville"</t>
  </si>
  <si>
    <t>BROWNSVILLE    TX</t>
  </si>
  <si>
    <t>Brownsville</t>
  </si>
  <si>
    <t>TXBROWNS.txt</t>
  </si>
  <si>
    <t>768</t>
  </si>
  <si>
    <t>"Brownwood"</t>
  </si>
  <si>
    <t>778</t>
  </si>
  <si>
    <t>"Bryan"</t>
  </si>
  <si>
    <t>853</t>
  </si>
  <si>
    <t>"Arizona"</t>
  </si>
  <si>
    <t>AZ</t>
  </si>
  <si>
    <t>"Buckeye/Yuma"</t>
  </si>
  <si>
    <t>YUMA    AZ</t>
  </si>
  <si>
    <t>Yuma</t>
  </si>
  <si>
    <t>AZYUMA.txt</t>
  </si>
  <si>
    <t>262</t>
  </si>
  <si>
    <t>"Buckhannon"</t>
  </si>
  <si>
    <t>CHARLESTON    WV</t>
  </si>
  <si>
    <t>140</t>
  </si>
  <si>
    <t>"Buffalo"</t>
  </si>
  <si>
    <t>141</t>
  </si>
  <si>
    <t>ROCHESTER    NY</t>
  </si>
  <si>
    <t>Rochester</t>
  </si>
  <si>
    <t>NYROCHES.txt</t>
  </si>
  <si>
    <t>142</t>
  </si>
  <si>
    <t>BUFFALO    NY</t>
  </si>
  <si>
    <t>Buffalo</t>
  </si>
  <si>
    <t>NTBUFFAL.txt</t>
  </si>
  <si>
    <t>915</t>
  </si>
  <si>
    <t>"Burbank"</t>
  </si>
  <si>
    <t>526</t>
  </si>
  <si>
    <t>"Iowa"</t>
  </si>
  <si>
    <t>IA</t>
  </si>
  <si>
    <t>"Burlington"</t>
  </si>
  <si>
    <t>MOLINE    IL</t>
  </si>
  <si>
    <t>Des Moines</t>
  </si>
  <si>
    <t>IADESMOI.txt</t>
  </si>
  <si>
    <t>054</t>
  </si>
  <si>
    <t>BURLINGTON    VT</t>
  </si>
  <si>
    <t>Burlington</t>
  </si>
  <si>
    <t>VTBURLIN.txt</t>
  </si>
  <si>
    <t>369</t>
  </si>
  <si>
    <t>"Butler"</t>
  </si>
  <si>
    <t>MERIDIAN    MS</t>
  </si>
  <si>
    <t>MS</t>
  </si>
  <si>
    <t>Jackson</t>
  </si>
  <si>
    <t>MSJACKSO.txt</t>
  </si>
  <si>
    <t>160</t>
  </si>
  <si>
    <t>YOUNGSTOWN    OH</t>
  </si>
  <si>
    <t>Youngstown</t>
  </si>
  <si>
    <t>OHYOUNGS.txt</t>
  </si>
  <si>
    <t>597</t>
  </si>
  <si>
    <t>"Butte"</t>
  </si>
  <si>
    <t>MISSOULA    MT</t>
  </si>
  <si>
    <t>Helena</t>
  </si>
  <si>
    <t>MTHELENA.txt</t>
  </si>
  <si>
    <t>025</t>
  </si>
  <si>
    <t>"Buzzards Bay"</t>
  </si>
  <si>
    <t>717</t>
  </si>
  <si>
    <t>"Camden"</t>
  </si>
  <si>
    <t>LITTLE ROCK    AR</t>
  </si>
  <si>
    <t>081</t>
  </si>
  <si>
    <t>PHILADELPHIA    PA</t>
  </si>
  <si>
    <t>Philadelphia</t>
  </si>
  <si>
    <t>PAPHILAD.txt</t>
  </si>
  <si>
    <t>413</t>
  </si>
  <si>
    <t>"Campton"</t>
  </si>
  <si>
    <t>JACKSON    KY</t>
  </si>
  <si>
    <t>414</t>
  </si>
  <si>
    <t>059</t>
  </si>
  <si>
    <t>"Canaan"</t>
  </si>
  <si>
    <t>446</t>
  </si>
  <si>
    <t>"Canton"</t>
  </si>
  <si>
    <t>447</t>
  </si>
  <si>
    <t>637</t>
  </si>
  <si>
    <t>"Missouri"</t>
  </si>
  <si>
    <t>MO</t>
  </si>
  <si>
    <t>"Cape Girardeau"</t>
  </si>
  <si>
    <t>ST. LOUIS    MO</t>
  </si>
  <si>
    <t>St Louis</t>
  </si>
  <si>
    <t>MOSTLOUI.txt</t>
  </si>
  <si>
    <t>629</t>
  </si>
  <si>
    <t>"Carbondale"</t>
  </si>
  <si>
    <t>EVANSVILLE    IN</t>
  </si>
  <si>
    <t>Evansville</t>
  </si>
  <si>
    <t>INEVANSV.txt</t>
  </si>
  <si>
    <t>047</t>
  </si>
  <si>
    <t>"Caribou"</t>
  </si>
  <si>
    <t>CARIBOU    ME</t>
  </si>
  <si>
    <t>Caribou</t>
  </si>
  <si>
    <t>MECARIBO.txt</t>
  </si>
  <si>
    <t>883</t>
  </si>
  <si>
    <t>"Carrizozo"</t>
  </si>
  <si>
    <t>514</t>
  </si>
  <si>
    <t>"Carroll"</t>
  </si>
  <si>
    <t>SIOUX CITY    IA</t>
  </si>
  <si>
    <t>Sioux City</t>
  </si>
  <si>
    <t>IASIOCTY.txt</t>
  </si>
  <si>
    <t>897</t>
  </si>
  <si>
    <t>"Nevada"</t>
  </si>
  <si>
    <t>NV</t>
  </si>
  <si>
    <t>"Carson City"</t>
  </si>
  <si>
    <t>RENO    NV</t>
  </si>
  <si>
    <t>Reno</t>
  </si>
  <si>
    <t>NVRENO.txt</t>
  </si>
  <si>
    <t>852</t>
  </si>
  <si>
    <t>"Casa Grande"</t>
  </si>
  <si>
    <t>TUCSON    AZ</t>
  </si>
  <si>
    <t>Tucson</t>
  </si>
  <si>
    <t>AZTUCSON.txt</t>
  </si>
  <si>
    <t>826</t>
  </si>
  <si>
    <t>"Wyoming"</t>
  </si>
  <si>
    <t>WY</t>
  </si>
  <si>
    <t>"Casper"</t>
  </si>
  <si>
    <t>SHERIDAN    WY</t>
  </si>
  <si>
    <t>Casper</t>
  </si>
  <si>
    <t>947</t>
  </si>
  <si>
    <t>"Berkeley"</t>
  </si>
  <si>
    <t>SAN FRANCISCO AP    CA</t>
  </si>
  <si>
    <t>San Jose</t>
  </si>
  <si>
    <t>CASANJOS.txt</t>
  </si>
  <si>
    <t>870</t>
  </si>
  <si>
    <t>"Bernalillo"</t>
  </si>
  <si>
    <t>590</t>
  </si>
  <si>
    <t>"Montana"</t>
  </si>
  <si>
    <t>MT</t>
  </si>
  <si>
    <t>"Billings"</t>
  </si>
  <si>
    <t>BILLINGS    MT</t>
  </si>
  <si>
    <t>Billings</t>
  </si>
  <si>
    <t>MTBILLIN.txt</t>
  </si>
  <si>
    <t>591</t>
  </si>
  <si>
    <t>137</t>
  </si>
  <si>
    <t>"Binghamton"</t>
  </si>
  <si>
    <t>138</t>
  </si>
  <si>
    <t>139</t>
  </si>
  <si>
    <t>BINGHAMTON    NY</t>
  </si>
  <si>
    <t>Wilkes-Barre</t>
  </si>
  <si>
    <t>PAWILKES.txt</t>
  </si>
  <si>
    <t>350</t>
  </si>
  <si>
    <t>"Birmingham"</t>
  </si>
  <si>
    <t>351</t>
  </si>
  <si>
    <t>352</t>
  </si>
  <si>
    <t>585</t>
  </si>
  <si>
    <t>"North_Dakota"</t>
  </si>
  <si>
    <t>"Bismarck"</t>
  </si>
  <si>
    <t>"Ogden/Logan"</t>
  </si>
  <si>
    <t>163</t>
  </si>
  <si>
    <t>"Oil City"</t>
  </si>
  <si>
    <t>730</t>
  </si>
  <si>
    <t>"Oklahoma City"</t>
  </si>
  <si>
    <t>731</t>
  </si>
  <si>
    <t>985</t>
  </si>
  <si>
    <t>"Olympia"</t>
  </si>
  <si>
    <t>OLYMPIA    WA</t>
  </si>
  <si>
    <t>680</t>
  </si>
  <si>
    <t>"Omaha"</t>
  </si>
  <si>
    <t>OMAHA EPPLEY AP    NE</t>
  </si>
  <si>
    <t>681</t>
  </si>
  <si>
    <t>979</t>
  </si>
  <si>
    <t>"Ontario"</t>
  </si>
  <si>
    <t>368</t>
  </si>
  <si>
    <t>"Opelika"</t>
  </si>
  <si>
    <t>328</t>
  </si>
  <si>
    <t>"Orlando"</t>
  </si>
  <si>
    <t>ORLANDO    FL</t>
  </si>
  <si>
    <t>347</t>
  </si>
  <si>
    <t>549</t>
  </si>
  <si>
    <t>"Oshkosh"</t>
  </si>
  <si>
    <t>525</t>
  </si>
  <si>
    <t>"Ottumwa"</t>
  </si>
  <si>
    <t>423</t>
  </si>
  <si>
    <t>"Owensboro"</t>
  </si>
  <si>
    <t>386</t>
  </si>
  <si>
    <t>"Oxford"</t>
  </si>
  <si>
    <t>420</t>
  </si>
  <si>
    <t>"Paducah"</t>
  </si>
  <si>
    <t xml:space="preserve">PADUCAH   KY </t>
  </si>
  <si>
    <t>Paducah</t>
  </si>
  <si>
    <t>Include total floor area of all residential units in building</t>
  </si>
  <si>
    <t>Common Area</t>
  </si>
  <si>
    <t>Commercial Area</t>
  </si>
  <si>
    <t>Total Conditioned</t>
  </si>
  <si>
    <t>Fuel Cost</t>
  </si>
  <si>
    <t>Electricity</t>
  </si>
  <si>
    <t>$/kWh</t>
  </si>
  <si>
    <t>$/Therm</t>
  </si>
  <si>
    <t>Oil</t>
  </si>
  <si>
    <t>Performance Rating Calculation</t>
  </si>
  <si>
    <t>$ Savings, %</t>
  </si>
  <si>
    <t>Electricity, Btu</t>
  </si>
  <si>
    <t>R-value</t>
  </si>
  <si>
    <t>Yes</t>
  </si>
  <si>
    <t>No</t>
  </si>
  <si>
    <t>Cost, $</t>
  </si>
  <si>
    <t>Annual Heating</t>
  </si>
  <si>
    <t xml:space="preserve">Annual Cooling </t>
  </si>
  <si>
    <t>Annual Lighting</t>
  </si>
  <si>
    <t>Annual Hot Water</t>
  </si>
  <si>
    <t>Annual Appliance</t>
  </si>
  <si>
    <t>Annual Other</t>
  </si>
  <si>
    <t>SPOKANE    WA</t>
  </si>
  <si>
    <t>Spokane</t>
  </si>
  <si>
    <t>WASPOKAN.txt</t>
  </si>
  <si>
    <t>677</t>
  </si>
  <si>
    <t>"Kansas"</t>
  </si>
  <si>
    <t>KS</t>
  </si>
  <si>
    <t>"Colby"</t>
  </si>
  <si>
    <t>GOODLAND    KS</t>
  </si>
  <si>
    <t>Goodland</t>
  </si>
  <si>
    <t>KSGOODLA.txt</t>
  </si>
  <si>
    <t>808</t>
  </si>
  <si>
    <t>"Colorado Springs"</t>
  </si>
  <si>
    <t>COLORADO SPRINGS    CO</t>
  </si>
  <si>
    <t>809</t>
  </si>
  <si>
    <t>652</t>
  </si>
  <si>
    <t>"Columbia"</t>
  </si>
  <si>
    <t>COLUMBIA    MO</t>
  </si>
  <si>
    <t>290</t>
  </si>
  <si>
    <t>291</t>
  </si>
  <si>
    <t>292</t>
  </si>
  <si>
    <t>384</t>
  </si>
  <si>
    <t>NASHVILLE    TN</t>
  </si>
  <si>
    <t>Nashville</t>
  </si>
  <si>
    <t>LEXINGTON    KY</t>
  </si>
  <si>
    <t>Lexington</t>
  </si>
  <si>
    <t>KYLEXING.txt</t>
  </si>
  <si>
    <t>412</t>
  </si>
  <si>
    <t>HUNTINGTON    WV</t>
  </si>
  <si>
    <t>WV</t>
  </si>
  <si>
    <t>Charleston</t>
  </si>
  <si>
    <t>WVCHARLE.txt</t>
  </si>
  <si>
    <t>306</t>
  </si>
  <si>
    <t>"Athens"</t>
  </si>
  <si>
    <t>ATHENS    GA</t>
  </si>
  <si>
    <t>Atlanta</t>
  </si>
  <si>
    <t>GAATLANT.txt</t>
  </si>
  <si>
    <t>457</t>
  </si>
  <si>
    <t>COLUMBUS    OH</t>
  </si>
  <si>
    <t>OHCOLMBS.txt</t>
  </si>
  <si>
    <t>300</t>
  </si>
  <si>
    <t>"Atlanta"</t>
  </si>
  <si>
    <t>ATLANTA    GA</t>
  </si>
  <si>
    <t>301</t>
  </si>
  <si>
    <t>302</t>
  </si>
  <si>
    <t>303</t>
  </si>
  <si>
    <t>084</t>
  </si>
  <si>
    <t>"New_Jersey"</t>
  </si>
  <si>
    <t>NJ</t>
  </si>
  <si>
    <t>"Atlantic City"</t>
  </si>
  <si>
    <t>ATLANTIC CITY AP    NJ</t>
  </si>
  <si>
    <t>Atlantic City</t>
  </si>
  <si>
    <t>NJATLCTY.txt</t>
  </si>
  <si>
    <t>042</t>
  </si>
  <si>
    <t>"Maine"</t>
  </si>
  <si>
    <t>ME</t>
  </si>
  <si>
    <t>"Auburn"</t>
  </si>
  <si>
    <t>PORTLAND    ME</t>
  </si>
  <si>
    <t>Portland</t>
  </si>
  <si>
    <t>MEPORTLA.txt</t>
  </si>
  <si>
    <t>308</t>
  </si>
  <si>
    <t>"Augusta"</t>
  </si>
  <si>
    <t>309</t>
  </si>
  <si>
    <t>AUGUSTA    GA</t>
  </si>
  <si>
    <t>043</t>
  </si>
  <si>
    <t>786</t>
  </si>
  <si>
    <t>"Austin"</t>
  </si>
  <si>
    <t>SAN ANTONIO    TX</t>
  </si>
  <si>
    <t>Austin</t>
  </si>
  <si>
    <t>TXAUSTIN.txt</t>
  </si>
  <si>
    <t>787</t>
  </si>
  <si>
    <t>AUSTIN    TX</t>
  </si>
  <si>
    <t>933</t>
  </si>
  <si>
    <t>"Bakersfield"</t>
  </si>
  <si>
    <t>BAKERSFIELD    CA</t>
  </si>
  <si>
    <t>Fresno</t>
  </si>
  <si>
    <t>CAFRESNO.txt</t>
  </si>
  <si>
    <t>932</t>
  </si>
  <si>
    <t>"Bakersfield/Visalia"</t>
  </si>
  <si>
    <t>FRESNO    CA</t>
  </si>
  <si>
    <t>210</t>
  </si>
  <si>
    <t>"Baltimore"</t>
  </si>
  <si>
    <t>211</t>
  </si>
  <si>
    <t>212</t>
  </si>
  <si>
    <t>213</t>
  </si>
  <si>
    <t>044</t>
  </si>
  <si>
    <t>"Bangor"</t>
  </si>
  <si>
    <t>725</t>
  </si>
  <si>
    <t>"Arkansas"</t>
  </si>
  <si>
    <t>AR</t>
  </si>
  <si>
    <t>"Batesville"</t>
  </si>
  <si>
    <t>NORTH LITTLE ROCK    AR</t>
  </si>
  <si>
    <t>Little Rock</t>
  </si>
  <si>
    <t>ARLIROCK.txt</t>
  </si>
  <si>
    <t>045</t>
  </si>
  <si>
    <t>"Bath"</t>
  </si>
  <si>
    <t>707</t>
  </si>
  <si>
    <t>"Baton Rouge"</t>
  </si>
  <si>
    <t>BATON ROUGE    LA</t>
  </si>
  <si>
    <t>Baton Rouge</t>
  </si>
  <si>
    <t>LABATONR.txt</t>
  </si>
  <si>
    <t>708</t>
  </si>
  <si>
    <t>408</t>
  </si>
  <si>
    <t>"Baxter"</t>
  </si>
  <si>
    <t>299</t>
  </si>
  <si>
    <t>"Beaufort"</t>
  </si>
  <si>
    <t>SAVANNAH    GA</t>
  </si>
  <si>
    <t>Savannah</t>
  </si>
  <si>
    <t>GASAVANN.txt</t>
  </si>
  <si>
    <t>776</t>
  </si>
  <si>
    <t>"Beaumont"</t>
  </si>
  <si>
    <t>PORT ARTHUR    TX</t>
  </si>
  <si>
    <t>Houston</t>
  </si>
  <si>
    <t>TXHOUSTO.txt</t>
  </si>
  <si>
    <t>777</t>
  </si>
  <si>
    <t>258</t>
  </si>
  <si>
    <t>"West_Virginia"</t>
  </si>
  <si>
    <t>"Beckley"</t>
  </si>
  <si>
    <t>BECKLEY    WV</t>
  </si>
  <si>
    <t>259</t>
  </si>
  <si>
    <t>051</t>
  </si>
  <si>
    <t>"Vermont"</t>
  </si>
  <si>
    <t>VT</t>
  </si>
  <si>
    <t>"Bellows Falls"</t>
  </si>
  <si>
    <t>566</t>
  </si>
  <si>
    <t>"Minnesota"</t>
  </si>
  <si>
    <t>MN</t>
  </si>
  <si>
    <t>"Bemidji"</t>
  </si>
  <si>
    <t>INTERNATIONAL FALLS    MN</t>
  </si>
  <si>
    <t>Duluth</t>
  </si>
  <si>
    <t>MNDULUTH.txt</t>
  </si>
  <si>
    <t>977</t>
  </si>
  <si>
    <t>"Oregon"</t>
  </si>
  <si>
    <t>OR</t>
  </si>
  <si>
    <t>"Bend"</t>
  </si>
  <si>
    <t>BURNS    OR</t>
  </si>
  <si>
    <t>Yakima</t>
  </si>
  <si>
    <t>WA</t>
  </si>
  <si>
    <t>WAYAKIMA.txt</t>
  </si>
  <si>
    <t>052</t>
  </si>
  <si>
    <t>"Bennington"</t>
  </si>
  <si>
    <t>604</t>
  </si>
  <si>
    <t>BISMARCK    ND</t>
  </si>
  <si>
    <t>Bismarck</t>
  </si>
  <si>
    <t>NDBISMAR.txt</t>
  </si>
  <si>
    <t>617</t>
  </si>
  <si>
    <t>"Illinois"</t>
  </si>
  <si>
    <t>IL</t>
  </si>
  <si>
    <t>"Bloomington"</t>
  </si>
  <si>
    <t>SPRINGFIELD    IL</t>
  </si>
  <si>
    <t>Springfield</t>
  </si>
  <si>
    <t>773</t>
  </si>
  <si>
    <t>"Conroe"</t>
  </si>
  <si>
    <t>HOUSTON    TX</t>
  </si>
  <si>
    <t>385</t>
  </si>
  <si>
    <t>"Cookeville"</t>
  </si>
  <si>
    <t>407</t>
  </si>
  <si>
    <t>"Corbin"</t>
  </si>
  <si>
    <t>783</t>
  </si>
  <si>
    <t>"Corpus Christi"</t>
  </si>
  <si>
    <t>CORPUS CHRISTI    TX</t>
  </si>
  <si>
    <t>Corpus Christi</t>
  </si>
  <si>
    <t>TXCORPUS.txt</t>
  </si>
  <si>
    <t>784</t>
  </si>
  <si>
    <t>515</t>
  </si>
  <si>
    <t>"Council Bluffs"</t>
  </si>
  <si>
    <t>OMAHA (NORTH)    NE</t>
  </si>
  <si>
    <t>Omaha</t>
  </si>
  <si>
    <t>NEOMAHA.txt</t>
  </si>
  <si>
    <t>917</t>
  </si>
  <si>
    <t>"Covina"</t>
  </si>
  <si>
    <t>508</t>
  </si>
  <si>
    <t>"Creston"</t>
  </si>
  <si>
    <t>227</t>
  </si>
  <si>
    <t>"Culpeper"</t>
  </si>
  <si>
    <t>WASHINGTON DULLES AP DC</t>
  </si>
  <si>
    <t>215</t>
  </si>
  <si>
    <t>"Cumberland"</t>
  </si>
  <si>
    <t>750</t>
  </si>
  <si>
    <t>"Dallas"</t>
  </si>
  <si>
    <t>751</t>
  </si>
  <si>
    <t>752</t>
  </si>
  <si>
    <t>753</t>
  </si>
  <si>
    <t>307</t>
  </si>
  <si>
    <t>"Dalton"</t>
  </si>
  <si>
    <t>527</t>
  </si>
  <si>
    <t>"Davenport"</t>
  </si>
  <si>
    <t>528</t>
  </si>
  <si>
    <t>453</t>
  </si>
  <si>
    <t>"Dayton"</t>
  </si>
  <si>
    <t>Dayton</t>
  </si>
  <si>
    <t>OHDAYTON.txt</t>
  </si>
  <si>
    <t>454</t>
  </si>
  <si>
    <t>DAYTON    OH</t>
  </si>
  <si>
    <t>356</t>
  </si>
  <si>
    <t>"Decatur/Florence"</t>
  </si>
  <si>
    <t>Huntsville</t>
  </si>
  <si>
    <t>ALHUNTSV.txt</t>
  </si>
  <si>
    <t>521</t>
  </si>
  <si>
    <t>"Decorah"</t>
  </si>
  <si>
    <t>LA CROSSE    WI</t>
  </si>
  <si>
    <t>WI</t>
  </si>
  <si>
    <t>762</t>
  </si>
  <si>
    <t>"Denton"</t>
  </si>
  <si>
    <t>800</t>
  </si>
  <si>
    <t>"Denver"</t>
  </si>
  <si>
    <t>801</t>
  </si>
  <si>
    <t>802</t>
  </si>
  <si>
    <t>500</t>
  </si>
  <si>
    <t>"Des Moines"</t>
  </si>
  <si>
    <t>501</t>
  </si>
  <si>
    <t>502</t>
  </si>
  <si>
    <t>503</t>
  </si>
  <si>
    <t>565</t>
  </si>
  <si>
    <t>"Detroit Lakes"</t>
  </si>
  <si>
    <t>FARGO    ND</t>
  </si>
  <si>
    <t>482</t>
  </si>
  <si>
    <t>"Detroit"</t>
  </si>
  <si>
    <t>483</t>
  </si>
  <si>
    <t>583</t>
  </si>
  <si>
    <t>"Devils Lake"</t>
  </si>
  <si>
    <t>586</t>
  </si>
  <si>
    <t>"Dickinson"</t>
  </si>
  <si>
    <t>678</t>
  </si>
  <si>
    <t>"Dodge City"</t>
  </si>
  <si>
    <t>DODGE CITY    KS</t>
  </si>
  <si>
    <t>Wichita</t>
  </si>
  <si>
    <t>KSWICHIT.txt</t>
  </si>
  <si>
    <t>363</t>
  </si>
  <si>
    <t>"Dothan"</t>
  </si>
  <si>
    <t>MONTGOMERY    AL</t>
  </si>
  <si>
    <t>Montgomery</t>
  </si>
  <si>
    <t xml:space="preserve">ALMONTGO.txt </t>
  </si>
  <si>
    <t>199</t>
  </si>
  <si>
    <t>"Delaware"</t>
  </si>
  <si>
    <t>DE</t>
  </si>
  <si>
    <t>"Dover"</t>
  </si>
  <si>
    <t>078</t>
  </si>
  <si>
    <t>189</t>
  </si>
  <si>
    <t>"Doylestown"</t>
  </si>
  <si>
    <t>158</t>
  </si>
  <si>
    <t>"Du Bois"</t>
  </si>
  <si>
    <t>WILLIAMSPORT    PA</t>
  </si>
  <si>
    <t>520</t>
  </si>
  <si>
    <t>"Dubuque"</t>
  </si>
  <si>
    <t>DUBUQUE    IA</t>
  </si>
  <si>
    <t>556</t>
  </si>
  <si>
    <t>"Duluth"</t>
  </si>
  <si>
    <t>DULUTH    MN</t>
  </si>
  <si>
    <t>557</t>
  </si>
  <si>
    <t>558</t>
  </si>
  <si>
    <t>813</t>
  </si>
  <si>
    <t>"Durango"</t>
  </si>
  <si>
    <t>GRAND JUNCTION    CO</t>
  </si>
  <si>
    <t>Grand Junction</t>
  </si>
  <si>
    <t>COGRNDJU.txt</t>
  </si>
  <si>
    <t>747</t>
  </si>
  <si>
    <t>"Durant"</t>
  </si>
  <si>
    <t>"Traverse City"</t>
  </si>
  <si>
    <t>ALPENA    MI</t>
  </si>
  <si>
    <t>085</t>
  </si>
  <si>
    <t>"Trenton"</t>
  </si>
  <si>
    <t>086</t>
  </si>
  <si>
    <t>879</t>
  </si>
  <si>
    <t>"Truth or Conseq."</t>
  </si>
  <si>
    <t>857</t>
  </si>
  <si>
    <t>"Tucson"</t>
  </si>
  <si>
    <t>884</t>
  </si>
  <si>
    <t>"Tucumcari"</t>
  </si>
  <si>
    <t>740</t>
  </si>
  <si>
    <t>"Tulsa"</t>
  </si>
  <si>
    <t>741</t>
  </si>
  <si>
    <t>388</t>
  </si>
  <si>
    <t>"Tupelo"</t>
  </si>
  <si>
    <t>TUPELO    MS</t>
  </si>
  <si>
    <t>354</t>
  </si>
  <si>
    <t>"Tuscaloosa"</t>
  </si>
  <si>
    <t>833</t>
  </si>
  <si>
    <t>"Twin Falls"</t>
  </si>
  <si>
    <t>757</t>
  </si>
  <si>
    <t>"Tyler"</t>
  </si>
  <si>
    <t>154</t>
  </si>
  <si>
    <t>"Uniontown"</t>
  </si>
  <si>
    <t>133</t>
  </si>
  <si>
    <t>"Utica"</t>
  </si>
  <si>
    <t>134</t>
  </si>
  <si>
    <t>135</t>
  </si>
  <si>
    <t>788</t>
  </si>
  <si>
    <t>"Uvalde"</t>
  </si>
  <si>
    <t>DEL RIO    TX</t>
  </si>
  <si>
    <t>316</t>
  </si>
  <si>
    <t>"Valdosta"</t>
  </si>
  <si>
    <t>692</t>
  </si>
  <si>
    <t>"Valentine"</t>
  </si>
  <si>
    <t>VALENTINE    NE</t>
  </si>
  <si>
    <t>913</t>
  </si>
  <si>
    <t>"Van Nuys"</t>
  </si>
  <si>
    <t>914</t>
  </si>
  <si>
    <t>986</t>
  </si>
  <si>
    <t>"Vancouver"</t>
  </si>
  <si>
    <t>930</t>
  </si>
  <si>
    <t>"Ventura/Oxnard"</t>
  </si>
  <si>
    <t>779</t>
  </si>
  <si>
    <t>"Victoria"</t>
  </si>
  <si>
    <t>743</t>
  </si>
  <si>
    <t>"Vinita"</t>
  </si>
  <si>
    <t>766</t>
  </si>
  <si>
    <t>"Waco"</t>
  </si>
  <si>
    <t>767</t>
  </si>
  <si>
    <t>206</t>
  </si>
  <si>
    <t>"Waldorf"</t>
  </si>
  <si>
    <t>200</t>
  </si>
  <si>
    <t>"DC"</t>
  </si>
  <si>
    <t>201</t>
  </si>
  <si>
    <t>202</t>
  </si>
  <si>
    <t>203</t>
  </si>
  <si>
    <t>204</t>
  </si>
  <si>
    <t>205</t>
  </si>
  <si>
    <t>475</t>
  </si>
  <si>
    <t>153</t>
  </si>
  <si>
    <t>067</t>
  </si>
  <si>
    <t>"Waterbury"</t>
  </si>
  <si>
    <t>506</t>
  </si>
  <si>
    <t>"Waterloo"</t>
  </si>
  <si>
    <t>507</t>
  </si>
  <si>
    <t>136</t>
  </si>
  <si>
    <t>"Watertown"</t>
  </si>
  <si>
    <t>572</t>
  </si>
  <si>
    <t>049</t>
  </si>
  <si>
    <t>"Waterville"</t>
  </si>
  <si>
    <t>544</t>
  </si>
  <si>
    <t>"Wausau"</t>
  </si>
  <si>
    <t>315</t>
  </si>
  <si>
    <t>"Waycross"</t>
  </si>
  <si>
    <t>248</t>
  </si>
  <si>
    <t>"Welch"</t>
  </si>
  <si>
    <t>169</t>
  </si>
  <si>
    <t>"Wellsboro"</t>
  </si>
  <si>
    <t>988</t>
  </si>
  <si>
    <t>"Wenatchee"</t>
  </si>
  <si>
    <t>YAKIMA    WA</t>
  </si>
  <si>
    <t>723</t>
  </si>
  <si>
    <t>"West Memphis"</t>
  </si>
  <si>
    <t>334</t>
  </si>
  <si>
    <t>"West Palm Beach"</t>
  </si>
  <si>
    <t>WEST PALM BEACH    FL</t>
  </si>
  <si>
    <t>West Palm Beach</t>
  </si>
  <si>
    <t>FLWPALMB.txt</t>
  </si>
  <si>
    <t>105</t>
  </si>
  <si>
    <t>"Westchester"</t>
  </si>
  <si>
    <t>822</t>
  </si>
  <si>
    <t>"Wheatland"</t>
  </si>
  <si>
    <t>SCOTTSBLUFF    NE</t>
  </si>
  <si>
    <t>260</t>
  </si>
  <si>
    <t>"Wheeling"</t>
  </si>
  <si>
    <t>106</t>
  </si>
  <si>
    <t>"White Plains"</t>
  </si>
  <si>
    <t>050</t>
  </si>
  <si>
    <t>"White River Junction"</t>
  </si>
  <si>
    <t>906</t>
  </si>
  <si>
    <t>824</t>
  </si>
  <si>
    <t>"Worland"</t>
  </si>
  <si>
    <t>989</t>
  </si>
  <si>
    <t>"Yakima"</t>
  </si>
  <si>
    <t>821</t>
  </si>
  <si>
    <t>"Yellowstone Nat Pk"</t>
  </si>
  <si>
    <t>107</t>
  </si>
  <si>
    <t>"Yonkers"</t>
  </si>
  <si>
    <t>173</t>
  </si>
  <si>
    <t>"York"</t>
  </si>
  <si>
    <t>174</t>
  </si>
  <si>
    <t>444</t>
  </si>
  <si>
    <t>"Youngstown"</t>
  </si>
  <si>
    <t>445</t>
  </si>
  <si>
    <t>437</t>
  </si>
  <si>
    <t>"Zanesville"</t>
  </si>
  <si>
    <t>438</t>
  </si>
  <si>
    <t>901 Unique Zip Codes</t>
  </si>
  <si>
    <t>242 Unique Climates</t>
  </si>
  <si>
    <t>159 IWIN - NCDC Sites</t>
  </si>
  <si>
    <t>Elec. Units</t>
  </si>
  <si>
    <t>Gas Units</t>
  </si>
  <si>
    <t>Oil Units</t>
  </si>
  <si>
    <t>Steam Units</t>
  </si>
  <si>
    <t>Chilled Water Units</t>
  </si>
  <si>
    <t>Cooking</t>
  </si>
  <si>
    <t>Cooling</t>
  </si>
  <si>
    <t>Months in Use</t>
  </si>
  <si>
    <t>Source</t>
  </si>
  <si>
    <t>Site</t>
  </si>
  <si>
    <t>Value</t>
  </si>
  <si>
    <t>Therms</t>
  </si>
  <si>
    <t>Gal</t>
  </si>
  <si>
    <t>MLbs</t>
  </si>
  <si>
    <t>Ton-Hrs</t>
  </si>
  <si>
    <t>kBTU</t>
  </si>
  <si>
    <t>Old Below Ground EUI =</t>
  </si>
  <si>
    <t>kBtu/ft2-yr</t>
  </si>
  <si>
    <t>New Below Ground EUI =</t>
  </si>
  <si>
    <t>%Source</t>
  </si>
  <si>
    <t>%Site</t>
  </si>
  <si>
    <t>User Data:</t>
  </si>
  <si>
    <t>Electric</t>
  </si>
  <si>
    <t>Multi-Family Residential Building</t>
  </si>
  <si>
    <t>Design Assistant Worksheet</t>
  </si>
  <si>
    <t>Unit</t>
  </si>
  <si>
    <t>Building</t>
  </si>
  <si>
    <t>Expected Results</t>
  </si>
  <si>
    <t>Side Calculations</t>
  </si>
  <si>
    <t>Residential SQFT</t>
  </si>
  <si>
    <t>Resid ES Target Site EU</t>
  </si>
  <si>
    <t>116</t>
  </si>
  <si>
    <t>"Far Rockaway"</t>
  </si>
  <si>
    <t>ISLIP    NY</t>
  </si>
  <si>
    <t>580</t>
  </si>
  <si>
    <t>"Fargo"</t>
  </si>
  <si>
    <t>581</t>
  </si>
  <si>
    <t>874</t>
  </si>
  <si>
    <t>"Farmington"</t>
  </si>
  <si>
    <t>239</t>
  </si>
  <si>
    <t>"Farmville"</t>
  </si>
  <si>
    <t>727</t>
  </si>
  <si>
    <t>"Fayetteville"</t>
  </si>
  <si>
    <t>SPRINGFIELD    MO</t>
  </si>
  <si>
    <t>MOSPRING.txt</t>
  </si>
  <si>
    <t>283</t>
  </si>
  <si>
    <t>860</t>
  </si>
  <si>
    <t>"Flagstaff"</t>
  </si>
  <si>
    <t>FLAGSTAFF    AZ</t>
  </si>
  <si>
    <t>Flagstaff</t>
  </si>
  <si>
    <t>AZFLAGST.txt</t>
  </si>
  <si>
    <t>636</t>
  </si>
  <si>
    <t>"Flat River"</t>
  </si>
  <si>
    <t>484</t>
  </si>
  <si>
    <t>"Flint"</t>
  </si>
  <si>
    <t>LANSING    MI</t>
  </si>
  <si>
    <t>Flint</t>
  </si>
  <si>
    <t>MIFLINT.txt</t>
  </si>
  <si>
    <t>485</t>
  </si>
  <si>
    <t>FLINT    MI</t>
  </si>
  <si>
    <t>295</t>
  </si>
  <si>
    <t>"Florence"</t>
  </si>
  <si>
    <t>WILMINGTON    NC</t>
  </si>
  <si>
    <t>113</t>
  </si>
  <si>
    <t>"Flushing"</t>
  </si>
  <si>
    <t>NEW YORK (JFK AP)    NY</t>
  </si>
  <si>
    <t>505</t>
  </si>
  <si>
    <t>"Fort Dodge"</t>
  </si>
  <si>
    <t>333</t>
  </si>
  <si>
    <t>"Fort Lauderdale"</t>
  </si>
  <si>
    <t>MIAMI    FL</t>
  </si>
  <si>
    <t>Miami Beach</t>
  </si>
  <si>
    <t>FLMIAMIB.txt</t>
  </si>
  <si>
    <t>807</t>
  </si>
  <si>
    <t>"Fort Morgan"</t>
  </si>
  <si>
    <t>339</t>
  </si>
  <si>
    <t>"Fort Myers"</t>
  </si>
  <si>
    <t>FORT MYERS    FL</t>
  </si>
  <si>
    <t>349</t>
  </si>
  <si>
    <t>"Fort Pierce"</t>
  </si>
  <si>
    <t>667</t>
  </si>
  <si>
    <t>"Fort Scott"</t>
  </si>
  <si>
    <t>729</t>
  </si>
  <si>
    <t>"Fort Smith"</t>
  </si>
  <si>
    <t>FORT SMITH    AR</t>
  </si>
  <si>
    <t>Fort Smith</t>
  </si>
  <si>
    <t>ARFTSMIT.txt</t>
  </si>
  <si>
    <t>467</t>
  </si>
  <si>
    <t>"Fort Wayne"</t>
  </si>
  <si>
    <t>SOUTH BEND    IN</t>
  </si>
  <si>
    <t>Fort Wayne</t>
  </si>
  <si>
    <t>INFTWAYN.txt</t>
  </si>
  <si>
    <t>468</t>
  </si>
  <si>
    <t>FORT WAYNE    IN</t>
  </si>
  <si>
    <t>760</t>
  </si>
  <si>
    <t>"Fort Worth"</t>
  </si>
  <si>
    <t>761</t>
  </si>
  <si>
    <t>017</t>
  </si>
  <si>
    <t>"Framingham"</t>
  </si>
  <si>
    <t>406</t>
  </si>
  <si>
    <t>"Frankfort"</t>
  </si>
  <si>
    <t>217</t>
  </si>
  <si>
    <t>"Frederick"</t>
  </si>
  <si>
    <t>224</t>
  </si>
  <si>
    <t>"Fredericksburg"</t>
  </si>
  <si>
    <t>225</t>
  </si>
  <si>
    <t>936</t>
  </si>
  <si>
    <t>"Fresno"</t>
  </si>
  <si>
    <t>937</t>
  </si>
  <si>
    <t>359</t>
  </si>
  <si>
    <t>"Gadsden"</t>
  </si>
  <si>
    <t>326</t>
  </si>
  <si>
    <t>"Gainesville"</t>
  </si>
  <si>
    <t>GAINESVILLE    FL</t>
  </si>
  <si>
    <t>Jacksonville</t>
  </si>
  <si>
    <t>FLJACKSV.txt</t>
  </si>
  <si>
    <t>305</t>
  </si>
  <si>
    <t>614</t>
  </si>
  <si>
    <t>"Galesburg"</t>
  </si>
  <si>
    <t>Peoria</t>
  </si>
  <si>
    <t>ILPEORIA.txt</t>
  </si>
  <si>
    <t>873</t>
  </si>
  <si>
    <t>"Gallup"</t>
  </si>
  <si>
    <t>775</t>
  </si>
  <si>
    <t>"Galveston"</t>
  </si>
  <si>
    <t>GALVESTON    TX</t>
  </si>
  <si>
    <t>463</t>
  </si>
  <si>
    <t>"Gary"</t>
  </si>
  <si>
    <t>South Bend</t>
  </si>
  <si>
    <t>INSOBEND.txt</t>
  </si>
  <si>
    <t>464</t>
  </si>
  <si>
    <t>266</t>
  </si>
  <si>
    <t>"Gassaway"</t>
  </si>
  <si>
    <t>789</t>
  </si>
  <si>
    <t>"Giddings"</t>
  </si>
  <si>
    <t>827</t>
  </si>
  <si>
    <t>"Gillette"</t>
  </si>
  <si>
    <t>CASPER    WY</t>
  </si>
  <si>
    <t>950</t>
  </si>
  <si>
    <t>"Gilroy"</t>
  </si>
  <si>
    <t>912</t>
  </si>
  <si>
    <t>"Glendale"</t>
  </si>
  <si>
    <t>128</t>
  </si>
  <si>
    <t>"Glens Falls"</t>
  </si>
  <si>
    <t>816</t>
  </si>
  <si>
    <t>"Glenwood Springs"</t>
  </si>
  <si>
    <t>855</t>
  </si>
  <si>
    <t>"Globe"</t>
  </si>
  <si>
    <t>804</t>
  </si>
  <si>
    <t>"Golden/Dillon"</t>
  </si>
  <si>
    <t>582</t>
  </si>
  <si>
    <t>"Grand Forks"</t>
  </si>
  <si>
    <t>688</t>
  </si>
  <si>
    <t>"Grand Island"</t>
  </si>
  <si>
    <t>815</t>
  </si>
  <si>
    <t>"Grand Junction"</t>
  </si>
  <si>
    <t>493</t>
  </si>
  <si>
    <t>"Grand Rapids"</t>
  </si>
  <si>
    <t>MUSKEGON    MI</t>
  </si>
  <si>
    <t>Grand Rapids</t>
  </si>
  <si>
    <t>MIGRNDRA.txt</t>
  </si>
  <si>
    <t>495</t>
  </si>
  <si>
    <t>GRAND RAPIDS    MI</t>
  </si>
  <si>
    <t>594</t>
  </si>
  <si>
    <t>"Great Falls"</t>
  </si>
  <si>
    <t>GREAT FALLS    MT</t>
  </si>
  <si>
    <t>Great Falls</t>
  </si>
  <si>
    <t>MTGRFALL.txt</t>
  </si>
  <si>
    <t>110</t>
  </si>
  <si>
    <t>"Great Neck"</t>
  </si>
  <si>
    <t>806</t>
  </si>
  <si>
    <t>"Greeley"</t>
  </si>
  <si>
    <t>541</t>
  </si>
  <si>
    <t>"Green Bay"</t>
  </si>
  <si>
    <t>GREEN BAY    WI</t>
  </si>
  <si>
    <t>Green Bay</t>
  </si>
  <si>
    <t>WIGREBAY.txt</t>
  </si>
  <si>
    <t>542</t>
  </si>
  <si>
    <t>543</t>
  </si>
  <si>
    <t>013</t>
  </si>
  <si>
    <t>"Greenfield"</t>
  </si>
  <si>
    <t>272</t>
  </si>
  <si>
    <t>"Greensboro"</t>
  </si>
  <si>
    <t>GREENSBORO-WNSTN-SALM-HGHPT NC</t>
  </si>
  <si>
    <t>Greensboro</t>
  </si>
  <si>
    <t>NCGRNSBO.txt</t>
  </si>
  <si>
    <t>273</t>
  </si>
  <si>
    <t>274</t>
  </si>
  <si>
    <t>156</t>
  </si>
  <si>
    <t>"Greensburg"</t>
  </si>
  <si>
    <t>387</t>
  </si>
  <si>
    <t>"Greenville"</t>
  </si>
  <si>
    <t>JACKSON    MS</t>
  </si>
  <si>
    <t>296</t>
  </si>
  <si>
    <t>754</t>
  </si>
  <si>
    <t>389</t>
  </si>
  <si>
    <t>"Grenada"</t>
  </si>
  <si>
    <t>Tupelo</t>
  </si>
  <si>
    <t>MSTUPELO.txt</t>
  </si>
  <si>
    <t>395</t>
  </si>
  <si>
    <t>"Gulfport"</t>
  </si>
  <si>
    <t>NEW ORLEANS    LA</t>
  </si>
  <si>
    <t>New Orleans</t>
  </si>
  <si>
    <t>LANEWORL.txt</t>
  </si>
  <si>
    <t>739</t>
  </si>
  <si>
    <t>"Guymon"</t>
  </si>
  <si>
    <t>076</t>
  </si>
  <si>
    <t>"Hackensack"</t>
  </si>
  <si>
    <t>704</t>
  </si>
  <si>
    <t>"Hammond"</t>
  </si>
  <si>
    <t>634</t>
  </si>
  <si>
    <t>"Hannibal"</t>
  </si>
  <si>
    <t>170</t>
  </si>
  <si>
    <t>"Harrisburg"</t>
  </si>
  <si>
    <t>171</t>
  </si>
  <si>
    <t>726</t>
  </si>
  <si>
    <t>Energy Usage per Square Foot of Conditioned Area</t>
  </si>
  <si>
    <t>Btu/SqFt</t>
  </si>
  <si>
    <t>PUEBLO    CO</t>
  </si>
  <si>
    <t>Pueblo</t>
  </si>
  <si>
    <t>COPUEBLO.txt</t>
  </si>
  <si>
    <t>891</t>
  </si>
  <si>
    <t>207</t>
  </si>
  <si>
    <t>"Laurel"</t>
  </si>
  <si>
    <t>470</t>
  </si>
  <si>
    <t>"Lawrenceburg"</t>
  </si>
  <si>
    <t>735</t>
  </si>
  <si>
    <t>"Lawton"</t>
  </si>
  <si>
    <t>WICHITA FALLS    TX</t>
  </si>
  <si>
    <t>Wichita Falls</t>
  </si>
  <si>
    <t>TXWICHFA.txt</t>
  </si>
  <si>
    <t>180</t>
  </si>
  <si>
    <t>"Lehigh_Valley"</t>
  </si>
  <si>
    <t>249</t>
  </si>
  <si>
    <t>"Lewisburg"</t>
  </si>
  <si>
    <t>835</t>
  </si>
  <si>
    <t>"Lewiston"</t>
  </si>
  <si>
    <t>LEWISTON    ID</t>
  </si>
  <si>
    <t>403</t>
  </si>
  <si>
    <t>"Lexington"</t>
  </si>
  <si>
    <t>404</t>
  </si>
  <si>
    <t>405</t>
  </si>
  <si>
    <t>679</t>
  </si>
  <si>
    <t>"Liberal"</t>
  </si>
  <si>
    <t>458</t>
  </si>
  <si>
    <t>"Lima"</t>
  </si>
  <si>
    <t>683</t>
  </si>
  <si>
    <t>"Lincoln"</t>
  </si>
  <si>
    <t>LINCOLN    NE</t>
  </si>
  <si>
    <t>684</t>
  </si>
  <si>
    <t>685</t>
  </si>
  <si>
    <t>720</t>
  </si>
  <si>
    <t>"Little Rock"</t>
  </si>
  <si>
    <t>721</t>
  </si>
  <si>
    <t>722</t>
  </si>
  <si>
    <t>035</t>
  </si>
  <si>
    <t>"Littleton"</t>
  </si>
  <si>
    <t>256</t>
  </si>
  <si>
    <t>"Logan"</t>
  </si>
  <si>
    <t>908</t>
  </si>
  <si>
    <t>"Long Beach"</t>
  </si>
  <si>
    <t>805</t>
  </si>
  <si>
    <t>"Longmont"</t>
  </si>
  <si>
    <t>756</t>
  </si>
  <si>
    <t>"Longview"</t>
  </si>
  <si>
    <t>900</t>
  </si>
  <si>
    <t>"Los Angeles"</t>
  </si>
  <si>
    <t>901</t>
  </si>
  <si>
    <t>902</t>
  </si>
  <si>
    <t>400</t>
  </si>
  <si>
    <t>"Louisville"</t>
  </si>
  <si>
    <t>401</t>
  </si>
  <si>
    <t>402</t>
  </si>
  <si>
    <t>793</t>
  </si>
  <si>
    <t>"Lubbock"</t>
  </si>
  <si>
    <t>794</t>
  </si>
  <si>
    <t>759</t>
  </si>
  <si>
    <t>"Lufkin"</t>
  </si>
  <si>
    <t>WACO    TX</t>
  </si>
  <si>
    <t>Waco</t>
  </si>
  <si>
    <t>TXWACO.txt</t>
  </si>
  <si>
    <t>245</t>
  </si>
  <si>
    <t>"Lynchburg"</t>
  </si>
  <si>
    <t>LYNCHBURG    VA</t>
  </si>
  <si>
    <t>019</t>
  </si>
  <si>
    <t>"Lynn"</t>
  </si>
  <si>
    <t>497</t>
  </si>
  <si>
    <t>"Mackinaw City"</t>
  </si>
  <si>
    <t>SAULT STE. MARIE    MI</t>
  </si>
  <si>
    <t>310</t>
  </si>
  <si>
    <t>"Macon"</t>
  </si>
  <si>
    <t>Macon</t>
  </si>
  <si>
    <t>GAMACON.txt</t>
  </si>
  <si>
    <t>311</t>
  </si>
  <si>
    <t>312</t>
  </si>
  <si>
    <t>535</t>
  </si>
  <si>
    <t>"Madison"</t>
  </si>
  <si>
    <t>536</t>
  </si>
  <si>
    <t>537</t>
  </si>
  <si>
    <t>030</t>
  </si>
  <si>
    <t>"Manchester"</t>
  </si>
  <si>
    <t>031</t>
  </si>
  <si>
    <t>"Guam"</t>
  </si>
  <si>
    <t>GU</t>
  </si>
  <si>
    <t>"Mangilao"</t>
  </si>
  <si>
    <t>"Harrison"</t>
  </si>
  <si>
    <t>228</t>
  </si>
  <si>
    <t>"Harrisonburg"</t>
  </si>
  <si>
    <t>647</t>
  </si>
  <si>
    <t>"Harrisonville"</t>
  </si>
  <si>
    <t>060</t>
  </si>
  <si>
    <t>"Hartford"</t>
  </si>
  <si>
    <t>Under Ground Garage</t>
  </si>
  <si>
    <t>Above Ground Garage</t>
  </si>
  <si>
    <t>Parking Lot</t>
  </si>
  <si>
    <t>Gas</t>
  </si>
  <si>
    <t>Steam</t>
  </si>
  <si>
    <t>Chilled Water</t>
  </si>
  <si>
    <t>Average</t>
  </si>
  <si>
    <t>(3) Enter total linear foot of all illuminated wall or surface length</t>
  </si>
  <si>
    <t>(4) Total values include additional 5% allowance per Section 9.4.5</t>
  </si>
  <si>
    <t>kBtu</t>
  </si>
  <si>
    <t>Source Total</t>
  </si>
  <si>
    <t>Site EUI</t>
  </si>
  <si>
    <t>Bldg Source Total minus Commercial, Garage, Parking Lot</t>
  </si>
  <si>
    <t>Bldg Source Total</t>
  </si>
  <si>
    <t>Residential &amp; common</t>
  </si>
  <si>
    <t>Source EUI</t>
  </si>
  <si>
    <t>Resid Site EU (50) =</t>
  </si>
  <si>
    <t>Commercial, Garage, and Parking</t>
  </si>
  <si>
    <t>Adj Source EUI</t>
  </si>
  <si>
    <t>Resid Source EU (50) =</t>
  </si>
  <si>
    <t>Ln Resid So kBtu</t>
  </si>
  <si>
    <t>Building Site EU (50) =</t>
  </si>
  <si>
    <t xml:space="preserve">Per CBECS 1999, average energy use for commercial space </t>
  </si>
  <si>
    <t>Building Source EU (50) =</t>
  </si>
  <si>
    <t>is about 200 source kBtu/sqft (office - 213, store - 182)</t>
  </si>
  <si>
    <t>Model:</t>
  </si>
  <si>
    <t>Thus, calc commercial space EU above by sqft x 200.</t>
  </si>
  <si>
    <t>Ln Source Total = C0 + C1*LN (sqftreg) + C2*CDDcoolp + C3*hddheatp + C4*Bedrooms/unit</t>
  </si>
  <si>
    <t>Assume common space EU is 75% of residential.</t>
  </si>
  <si>
    <t>Parameter Estimates</t>
  </si>
  <si>
    <t xml:space="preserve">(Reference:  Answers to Ques. 10 in 10/6/2004 email response </t>
  </si>
  <si>
    <t>Parameter</t>
  </si>
  <si>
    <t>Variable</t>
  </si>
  <si>
    <t>Mean</t>
  </si>
  <si>
    <t>Minimum</t>
  </si>
  <si>
    <t>Maximum</t>
  </si>
  <si>
    <t>to Stephanie Jones at CEE)</t>
  </si>
  <si>
    <t>DF</t>
  </si>
  <si>
    <t>Estimate</t>
  </si>
  <si>
    <t>LNSRCEUI</t>
  </si>
  <si>
    <t>N=217</t>
  </si>
  <si>
    <t>Intercept</t>
  </si>
  <si>
    <t>Watts/Fixture</t>
  </si>
  <si>
    <t>MUST BE ALPHABETICAL</t>
  </si>
  <si>
    <t>A</t>
  </si>
  <si>
    <t>B</t>
  </si>
  <si>
    <t>C</t>
  </si>
  <si>
    <t>D</t>
  </si>
  <si>
    <t>E</t>
  </si>
  <si>
    <t>F</t>
  </si>
  <si>
    <t>G</t>
  </si>
  <si>
    <t>H</t>
  </si>
  <si>
    <t>I</t>
  </si>
  <si>
    <t>J</t>
  </si>
  <si>
    <t>K</t>
  </si>
  <si>
    <t>L</t>
  </si>
  <si>
    <t>M</t>
  </si>
  <si>
    <t>Square Footage</t>
  </si>
  <si>
    <t>ASHRAE Space Type</t>
  </si>
  <si>
    <t>Installed quantity</t>
  </si>
  <si>
    <t>Fixture Installed Wattage</t>
  </si>
  <si>
    <t>Floor Multiplier</t>
  </si>
  <si>
    <t>Total Installed Wattage</t>
  </si>
  <si>
    <t>Exit Signs</t>
  </si>
  <si>
    <t>"Show Low"</t>
  </si>
  <si>
    <t>710</t>
  </si>
  <si>
    <t>"Shreveport"</t>
  </si>
  <si>
    <t>711</t>
  </si>
  <si>
    <t>856</t>
  </si>
  <si>
    <t>"Sierra Vista/Nogales"</t>
  </si>
  <si>
    <t>638</t>
  </si>
  <si>
    <t>"Sikeston"</t>
  </si>
  <si>
    <t>209</t>
  </si>
  <si>
    <t>"Silver Spring"</t>
  </si>
  <si>
    <t>510</t>
  </si>
  <si>
    <t>"Sioux City"</t>
  </si>
  <si>
    <t>511</t>
  </si>
  <si>
    <t>570</t>
  </si>
  <si>
    <t>"Sioux Falls"</t>
  </si>
  <si>
    <t>571</t>
  </si>
  <si>
    <t>940</t>
  </si>
  <si>
    <t>"So. San Francisco"</t>
  </si>
  <si>
    <t>878</t>
  </si>
  <si>
    <t>"Socorro"</t>
  </si>
  <si>
    <t>425</t>
  </si>
  <si>
    <t>"Somerset"</t>
  </si>
  <si>
    <t>426</t>
  </si>
  <si>
    <t>155</t>
  </si>
  <si>
    <t>465</t>
  </si>
  <si>
    <t>"South Bend"</t>
  </si>
  <si>
    <t>466</t>
  </si>
  <si>
    <t xml:space="preserve">Instructions: </t>
  </si>
  <si>
    <t>Fill in cells highlighted with this color.</t>
  </si>
  <si>
    <t>CFM</t>
  </si>
  <si>
    <t>"South Chicago Sub."</t>
  </si>
  <si>
    <t>Space Type</t>
  </si>
  <si>
    <t>Type of Garage</t>
  </si>
  <si>
    <t>"Brockton"</t>
  </si>
  <si>
    <t>PROVIDENCE    RI</t>
  </si>
  <si>
    <t>RI</t>
  </si>
  <si>
    <t>Rhode Island</t>
  </si>
  <si>
    <t>RIPROVID.txt</t>
  </si>
  <si>
    <t>024</t>
  </si>
  <si>
    <t>104</t>
  </si>
  <si>
    <t>"Bronx"</t>
  </si>
  <si>
    <t>NEW YORK (LAGUARDIA AP)    NY</t>
  </si>
  <si>
    <t>New York City</t>
  </si>
  <si>
    <t>ILSPRING.txt</t>
  </si>
  <si>
    <t>474</t>
  </si>
  <si>
    <t>"Indiana"</t>
  </si>
  <si>
    <t>IN</t>
  </si>
  <si>
    <t>INDIANAPOLIS    IN</t>
  </si>
  <si>
    <t>Indianapolis</t>
  </si>
  <si>
    <t>ININDIAN.txt</t>
  </si>
  <si>
    <t>247</t>
  </si>
  <si>
    <t>"Bluefield"</t>
  </si>
  <si>
    <t>ROANOKE    VA</t>
  </si>
  <si>
    <t>Roanoke</t>
  </si>
  <si>
    <t>VAROANOK.txt</t>
  </si>
  <si>
    <t>836</t>
  </si>
  <si>
    <t>"Idaho"</t>
  </si>
  <si>
    <t>ID</t>
  </si>
  <si>
    <t>"Boise"</t>
  </si>
  <si>
    <t>BOISE    ID</t>
  </si>
  <si>
    <t>Boise</t>
  </si>
  <si>
    <t>IDBOISE.txt</t>
  </si>
  <si>
    <t>837</t>
  </si>
  <si>
    <t>020</t>
  </si>
  <si>
    <t>"Massachusetts"</t>
  </si>
  <si>
    <t>MA</t>
  </si>
  <si>
    <t>"Boston"</t>
  </si>
  <si>
    <t>KYPADUCA.txt</t>
  </si>
  <si>
    <t>758</t>
  </si>
  <si>
    <t>"Palestine"</t>
  </si>
  <si>
    <t>922</t>
  </si>
  <si>
    <t>"Palm Springs"</t>
  </si>
  <si>
    <t>SAN DIEGO    CA</t>
  </si>
  <si>
    <t>San Diego</t>
  </si>
  <si>
    <t>CASANDIE.txt</t>
  </si>
  <si>
    <t>943</t>
  </si>
  <si>
    <t>Ceiling Height, Ft</t>
  </si>
  <si>
    <t>Total Volume For Space Type, CuFt</t>
  </si>
  <si>
    <t>Exhaust Ventilation, CFM</t>
  </si>
  <si>
    <t>Exhaust Runtime, hr/day</t>
  </si>
  <si>
    <t>Assumed Infiltration Rate, ACH</t>
  </si>
  <si>
    <t>Equivalent Continuous Exhaust, ACH</t>
  </si>
  <si>
    <t>Supply Ventilation, CFM</t>
  </si>
  <si>
    <t>Supply Runtime, hr/day</t>
  </si>
  <si>
    <t>Equivalent Continuous Supply, ACH</t>
  </si>
  <si>
    <t>Minimum Outdoor Air Requirements, ACH</t>
  </si>
  <si>
    <t>Proposed Design</t>
  </si>
  <si>
    <t>Common Space Systems</t>
  </si>
  <si>
    <t>Common Space System1</t>
  </si>
  <si>
    <t>Common Space System2</t>
  </si>
  <si>
    <t>Common Space System3</t>
  </si>
  <si>
    <t>Common Space System4</t>
  </si>
  <si>
    <t>Common Space System5</t>
  </si>
  <si>
    <t>Common Space System6</t>
  </si>
  <si>
    <t>System Type</t>
  </si>
  <si>
    <t>PTAC</t>
  </si>
  <si>
    <t>EIR or 1/COP</t>
  </si>
  <si>
    <t>277</t>
  </si>
  <si>
    <t>"Durham"</t>
  </si>
  <si>
    <t>RALEIGH    NC</t>
  </si>
  <si>
    <t xml:space="preserve">WYCASPER.txt </t>
  </si>
  <si>
    <t>522</t>
  </si>
  <si>
    <t>"Cedar Rapids"</t>
  </si>
  <si>
    <t>DES MOINES    IA</t>
  </si>
  <si>
    <t>523</t>
  </si>
  <si>
    <t>524</t>
  </si>
  <si>
    <t>WATERLOO    IA</t>
  </si>
  <si>
    <t>628</t>
  </si>
  <si>
    <t>"Centralia"</t>
  </si>
  <si>
    <t>172</t>
  </si>
  <si>
    <t>"Chambersburg"</t>
  </si>
  <si>
    <t>HARRISBURG    PA</t>
  </si>
  <si>
    <t>Harrisburg</t>
  </si>
  <si>
    <t xml:space="preserve">PAHARRIS.txt </t>
  </si>
  <si>
    <t>618</t>
  </si>
  <si>
    <t>"Champaign/Urbana"</t>
  </si>
  <si>
    <t>619</t>
  </si>
  <si>
    <t>294</t>
  </si>
  <si>
    <t>"Charleston"</t>
  </si>
  <si>
    <t>CHARLESTON AP    SC</t>
  </si>
  <si>
    <t>SCCHARLE.txt</t>
  </si>
  <si>
    <t>250</t>
  </si>
  <si>
    <t>251</t>
  </si>
  <si>
    <t>252</t>
  </si>
  <si>
    <t>253</t>
  </si>
  <si>
    <t>280</t>
  </si>
  <si>
    <t>"Charlotte"</t>
  </si>
  <si>
    <t>GREENVILLE-SPARTANBURG AP    SC</t>
  </si>
  <si>
    <t>Charlotte</t>
  </si>
  <si>
    <t>NCCHARLO.txt</t>
  </si>
  <si>
    <t>281</t>
  </si>
  <si>
    <t>282</t>
  </si>
  <si>
    <t>CHARLOTTE   NC</t>
  </si>
  <si>
    <t>229</t>
  </si>
  <si>
    <t>"Charlottesville"</t>
  </si>
  <si>
    <t>RICHMOND    VA</t>
  </si>
  <si>
    <t>Richmond</t>
  </si>
  <si>
    <t>VARICHMO.txt</t>
  </si>
  <si>
    <t>373</t>
  </si>
  <si>
    <t>"Tennessee"</t>
  </si>
  <si>
    <t>"Chattanooga"</t>
  </si>
  <si>
    <t>HUNTSVILLE    AL</t>
  </si>
  <si>
    <t>Chattanooga</t>
  </si>
  <si>
    <t>TNCHATTA.txt</t>
  </si>
  <si>
    <t>374</t>
  </si>
  <si>
    <t>CHATTANOOGA    TN</t>
  </si>
  <si>
    <t>080</t>
  </si>
  <si>
    <t>"Cherry Hill"</t>
  </si>
  <si>
    <t>820</t>
  </si>
  <si>
    <t>"Cheyenne"</t>
  </si>
  <si>
    <t>CHEYENNE    WY</t>
  </si>
  <si>
    <t>Cheyenne</t>
  </si>
  <si>
    <t>WYCHEYEN.txt</t>
  </si>
  <si>
    <t>606</t>
  </si>
  <si>
    <t>"Chicago"</t>
  </si>
  <si>
    <t>CHICAGO    IL</t>
  </si>
  <si>
    <t>Chicago</t>
  </si>
  <si>
    <t>ILCHICAG.txt</t>
  </si>
  <si>
    <t>607</t>
  </si>
  <si>
    <t>792</t>
  </si>
  <si>
    <t>"Childress"</t>
  </si>
  <si>
    <t>LUBBOCK    TX</t>
  </si>
  <si>
    <t>Lubbock</t>
  </si>
  <si>
    <t>TXLUBBOC.txt</t>
  </si>
  <si>
    <t>646</t>
  </si>
  <si>
    <t>"Chillicothe"</t>
  </si>
  <si>
    <t>KANSAS CITY    MO</t>
  </si>
  <si>
    <t>Kansas City</t>
  </si>
  <si>
    <t>MOKANCTY.txt</t>
  </si>
  <si>
    <t>456</t>
  </si>
  <si>
    <t>GREATER CINCINNATI AP KY</t>
  </si>
  <si>
    <t>Cincinnati</t>
  </si>
  <si>
    <t>OHCINCIN.txt</t>
  </si>
  <si>
    <t>450</t>
  </si>
  <si>
    <t>"Cincinnati"</t>
  </si>
  <si>
    <t>451</t>
  </si>
  <si>
    <t>452</t>
  </si>
  <si>
    <t>037</t>
  </si>
  <si>
    <t>"Claremont"</t>
  </si>
  <si>
    <t>263</t>
  </si>
  <si>
    <t>"Clarksburg"</t>
  </si>
  <si>
    <t>ELKINS    WV</t>
  </si>
  <si>
    <t>Elkins</t>
  </si>
  <si>
    <t>"Evansville"</t>
  </si>
  <si>
    <t>477</t>
  </si>
  <si>
    <t>982</t>
  </si>
  <si>
    <t>"Everett"</t>
  </si>
  <si>
    <t>QUILLAYUTE    WA</t>
  </si>
  <si>
    <t>Seattle</t>
  </si>
  <si>
    <t>WASEATTL.txt</t>
  </si>
  <si>
    <t>364</t>
  </si>
  <si>
    <t>"Evergreen"</t>
  </si>
  <si>
    <t>997</t>
  </si>
  <si>
    <t>"Fairbanks"</t>
  </si>
  <si>
    <t>FAIRBANKS    AK</t>
  </si>
  <si>
    <t>Fairbanks</t>
  </si>
  <si>
    <t xml:space="preserve">AKFAIRBA.txt </t>
  </si>
  <si>
    <t>325</t>
  </si>
  <si>
    <t>"Pensacola"</t>
  </si>
  <si>
    <t>PENSACOLA    FL</t>
  </si>
  <si>
    <t>615</t>
  </si>
  <si>
    <t>"Peoria"</t>
  </si>
  <si>
    <t>616</t>
  </si>
  <si>
    <t>238</t>
  </si>
  <si>
    <t>"Petersburg"</t>
  </si>
  <si>
    <t>268</t>
  </si>
  <si>
    <t>190</t>
  </si>
  <si>
    <t>"Philadelphia"</t>
  </si>
  <si>
    <t>191</t>
  </si>
  <si>
    <t>850</t>
  </si>
  <si>
    <t>"Phoenix"</t>
  </si>
  <si>
    <t>PHOENIX    AZ</t>
  </si>
  <si>
    <t>Phoenix</t>
  </si>
  <si>
    <t>AZPHOENI.txt</t>
  </si>
  <si>
    <t>851</t>
  </si>
  <si>
    <t>575</t>
  </si>
  <si>
    <t>"Pierre"</t>
  </si>
  <si>
    <t>415</t>
  </si>
  <si>
    <t>"Pikeville"</t>
  </si>
  <si>
    <t>416</t>
  </si>
  <si>
    <t>716</t>
  </si>
  <si>
    <t>"Pine Bluff"</t>
  </si>
  <si>
    <t>150</t>
  </si>
  <si>
    <t>"Pittsburgh"</t>
  </si>
  <si>
    <t>151</t>
  </si>
  <si>
    <t>152</t>
  </si>
  <si>
    <t>012</t>
  </si>
  <si>
    <t>"Pittsfield"</t>
  </si>
  <si>
    <t>032</t>
  </si>
  <si>
    <t>538</t>
  </si>
  <si>
    <t>"Platteville"</t>
  </si>
  <si>
    <t>129</t>
  </si>
  <si>
    <t>"Plattsburgh"</t>
  </si>
  <si>
    <t>832</t>
  </si>
  <si>
    <t>"Pocatello"</t>
  </si>
  <si>
    <t>957</t>
  </si>
  <si>
    <t>"Pollock Pines"</t>
  </si>
  <si>
    <t>746</t>
  </si>
  <si>
    <t>"Ponca City"</t>
  </si>
  <si>
    <t>TULSA    OK</t>
  </si>
  <si>
    <t>Tulsa</t>
  </si>
  <si>
    <t>OKTULSA.txt</t>
  </si>
  <si>
    <t>639</t>
  </si>
  <si>
    <t>"Poplar Bluff"</t>
  </si>
  <si>
    <t>539</t>
  </si>
  <si>
    <t>"Portage"</t>
  </si>
  <si>
    <t>040</t>
  </si>
  <si>
    <t>"Portland"</t>
  </si>
  <si>
    <t>041</t>
  </si>
  <si>
    <t>971</t>
  </si>
  <si>
    <t>PORTLAND    OR</t>
  </si>
  <si>
    <t>ORPORTLA.txt</t>
  </si>
  <si>
    <t>972</t>
  </si>
  <si>
    <t>038</t>
  </si>
  <si>
    <t>"Portsmouth"</t>
  </si>
  <si>
    <t>237</t>
  </si>
  <si>
    <t>749</t>
  </si>
  <si>
    <t>"Poteau"</t>
  </si>
  <si>
    <t>179</t>
  </si>
  <si>
    <t>"Pottsville"</t>
  </si>
  <si>
    <t>125</t>
  </si>
  <si>
    <t>"Poughkeepsie"</t>
  </si>
  <si>
    <t>126</t>
  </si>
  <si>
    <t>863</t>
  </si>
  <si>
    <t>"Prescott"</t>
  </si>
  <si>
    <t>028</t>
  </si>
  <si>
    <t>"Rhode_Island"</t>
  </si>
  <si>
    <t>"Providence"</t>
  </si>
  <si>
    <t>029</t>
  </si>
  <si>
    <t>846</t>
  </si>
  <si>
    <t>"Provo"</t>
  </si>
  <si>
    <t>810</t>
  </si>
  <si>
    <t>"Pueblo"</t>
  </si>
  <si>
    <t>243</t>
  </si>
  <si>
    <t>"Pulaski"</t>
  </si>
  <si>
    <t>111</t>
  </si>
  <si>
    <t>"Queens"</t>
  </si>
  <si>
    <t>623</t>
  </si>
  <si>
    <t>"Quincy"</t>
  </si>
  <si>
    <t>534</t>
  </si>
  <si>
    <t>"Racine"</t>
  </si>
  <si>
    <t>275</t>
  </si>
  <si>
    <t>"Raleigh"</t>
  </si>
  <si>
    <t>276</t>
  </si>
  <si>
    <t>577</t>
  </si>
  <si>
    <t>"Rapid City"</t>
  </si>
  <si>
    <t>823</t>
  </si>
  <si>
    <t>"Rawlins"</t>
  </si>
  <si>
    <t>195</t>
  </si>
  <si>
    <t>"Reading"</t>
  </si>
  <si>
    <t>196</t>
  </si>
  <si>
    <t>077</t>
  </si>
  <si>
    <t>"Red Bank"</t>
  </si>
  <si>
    <t>960</t>
  </si>
  <si>
    <t>"Redding"</t>
  </si>
  <si>
    <t>REDDING    CA</t>
  </si>
  <si>
    <t>894</t>
  </si>
  <si>
    <t>"Reno"</t>
  </si>
  <si>
    <t>895</t>
  </si>
  <si>
    <t>896</t>
  </si>
  <si>
    <t>545</t>
  </si>
  <si>
    <t>"Rhinelander"</t>
  </si>
  <si>
    <t>Windows</t>
  </si>
  <si>
    <t>SHGC</t>
  </si>
  <si>
    <t>Fuel Oil</t>
  </si>
  <si>
    <t>In the "Baseline Fixture" table, enter an estimated number of uses/day for urinals in the appropriate space.  Enter "0" if there are no urinals in building.</t>
  </si>
  <si>
    <t>The baseline usage values will generate automatically.</t>
  </si>
  <si>
    <t>In the "Proposed Fixture" table, enter the flow rate for each proposed fixture type.</t>
  </si>
  <si>
    <t>When on-site collected graywater or rainwater is used for sewage conveyance, the total estimated annual graywater quantity may be subtracted from the total annual design case water usage. Estimated graywater quantity may not be greater than the total usage of fixtures that utilize it. For example, if graywater will be used only in flush toilets, the estimated graywater quantity cannot be greater than the total annual water used by the toilets.  Estimate graywater usage for each fixture type and enter the value in the appropriate cell.</t>
  </si>
  <si>
    <t>No. of Occupants</t>
  </si>
  <si>
    <t>Dishwasher Savings (Gal/yr)</t>
  </si>
  <si>
    <t>Clothes Washers Savings (Gal/yr)</t>
  </si>
  <si>
    <t>Baseline Fixture</t>
  </si>
  <si>
    <t>Baseline Usage (Gallons/year)</t>
  </si>
  <si>
    <t>Proposed Fixture</t>
  </si>
  <si>
    <t>Proposed Fixture Flow Rate (GPM/GPF)</t>
  </si>
  <si>
    <t>Graywater Usage (Gallons/year)</t>
  </si>
  <si>
    <t>Proposed Usage (Gallons/year)</t>
  </si>
  <si>
    <t>Savings by Fixture Type</t>
  </si>
  <si>
    <t>Water Usage Savings (Gallons/year)</t>
  </si>
  <si>
    <t>Cost Savings ($/year)</t>
  </si>
  <si>
    <t>Baseline Flow Rates (GPF/GPM)</t>
  </si>
  <si>
    <t>Non-Residential Associated Spaces</t>
  </si>
  <si>
    <t>First fill in the Basic Info worksheet and copy results into Result Summary eQuest worksheet.</t>
  </si>
  <si>
    <t>Baseline and Proposed design fuel usage is copied from the corresponding rows in Result Summary eQuest worksheet.</t>
  </si>
  <si>
    <t xml:space="preserve">The remaining values will generate automatically.  Water usage savings and cost savings may be reported as indicated in the Water Savings section of the Simulation Guidelines. </t>
  </si>
  <si>
    <t>Average Price per Gallon of Water</t>
  </si>
  <si>
    <t>Occupancy</t>
  </si>
  <si>
    <t>Low</t>
  </si>
  <si>
    <t>Medium</t>
  </si>
  <si>
    <t>High</t>
  </si>
  <si>
    <t>gallons per person per day</t>
  </si>
  <si>
    <t>Total Gal/day (occupant only)</t>
  </si>
  <si>
    <t>Total hot water gallons/day (all clothes washers)</t>
  </si>
  <si>
    <t>Stove Type</t>
  </si>
  <si>
    <t>Baseline kWh/yr for elevator</t>
  </si>
  <si>
    <t>Proposed kWh/yr (same as Baseline if not requesting performance credit)</t>
  </si>
  <si>
    <t>Equipment # (optional)</t>
  </si>
  <si>
    <t>Apt Equipment [#]</t>
  </si>
  <si>
    <t>Use this worksheet to generate schedules for lighting inputs.</t>
  </si>
  <si>
    <t>Do not edit cells highlighted in this color. These calculated values are for editing or creating schedules.</t>
  </si>
  <si>
    <t>Credit for occupancy sensors can be applied to corridors and stairs by reducing proposed W/SF by 25% and 35% respectively.</t>
  </si>
  <si>
    <t>Do not edit cells highlighted in this color. These calculated values are to be entered into software as W/SF for Apartment zones.</t>
  </si>
  <si>
    <t>BASELINE W/SF</t>
  </si>
  <si>
    <t>BASELINE WATTS</t>
  </si>
  <si>
    <t>In eQuest, exterior lighting should be entered in the "Utility &amp; Economics" section, under Electric Meter as a Direct Exterior Load, with Ambient Lighting enduse and a 12 hr/day schedule.</t>
  </si>
  <si>
    <t>Data to be entered into simulation software.</t>
  </si>
  <si>
    <t>In the simulation software, rather than model Outside Air and Exhaust for Apartments separately, combine and model as "Infiltration".</t>
  </si>
  <si>
    <t>Model Exhaust for refuse rooms and laundry rooms as equivalent "Infiltration" as well.</t>
  </si>
  <si>
    <t>Corridor Supply Air can be modeled as Outside Air.</t>
  </si>
  <si>
    <t>Supply Ventilation for Apartments should be mechanical supply or trickle vents, but not corridor make-up air.</t>
  </si>
  <si>
    <t>ACH or CFM/SF can be used for data entry.</t>
  </si>
  <si>
    <t>Electricity for exhaust fans should be modeled as Direct-Interior or Exterior Loads in Electric Meter, with Ventilation Fans enduse.</t>
  </si>
  <si>
    <t>Data to be entered in simulation software.</t>
  </si>
  <si>
    <t>For gas heated buildings using System 1 - PTAC, use the top chart to calculate cooling-EIR</t>
  </si>
  <si>
    <t>For electric heated buildings using System 2 - PTHP, use the bottom chart to calculate cooling-EIR</t>
  </si>
  <si>
    <t>Dishwashers</t>
  </si>
  <si>
    <t>Clothes Washers</t>
  </si>
  <si>
    <t>average monthly electricity costs per apartment</t>
  </si>
  <si>
    <t>average monthly gas costs per apartment</t>
  </si>
  <si>
    <t>Likewise, for some rooms, the areas for which lighting is specified may be LESS than the total area of the room. If the specified fixtures are intended to light only a portion of the room, enter the square feet of the lighted area only, per your own estimation, but not to exceed 2 square feet per Watt. (Ex. A 13 Watt wall sconce in a bedroom can light at most 26 square feet and should not be modeled as lighting the entire space.)</t>
  </si>
  <si>
    <t>Site BTU Savings, %</t>
  </si>
  <si>
    <t>Watts</t>
  </si>
  <si>
    <t>Baseline Lighting Allowance</t>
  </si>
  <si>
    <t>Total Exterior Building Allowance to be entered in Energy Models (4)</t>
  </si>
  <si>
    <t xml:space="preserve">Use values from the cells highlighted in this color in the energy simulations. </t>
  </si>
  <si>
    <t>5 W/face</t>
  </si>
  <si>
    <t>None Installed</t>
  </si>
  <si>
    <t>Y</t>
  </si>
  <si>
    <t>CFM/W</t>
  </si>
  <si>
    <t>HP</t>
  </si>
  <si>
    <t>BHP</t>
  </si>
  <si>
    <t>Exhaust Fan Type</t>
  </si>
  <si>
    <t>Inline</t>
  </si>
  <si>
    <t>Rooftop</t>
  </si>
  <si>
    <t>Ceiling (10-80 CFM)</t>
  </si>
  <si>
    <t>Ceiling (90-500 CFM)</t>
  </si>
  <si>
    <t>Motor Efficiency</t>
  </si>
  <si>
    <t>MAXIMUM CONTINUOUS BASELINE EXHAUST VENTILATION:</t>
  </si>
  <si>
    <t>MAXIMUM INTERMITTENT BASELINE EXHAUST VENTILATION:</t>
  </si>
  <si>
    <t>MAX ALLOWED</t>
  </si>
  <si>
    <t>Common Area Equipment 1</t>
  </si>
  <si>
    <t>Corridor, restrooms &amp; Stairs W/SqFt</t>
  </si>
  <si>
    <t>Other Public and Common Area W/SqFt</t>
  </si>
  <si>
    <t>CALCULATED FOOTCANDLES</t>
  </si>
  <si>
    <t>IESNA FOOTCANDLES</t>
  </si>
  <si>
    <t>Mechanically Ventilated?</t>
  </si>
  <si>
    <t>Please Select</t>
  </si>
  <si>
    <t>Condition</t>
  </si>
  <si>
    <t>YN</t>
  </si>
  <si>
    <t>N/A</t>
  </si>
  <si>
    <t>Project Name</t>
  </si>
  <si>
    <t>Project Name (caps)</t>
  </si>
  <si>
    <t>Building Address (1)</t>
  </si>
  <si>
    <t>Building Address (2)</t>
  </si>
  <si>
    <t>Developer Firm Name</t>
  </si>
  <si>
    <t>Developer Phone</t>
  </si>
  <si>
    <t>Milestone</t>
  </si>
  <si>
    <t>As-Built</t>
  </si>
  <si>
    <t>Rev</t>
  </si>
  <si>
    <t>GHSF</t>
  </si>
  <si>
    <t>Total Project Square Footage</t>
  </si>
  <si>
    <t>Total Project GHSF</t>
  </si>
  <si>
    <t>Revision</t>
  </si>
  <si>
    <t>Standard Used</t>
  </si>
  <si>
    <t>Standard</t>
  </si>
  <si>
    <t>Please select</t>
  </si>
  <si>
    <t>RESNET HERS Technical Guidelines Standard</t>
  </si>
  <si>
    <t>ASHRAE 90.1-2004 &amp; Simulation Guidelines V4.0</t>
  </si>
  <si>
    <t>Software</t>
  </si>
  <si>
    <t>Only use 'Unconditioned' for spaces that have no active heating or cooling AND are not indirectly conditioned by adjacent conditioned spaces.</t>
  </si>
  <si>
    <t>Partner Firm Contact</t>
  </si>
  <si>
    <t xml:space="preserve">Partner Firm </t>
  </si>
  <si>
    <t>Partner Phone Number</t>
  </si>
  <si>
    <t>Partner Email</t>
  </si>
  <si>
    <t>Income</t>
  </si>
  <si>
    <t>Market Rate</t>
  </si>
  <si>
    <t>Affordable</t>
  </si>
  <si>
    <t>New Construction</t>
  </si>
  <si>
    <t>Gut-rehab</t>
  </si>
  <si>
    <t>Construction</t>
  </si>
  <si>
    <t>Housing Income Type</t>
  </si>
  <si>
    <t>Fuel Type</t>
  </si>
  <si>
    <t>Construction Type</t>
  </si>
  <si>
    <t>eQuest Glass Conductance</t>
  </si>
  <si>
    <t>DHW Method</t>
  </si>
  <si>
    <t>Apartment Method</t>
  </si>
  <si>
    <t>Occupancy Method</t>
  </si>
  <si>
    <t xml:space="preserve">GAL/YR PER APT   = </t>
  </si>
  <si>
    <t>Electricity Cost</t>
  </si>
  <si>
    <t>Measure</t>
  </si>
  <si>
    <t>Quantity</t>
  </si>
  <si>
    <t>cubic feet</t>
  </si>
  <si>
    <t>degrees</t>
  </si>
  <si>
    <t>each</t>
  </si>
  <si>
    <t>gallons</t>
  </si>
  <si>
    <t>linear feet</t>
  </si>
  <si>
    <t>square feet</t>
  </si>
  <si>
    <t>tons</t>
  </si>
  <si>
    <t>kBtu/hr</t>
  </si>
  <si>
    <t>Water Savings</t>
  </si>
  <si>
    <t>NYSERDA Incentives</t>
  </si>
  <si>
    <t>Fan Control</t>
  </si>
  <si>
    <t>Climate Zone</t>
  </si>
  <si>
    <t>Energy Star</t>
  </si>
  <si>
    <t>Non-Energy Star</t>
  </si>
  <si>
    <t>Not Applicable</t>
  </si>
  <si>
    <t>One-Speed</t>
  </si>
  <si>
    <t>Two-Speed</t>
  </si>
  <si>
    <t>Variable Speed</t>
  </si>
  <si>
    <t>Cycle</t>
  </si>
  <si>
    <t>Pump Type</t>
  </si>
  <si>
    <t>Pump Class</t>
  </si>
  <si>
    <t>High Efficiency</t>
  </si>
  <si>
    <t>Premium</t>
  </si>
  <si>
    <t>Inlet</t>
  </si>
  <si>
    <t>Discharge</t>
  </si>
  <si>
    <t>Cycling</t>
  </si>
  <si>
    <t>Two Speed</t>
  </si>
  <si>
    <t>Constant Volume</t>
  </si>
  <si>
    <t>Heating Control</t>
  </si>
  <si>
    <t>Fixed</t>
  </si>
  <si>
    <t>OA Reset</t>
  </si>
  <si>
    <t>Scheduled</t>
  </si>
  <si>
    <t>Load Reset</t>
  </si>
  <si>
    <t>Proposed Fixture Description</t>
  </si>
  <si>
    <t>As per Minimum Performance Standards, garages shall not be heated for comfort or to prevent pipes from freezing.</t>
  </si>
  <si>
    <t>Proposed Elevator Type</t>
  </si>
  <si>
    <t>Milestone (CAPS)</t>
  </si>
  <si>
    <t>Report Date</t>
  </si>
  <si>
    <t>Stories above grade</t>
  </si>
  <si>
    <t>Stories below grade</t>
  </si>
  <si>
    <t>Number of Occupants</t>
  </si>
  <si>
    <t>Non-residential space</t>
  </si>
  <si>
    <t>natural gas</t>
  </si>
  <si>
    <t>oil</t>
  </si>
  <si>
    <t>propane</t>
  </si>
  <si>
    <t>steam</t>
  </si>
  <si>
    <t>electric</t>
  </si>
  <si>
    <t>Partner Firm - Underline</t>
  </si>
  <si>
    <t>Report Date - underline</t>
  </si>
  <si>
    <t>Project Name - underline</t>
  </si>
  <si>
    <t>Total Square Footage</t>
  </si>
  <si>
    <t>Developer Contact Name</t>
  </si>
  <si>
    <t>Developer Email</t>
  </si>
  <si>
    <t>Proposed Lighting</t>
  </si>
  <si>
    <t>Fan</t>
  </si>
  <si>
    <t>Unheated Square Footage</t>
  </si>
  <si>
    <t>Note that throughout these worksheets, common information from cells are linked and should automatically update.  Only cells shaded in blue need to be entered manually. Entering values into white or orange cells will override pre-determined formulas.</t>
  </si>
  <si>
    <t>Windows eQuest</t>
  </si>
  <si>
    <t>For eQuest users only, this calculates the Shading Coefficient for entry into eQuest and modifies the NFRC U-factor to exclude the air-film.</t>
  </si>
  <si>
    <t>By entering data in blue cells only, this worksheet will calculate the water savings in gallons based on the proposed flow rates entered. This information does not affect the Performance Rating but can be used when calculating SIR to justify measures that reduce consumption of water.</t>
  </si>
  <si>
    <t>DHW Demand</t>
  </si>
  <si>
    <t>Enter in occupancy usage characteristic (low/medium/high) and information about the appliances that consume water in the building. You must enter data in the Basic Info and Water Savings tab, prior to this tab.</t>
  </si>
  <si>
    <t>Enter data in blue cells. Values are calculated in W/SF or kWh/yr for entry into software.</t>
  </si>
  <si>
    <t>Lighting Schedule</t>
  </si>
  <si>
    <t>Developed for eQuest users, but can be used with other software to translate total operating hours/day into an hourly schedule that meets the requirements from the Simulation Guidelines.</t>
  </si>
  <si>
    <t>In-Unit Lighting</t>
  </si>
  <si>
    <t>Enter details and counts of installed lighting fixtures in apartments only. Square footage not illuminated by these fixtures will have a default lighting power density of 2.0 W/Sf assigned to both baseline and proposed. Installed fixtures in rooms where supplemental light will be provided by the occupant or through switched outlets, shall not be modeled as providing illumination for the entire room. Overall lighting power density is calculated on this worksheet for input into software.</t>
  </si>
  <si>
    <t>Interior Lighting</t>
  </si>
  <si>
    <t xml:space="preserve">Using floor plans, a lighting schedule, and lighting cut sheets, fill in the details of this worksheet. This will sum the square footages by ASHRAE space type for reporting purposes on the Basic Info tab, and calculate the lighting power density to be modeled per room. It also provides the maximum wattage allowed by ASHRAE 90.1 for that room, which can be more useful to the design team than the lighting power density. To help project compliance with program Prerequisites, zones are highlighted in red that exceed ASHRAE LPD’s by more than 20%, which reduce the energy savings of the building, as well as zones that have insufficient illumination. </t>
  </si>
  <si>
    <t>Exterior Lighting</t>
  </si>
  <si>
    <t>Enter details in blue cells only on exterior areas to be illuminated. The total wattage will be provided for input into the simulation software.</t>
  </si>
  <si>
    <t>Infiltration&amp;Ventilation</t>
  </si>
  <si>
    <t>Although developed initially for eQuest users, the approach can be used for other simulation software if needed. The approach allows for infiltration and exhaust in apartments to be combined in the worksheet and a combined value to be entered into the software.</t>
  </si>
  <si>
    <t>EIR for PTAC or PTHP</t>
  </si>
  <si>
    <t>Although developed initially for eQuest users, the approach can be used for other simulation software if the energy efficiency of these systems are entered in terms of EIR, rather than EER.</t>
  </si>
  <si>
    <t>Climate Zone 4</t>
  </si>
  <si>
    <t>Climate Zone 5</t>
  </si>
  <si>
    <t>Climate Zone 6</t>
  </si>
  <si>
    <t>U-value</t>
  </si>
  <si>
    <t>Nonmetal Framing (all)</t>
  </si>
  <si>
    <t>Metal Framing (storefront)</t>
  </si>
  <si>
    <t>Metal Framing (entrance door)</t>
  </si>
  <si>
    <t>Metal Framing (all other)</t>
  </si>
  <si>
    <t>Wood Frame</t>
  </si>
  <si>
    <t>In-Unit Dryer, BTU/h (per dryer)</t>
  </si>
  <si>
    <t>Fixture Code</t>
  </si>
  <si>
    <t>24/7?</t>
  </si>
  <si>
    <t>Room Name</t>
  </si>
  <si>
    <t>Fixture Code (A,B,C etc)</t>
  </si>
  <si>
    <t>ENERGY STAR? (Y/N)</t>
  </si>
  <si>
    <t>1. Fill in cells highlighted with this color, including the Watts/fixture and Lumens/fixture in Column J&amp;K.</t>
  </si>
  <si>
    <t>2. When available, provide manufacturer, model, whether ENERGY STAR qualified and indicate 24 hour operation.</t>
  </si>
  <si>
    <t>3. List NON-APARTMENT rooms in the building that have specified lighting by FLOOR. For typical floors, indicate the floor multiplier in Column H.</t>
  </si>
  <si>
    <t>4. List square footages for all NON-APARTMENT spaces in Column B (do not assign square footages to rows for Exit Signs or Exterior Lights).</t>
  </si>
  <si>
    <t>6. Use drop down menu to indicate the ASHRAE space type for calculating proposed LPD's.</t>
  </si>
  <si>
    <t>7. Rooms with more than one fixture type should be entered using multiple rows (Ex. exit signs); square footage should be distributed between entries.</t>
  </si>
  <si>
    <t>SpaceType</t>
  </si>
  <si>
    <t>LightingSpaceType</t>
  </si>
  <si>
    <t>LPD</t>
  </si>
  <si>
    <t>Footcandles</t>
  </si>
  <si>
    <t>YesNo</t>
  </si>
  <si>
    <t>Only the rooms for which there are specified hard-wired lighting fixtures should be entered in this table. Therefore, the total square feet that you list in this table might be smaller than the total square feet of the Apartments. If there are multiple fixtures per room, distribute area accordingly.</t>
  </si>
  <si>
    <t>Fixture Wattage</t>
  </si>
  <si>
    <t>Lumens per Fixture</t>
  </si>
  <si>
    <t>Total Installed Wattage, W</t>
  </si>
  <si>
    <t>Illumination (footcandles or
lumens/SqFt)</t>
  </si>
  <si>
    <t>Ventilation Duct Leakage (Baseline add 10 CFM/floor per shaft)</t>
  </si>
  <si>
    <t>MIN ALLOWED</t>
  </si>
  <si>
    <t>MINIMUM CONTINUOUS BASELINE EXHAUST VENTILATION:</t>
  </si>
  <si>
    <t>MINIMUM INTERMITTENT BASELINE EXHAUST VENTILATION:</t>
  </si>
  <si>
    <t>Kitchen Area:</t>
  </si>
  <si>
    <t>Kitchen Ceiling height:</t>
  </si>
  <si>
    <t>Continuous CFM equivalent to 5ACH (62.2-2007):</t>
  </si>
  <si>
    <t>Studios</t>
  </si>
  <si>
    <t>1BR</t>
  </si>
  <si>
    <t>2BR</t>
  </si>
  <si>
    <t>3BR</t>
  </si>
  <si>
    <t>4BR</t>
  </si>
  <si>
    <t>Average Area (SqFt):</t>
  </si>
  <si>
    <t>CFM required:</t>
  </si>
  <si>
    <t>1000 Btu/hr</t>
  </si>
  <si>
    <t>HVAC - Boiler</t>
  </si>
  <si>
    <t>HVAC - Central AC/HP</t>
  </si>
  <si>
    <t>HVAC - Duct Sealing</t>
  </si>
  <si>
    <t>HVAC - Economizer (dry bulb)</t>
  </si>
  <si>
    <t>HVAC - Furnace</t>
  </si>
  <si>
    <t>HVAC - HRV</t>
  </si>
  <si>
    <t>HVAC - Split System AC/HP</t>
  </si>
  <si>
    <t>HVAC - Water Source AC/HP</t>
  </si>
  <si>
    <t>Upstate (non-cooling)</t>
  </si>
  <si>
    <t>Upstate (cooling)</t>
  </si>
  <si>
    <t>Downstate (non-cooling)</t>
  </si>
  <si>
    <t>Downstate (cooling)</t>
  </si>
  <si>
    <t>Present Value Factor Calculations</t>
  </si>
  <si>
    <t>Discount rate:</t>
  </si>
  <si>
    <t>Avoided Cost Forecast</t>
  </si>
  <si>
    <t>Year</t>
  </si>
  <si>
    <t>Residual Oil</t>
  </si>
  <si>
    <t>Co2 Adder per KWh</t>
  </si>
  <si>
    <t>Co2 Adder per MMBtu Nat Gas</t>
  </si>
  <si>
    <t>Co2 Adder per MMBtu Oil (place holder values)</t>
  </si>
  <si>
    <t>Avoided Cost Present Value Forecast</t>
  </si>
  <si>
    <t>Co2 Adder per kWh ($2008)</t>
  </si>
  <si>
    <t>Co2 Adder per MMBtu</t>
  </si>
  <si>
    <t xml:space="preserve">Co2 Adder per MMBtu Oil </t>
  </si>
  <si>
    <t>CENTRAL HUDSON</t>
  </si>
  <si>
    <t>Avoided energy per kWh with line loss</t>
  </si>
  <si>
    <t>Avoided Capacity per KW with reserve margin, line loss and avoided distribution</t>
  </si>
  <si>
    <t>Avoided gas $/MMBtu (Heating)</t>
  </si>
  <si>
    <t>Natural gas $ per MMBtu (Hot Water)</t>
  </si>
  <si>
    <t>Con Ed</t>
  </si>
  <si>
    <t>O &amp; R</t>
  </si>
  <si>
    <t>CON ED</t>
  </si>
  <si>
    <t>RG &amp; E</t>
  </si>
  <si>
    <t>NYSEG</t>
  </si>
  <si>
    <t>Utility</t>
  </si>
  <si>
    <t>Central Hudson</t>
  </si>
  <si>
    <t>UtilityLookup</t>
  </si>
  <si>
    <t>Avoided energy per kWh with line loss (PV)</t>
  </si>
  <si>
    <t>Avoided Capacity per KW with reserve margin, line loss and avoided distribution (PV)</t>
  </si>
  <si>
    <t>Avoided gas $/MMBtu (Heating) (PV)</t>
  </si>
  <si>
    <t>Natural gas $ per MMBtu (Hot Water) (PV)</t>
  </si>
  <si>
    <t>Residual Oil (PV)</t>
  </si>
  <si>
    <t>gas - firm</t>
  </si>
  <si>
    <t>gas - non firm</t>
  </si>
  <si>
    <t>Measure Lifetime</t>
  </si>
  <si>
    <t>EEPS-Gas</t>
  </si>
  <si>
    <t>EEPS-Electric</t>
  </si>
  <si>
    <t>RGGI</t>
  </si>
  <si>
    <t>GJGNY</t>
  </si>
  <si>
    <t>OHGAH</t>
  </si>
  <si>
    <t>SBC - EB</t>
  </si>
  <si>
    <t>Funding</t>
  </si>
  <si>
    <t>NIMO</t>
  </si>
  <si>
    <t>KEDLI</t>
  </si>
  <si>
    <t>GasUtility</t>
  </si>
  <si>
    <t>In-unit, misc. kWh/yr-SqFt (SG 3-13)</t>
  </si>
  <si>
    <t>Residential (In-unit)</t>
  </si>
  <si>
    <t>Nonresidential (Common Areas)</t>
  </si>
  <si>
    <t>ASHRAE 90.1-2007 Table 5.5 (FOR YOUR REFERENCE)</t>
  </si>
  <si>
    <t xml:space="preserve">Using ASHRAE 90.1-2007 Table 5.5, enter values for your Climate Zone (reference below). </t>
  </si>
  <si>
    <t>eQUEST Calculator - Windows</t>
  </si>
  <si>
    <t>Water Savings Calculator</t>
  </si>
  <si>
    <t>&lt;Enter '0' if no urinals&gt;</t>
  </si>
  <si>
    <t>eQUEST Calculator - DHW Demand</t>
  </si>
  <si>
    <r>
      <t>Faucet gpm</t>
    </r>
    <r>
      <rPr>
        <sz val="9"/>
        <color indexed="10"/>
        <rFont val="Calibri"/>
        <family val="2"/>
        <scheme val="minor"/>
      </rPr>
      <t xml:space="preserve"> (weighted AVG)</t>
    </r>
  </si>
  <si>
    <r>
      <t>Total Gal/day</t>
    </r>
    <r>
      <rPr>
        <sz val="9"/>
        <color indexed="10"/>
        <rFont val="Calibri"/>
        <family val="2"/>
        <scheme val="minor"/>
      </rPr>
      <t xml:space="preserve"> (w/both DW &amp; CW)</t>
    </r>
  </si>
  <si>
    <t>Are they Energy Star rated? (Y/N)</t>
  </si>
  <si>
    <t>DHW Storage Tank radius (ft)</t>
  </si>
  <si>
    <t>DHW Storage Tank height (ft)</t>
  </si>
  <si>
    <t>Are the clothes washers Energy Star rated? (Y/N/NA)</t>
  </si>
  <si>
    <t>Low-flow faucets</t>
  </si>
  <si>
    <t>DHW</t>
  </si>
  <si>
    <t>Low/medium/high usage (see Simulation Guidelines, 3.9.2)</t>
  </si>
  <si>
    <t>Hot Water Usage</t>
  </si>
  <si>
    <t>Proposed Showerhead</t>
  </si>
  <si>
    <t>Proposed Kitchen Faucet</t>
  </si>
  <si>
    <t>Proposed Bath Faucet</t>
  </si>
  <si>
    <t>Schedule used in eQUEST model</t>
  </si>
  <si>
    <t>GPM w/ schedule shown below</t>
  </si>
  <si>
    <t>Fill in all blue cells</t>
  </si>
  <si>
    <t>Envelope - Exterior Doors</t>
  </si>
  <si>
    <t>Envelope - BGW Insulation</t>
  </si>
  <si>
    <t>Envelope - AGW Insulation</t>
  </si>
  <si>
    <t>Envelope - Roof Insulation</t>
  </si>
  <si>
    <t>Envelope - Slab Insulation</t>
  </si>
  <si>
    <t>Envelope - Interior Doors</t>
  </si>
  <si>
    <t>Envelope - Common Area Windows</t>
  </si>
  <si>
    <t>Ligthing - Common Fxitures</t>
  </si>
  <si>
    <t>Lighting - In-unit Fixtures</t>
  </si>
  <si>
    <t>Envelope - In-unit Windows</t>
  </si>
  <si>
    <t>Ligthing - LED Exit Signs</t>
  </si>
  <si>
    <t>Other - Compressors</t>
  </si>
  <si>
    <t>DHW - Controls</t>
  </si>
  <si>
    <t>Other - Elevators</t>
  </si>
  <si>
    <t>Other - Exhaust fans</t>
  </si>
  <si>
    <t>Other - Exhaust fan demand control</t>
  </si>
  <si>
    <t>Other - Fan/air handlers</t>
  </si>
  <si>
    <t>Other - Motors</t>
  </si>
  <si>
    <t>Other - Pumps</t>
  </si>
  <si>
    <t>Other - Ventilation Fans</t>
  </si>
  <si>
    <t>Appliances - Dishwashers</t>
  </si>
  <si>
    <t>Appliances - Refrigerator</t>
  </si>
  <si>
    <t>Appliances - Clothes washers</t>
  </si>
  <si>
    <t>HVAC - Window AC</t>
  </si>
  <si>
    <t>HVAC - Chiller</t>
  </si>
  <si>
    <t>Lighting - Common Timers/Sensors</t>
  </si>
  <si>
    <t>DHW - Condensing boiler</t>
  </si>
  <si>
    <t>DHW - Indirect</t>
  </si>
  <si>
    <t>DHW - Direct</t>
  </si>
  <si>
    <t>DHW - Insulate tank</t>
  </si>
  <si>
    <t>DHW - Low-flow Devices</t>
  </si>
  <si>
    <t>Other - Pipe Insulation</t>
  </si>
  <si>
    <t>Other - Var. Speed Drive</t>
  </si>
  <si>
    <r>
      <t xml:space="preserve">Performance rating is shown in </t>
    </r>
    <r>
      <rPr>
        <b/>
        <sz val="9"/>
        <color indexed="10"/>
        <rFont val="Calibri"/>
        <family val="2"/>
        <scheme val="minor"/>
      </rPr>
      <t>Red Font</t>
    </r>
  </si>
  <si>
    <r>
      <t xml:space="preserve">Include combined floor area of </t>
    </r>
    <r>
      <rPr>
        <b/>
        <sz val="9"/>
        <color indexed="12"/>
        <rFont val="Calibri"/>
        <family val="2"/>
        <scheme val="minor"/>
      </rPr>
      <t>residential-associated</t>
    </r>
    <r>
      <rPr>
        <sz val="9"/>
        <rFont val="Calibri"/>
        <family val="2"/>
        <scheme val="minor"/>
      </rPr>
      <t xml:space="preserve"> office, retail, food sales, etc.</t>
    </r>
  </si>
  <si>
    <r>
      <t xml:space="preserve">Include floor area of </t>
    </r>
    <r>
      <rPr>
        <b/>
        <sz val="9"/>
        <color indexed="12"/>
        <rFont val="Calibri"/>
        <family val="2"/>
        <scheme val="minor"/>
      </rPr>
      <t>residential-associated</t>
    </r>
    <r>
      <rPr>
        <sz val="9"/>
        <rFont val="Calibri"/>
        <family val="2"/>
        <scheme val="minor"/>
      </rPr>
      <t xml:space="preserve"> enclosed/underground garages [ventilated] </t>
    </r>
  </si>
  <si>
    <t>TOTAL GHSF</t>
  </si>
  <si>
    <t>In blue cells only, enter the basic information about the building.</t>
  </si>
  <si>
    <t>Number of Stories</t>
  </si>
  <si>
    <t>Area of Elevator</t>
  </si>
  <si>
    <t>Baseline Elevator Type</t>
  </si>
  <si>
    <t>eQUEST Calculator - Appliances</t>
  </si>
  <si>
    <t>eQUEST Calculator - Lighting</t>
  </si>
  <si>
    <t>eQUEST Calculator - In-Unit Lighting</t>
  </si>
  <si>
    <r>
      <t xml:space="preserve">Include all in-unit hard-wired lighting in this table. Rated wattage must include ballast (follow 90.1 User's manual or Appendix B of </t>
    </r>
    <r>
      <rPr>
        <i/>
        <sz val="9"/>
        <rFont val="Calibri"/>
        <family val="2"/>
        <scheme val="minor"/>
      </rPr>
      <t>Minimum Performance Standards</t>
    </r>
    <r>
      <rPr>
        <sz val="9"/>
        <rFont val="Calibri"/>
        <family val="2"/>
        <scheme val="minor"/>
      </rPr>
      <t>).</t>
    </r>
  </si>
  <si>
    <t>eQUEST Calculator - Interior Lighting</t>
  </si>
  <si>
    <t>eQUEST Calculator - Exterior Lighting</t>
  </si>
  <si>
    <r>
      <t xml:space="preserve">Red cells will indicate when </t>
    </r>
    <r>
      <rPr>
        <u/>
        <sz val="9"/>
        <rFont val="Calibri"/>
        <family val="2"/>
        <scheme val="minor"/>
      </rPr>
      <t>continuous</t>
    </r>
    <r>
      <rPr>
        <sz val="9"/>
        <rFont val="Calibri"/>
        <family val="2"/>
        <scheme val="minor"/>
      </rPr>
      <t xml:space="preserve"> baseline ventilation is not properly modeled.</t>
    </r>
  </si>
  <si>
    <t>Pfan (Watts)</t>
  </si>
  <si>
    <t>eQUEST Calculator - Infiltration &amp; Ventilation</t>
  </si>
  <si>
    <t>eQUEST Calculator - EIR for PTAC and PTHP</t>
  </si>
  <si>
    <t>Whole Unit Ventilation Rate (62.2-2007)</t>
  </si>
  <si>
    <t>Number of Units</t>
  </si>
  <si>
    <t>First, fill in DHW Demand tab.</t>
  </si>
  <si>
    <t>This sheet is needed for the Appliances and DHW Demand tabs.</t>
  </si>
  <si>
    <t>First fill in the Project Size and Water Savings tabs.</t>
  </si>
  <si>
    <t>First, fill out Project Size and DHW tabs.</t>
  </si>
  <si>
    <t>Project Size</t>
  </si>
  <si>
    <t>The following worksheets assist in calculating inputs to eQUEST and similar simulation tools.  It is optional and does not need to be submitted to NYSERDA, unless requested.</t>
  </si>
  <si>
    <t>Data to be entered in eQuest.</t>
  </si>
  <si>
    <t>Net Cooling Capacity (ARI Cond), Btu/Hr</t>
  </si>
  <si>
    <t>Fan BHP, actual</t>
  </si>
  <si>
    <t>Fan Motor Efficiency, actual</t>
  </si>
  <si>
    <t>CFM, actual</t>
  </si>
  <si>
    <t>Common area plug load schedule
(Same as T24 EQP WD)</t>
  </si>
  <si>
    <t>Fixture Code (from Interior Lighting tab)</t>
  </si>
  <si>
    <t>Data to be entered in this spreadsheet and in simulation software.</t>
  </si>
  <si>
    <t>Rooms with more than one fixture type should be entered using multiple rows; square footage should be distributed between entries.</t>
  </si>
  <si>
    <t>Lumens/fixture*</t>
  </si>
  <si>
    <t>Manufacturer/Model*</t>
  </si>
  <si>
    <t>*Enter lumen/fixture and manufacturer/model only once fixtures are specified.</t>
  </si>
  <si>
    <t>(Note, if more than one line is used for a space type (e.g. bathroom), this error will not work correctly.)</t>
  </si>
  <si>
    <t>Cells highlighted in yellow indicate spaces where estimated lumen output of fixture does not provide minimum illumination (16 lumens/SqFt) per IESNA.</t>
  </si>
  <si>
    <t>Common Dryer, BTU/h (per dryer)</t>
  </si>
  <si>
    <t>sum of area of all apartments with in-unit laundry (default = total apartment sqft)</t>
  </si>
  <si>
    <t>Version 4.1</t>
  </si>
  <si>
    <t>Simulation Guidelines Appendix</t>
  </si>
</sst>
</file>

<file path=xl/styles.xml><?xml version="1.0" encoding="utf-8"?>
<styleSheet xmlns="http://schemas.openxmlformats.org/spreadsheetml/2006/main">
  <numFmts count="25">
    <numFmt numFmtId="7" formatCode="&quot;$&quot;#,##0.00_);\(&quot;$&quot;#,##0.00\)"/>
    <numFmt numFmtId="8" formatCode="&quot;$&quot;#,##0.00_);[Red]\(&quot;$&quot;#,##0.00\)"/>
    <numFmt numFmtId="44" formatCode="_(&quot;$&quot;* #,##0.00_);_(&quot;$&quot;* \(#,##0.00\);_(&quot;$&quot;* &quot;-&quot;??_);_(@_)"/>
    <numFmt numFmtId="43" formatCode="_(* #,##0.00_);_(* \(#,##0.00\);_(* &quot;-&quot;??_);_(@_)"/>
    <numFmt numFmtId="164" formatCode="&quot;$&quot;#,##0.00"/>
    <numFmt numFmtId="165" formatCode="0.0%"/>
    <numFmt numFmtId="166" formatCode="0.0"/>
    <numFmt numFmtId="167" formatCode="#,##0.0"/>
    <numFmt numFmtId="168" formatCode="0.000"/>
    <numFmt numFmtId="169" formatCode="0.0000"/>
    <numFmt numFmtId="170" formatCode="0.00000000"/>
    <numFmt numFmtId="171" formatCode="0.00000"/>
    <numFmt numFmtId="172" formatCode="0.0000000"/>
    <numFmt numFmtId="173" formatCode="0.000000"/>
    <numFmt numFmtId="174" formatCode="_(* #,##0_);_(* \(#,##0\);_(* &quot;-&quot;??_);_(@_)"/>
    <numFmt numFmtId="175" formatCode="_(* #,##0.0_);_(* \(#,##0.0\);_(* &quot;-&quot;??_);_(@_)"/>
    <numFmt numFmtId="176" formatCode="_(* #,##0.000_);_(* \(#,##0.000\);_(* &quot;-&quot;??_);_(@_)"/>
    <numFmt numFmtId="177" formatCode="_(* #,##0.0000_);_(* \(#,##0.0000\);_(* &quot;-&quot;??_);_(@_)"/>
    <numFmt numFmtId="178" formatCode="_(* #,##0.00000_);_(* \(#,##0.00000\);_(* &quot;-&quot;??_);_(@_)"/>
    <numFmt numFmtId="179" formatCode="&quot;$&quot;#,##0.00000_);\(&quot;$&quot;#,##0.00000\)"/>
    <numFmt numFmtId="180" formatCode="&quot;$&quot;#,##0.0000_);[Red]\(&quot;$&quot;#,##0.0000\)"/>
    <numFmt numFmtId="181" formatCode="0.0000%"/>
    <numFmt numFmtId="182" formatCode="0.000%"/>
    <numFmt numFmtId="183" formatCode="&quot;$&quot;#,##0.00_);[Red]\(&quot;$&quot;#,##0.00\);&quot;&quot;"/>
    <numFmt numFmtId="184" formatCode="#,##0_);[Red]\(#,##0\);&quot;&quot;"/>
  </numFmts>
  <fonts count="90">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Times New Roman"/>
      <family val="1"/>
    </font>
    <font>
      <sz val="12"/>
      <name val="Times New Roman"/>
      <family val="1"/>
    </font>
    <font>
      <b/>
      <sz val="12"/>
      <name val="Times New Roman"/>
      <family val="1"/>
    </font>
    <font>
      <sz val="10"/>
      <name val="Arial"/>
      <family val="2"/>
    </font>
    <font>
      <sz val="10"/>
      <color indexed="10"/>
      <name val="Arial"/>
      <family val="2"/>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2"/>
      <name val="Arial"/>
      <family val="2"/>
    </font>
    <font>
      <sz val="8"/>
      <name val="Arial"/>
      <family val="2"/>
    </font>
    <font>
      <b/>
      <sz val="14"/>
      <name val="Arial"/>
      <family val="2"/>
    </font>
    <font>
      <b/>
      <sz val="10"/>
      <name val="Arial"/>
      <family val="2"/>
    </font>
    <font>
      <b/>
      <sz val="12"/>
      <name val="Arial"/>
      <family val="2"/>
    </font>
    <font>
      <sz val="10"/>
      <name val="MS Sans Serif"/>
      <family val="2"/>
    </font>
    <font>
      <sz val="9"/>
      <name val="Geneva"/>
    </font>
    <font>
      <sz val="14"/>
      <name val="Arial"/>
      <family val="2"/>
    </font>
    <font>
      <b/>
      <sz val="10"/>
      <color indexed="62"/>
      <name val="Arial"/>
      <family val="2"/>
    </font>
    <font>
      <sz val="11"/>
      <name val="Arial"/>
      <family val="2"/>
    </font>
    <font>
      <sz val="9"/>
      <name val="Arial"/>
      <family val="2"/>
    </font>
    <font>
      <sz val="8"/>
      <color indexed="32"/>
      <name val="Arial"/>
      <family val="2"/>
    </font>
    <font>
      <sz val="8"/>
      <color indexed="62"/>
      <name val="Arial"/>
      <family val="2"/>
    </font>
    <font>
      <b/>
      <sz val="11"/>
      <name val="Arial"/>
      <family val="2"/>
    </font>
    <font>
      <b/>
      <sz val="12"/>
      <name val="Geneva"/>
    </font>
    <font>
      <b/>
      <sz val="16"/>
      <name val="Geneva"/>
    </font>
    <font>
      <b/>
      <sz val="11"/>
      <name val="Geneva"/>
    </font>
    <font>
      <sz val="11"/>
      <color indexed="8"/>
      <name val="Calibri"/>
      <family val="2"/>
    </font>
    <font>
      <b/>
      <sz val="11"/>
      <color indexed="8"/>
      <name val="Calibri"/>
      <family val="2"/>
    </font>
    <font>
      <b/>
      <u/>
      <sz val="11"/>
      <color indexed="8"/>
      <name val="Calibri"/>
      <family val="2"/>
    </font>
    <font>
      <sz val="8"/>
      <name val="Arial"/>
      <family val="2"/>
    </font>
    <font>
      <sz val="8"/>
      <color indexed="81"/>
      <name val="Tahoma"/>
      <family val="2"/>
    </font>
    <font>
      <b/>
      <sz val="8"/>
      <color indexed="81"/>
      <name val="Tahoma"/>
      <family val="2"/>
    </font>
    <font>
      <sz val="10"/>
      <color indexed="8"/>
      <name val="Times New Roman"/>
      <family val="1"/>
    </font>
    <font>
      <b/>
      <sz val="10"/>
      <color indexed="8"/>
      <name val="Times New Roman"/>
      <family val="1"/>
    </font>
    <font>
      <u/>
      <sz val="12"/>
      <name val="Times New Roman"/>
      <family val="1"/>
    </font>
    <font>
      <b/>
      <u/>
      <sz val="12"/>
      <name val="Times New Roman"/>
      <family val="1"/>
    </font>
    <font>
      <sz val="10"/>
      <color indexed="17"/>
      <name val="Arial"/>
      <family val="2"/>
    </font>
    <font>
      <sz val="9"/>
      <name val="Calibri"/>
      <family val="2"/>
      <scheme val="minor"/>
    </font>
    <font>
      <sz val="10"/>
      <name val="Calibri"/>
      <family val="2"/>
      <scheme val="minor"/>
    </font>
    <font>
      <b/>
      <sz val="14"/>
      <name val="Calibri"/>
      <family val="2"/>
      <scheme val="minor"/>
    </font>
    <font>
      <b/>
      <sz val="9"/>
      <name val="Calibri"/>
      <family val="2"/>
      <scheme val="minor"/>
    </font>
    <font>
      <b/>
      <sz val="11"/>
      <name val="Calibri"/>
      <family val="2"/>
      <scheme val="minor"/>
    </font>
    <font>
      <sz val="9"/>
      <color indexed="12"/>
      <name val="Geneva"/>
    </font>
    <font>
      <b/>
      <sz val="9"/>
      <color indexed="12"/>
      <name val="Geneva"/>
    </font>
    <font>
      <u/>
      <sz val="11"/>
      <color theme="10"/>
      <name val="Calibri"/>
      <family val="2"/>
    </font>
    <font>
      <sz val="9"/>
      <color indexed="10"/>
      <name val="Geneva"/>
    </font>
    <font>
      <sz val="10"/>
      <name val="Geneva"/>
    </font>
    <font>
      <b/>
      <sz val="12"/>
      <color theme="0" tint="-4.9989318521683403E-2"/>
      <name val="Calibri"/>
      <family val="2"/>
      <scheme val="minor"/>
    </font>
    <font>
      <sz val="10"/>
      <color theme="0"/>
      <name val="Arial"/>
      <family val="2"/>
    </font>
    <font>
      <sz val="9"/>
      <color theme="2"/>
      <name val="Calibri"/>
      <family val="2"/>
      <scheme val="minor"/>
    </font>
    <font>
      <i/>
      <sz val="9"/>
      <name val="Calibri"/>
      <family val="2"/>
      <scheme val="minor"/>
    </font>
    <font>
      <sz val="9"/>
      <color theme="1"/>
      <name val="Calibri"/>
      <family val="2"/>
      <scheme val="minor"/>
    </font>
    <font>
      <sz val="10"/>
      <color indexed="8"/>
      <name val="Calibri"/>
      <family val="2"/>
      <scheme val="minor"/>
    </font>
    <font>
      <sz val="11"/>
      <color indexed="8"/>
      <name val="Calibri"/>
      <family val="2"/>
      <scheme val="minor"/>
    </font>
    <font>
      <sz val="9"/>
      <color indexed="8"/>
      <name val="Calibri"/>
      <family val="2"/>
      <scheme val="minor"/>
    </font>
    <font>
      <b/>
      <sz val="9"/>
      <color indexed="8"/>
      <name val="Calibri"/>
      <family val="2"/>
      <scheme val="minor"/>
    </font>
    <font>
      <b/>
      <sz val="14"/>
      <color indexed="8"/>
      <name val="Calibri"/>
      <family val="2"/>
      <scheme val="minor"/>
    </font>
    <font>
      <b/>
      <sz val="9"/>
      <color rgb="FFFF0000"/>
      <name val="Calibri"/>
      <family val="2"/>
      <scheme val="minor"/>
    </font>
    <font>
      <sz val="9"/>
      <color rgb="FFFF0000"/>
      <name val="Calibri"/>
      <family val="2"/>
      <scheme val="minor"/>
    </font>
    <font>
      <b/>
      <sz val="9"/>
      <color indexed="10"/>
      <name val="Calibri"/>
      <family val="2"/>
      <scheme val="minor"/>
    </font>
    <font>
      <sz val="9"/>
      <color indexed="10"/>
      <name val="Calibri"/>
      <family val="2"/>
      <scheme val="minor"/>
    </font>
    <font>
      <b/>
      <u/>
      <sz val="9"/>
      <name val="Calibri"/>
      <family val="2"/>
      <scheme val="minor"/>
    </font>
    <font>
      <b/>
      <i/>
      <sz val="9"/>
      <name val="Calibri"/>
      <family val="2"/>
      <scheme val="minor"/>
    </font>
    <font>
      <b/>
      <sz val="9"/>
      <color indexed="9"/>
      <name val="Calibri"/>
      <family val="2"/>
      <scheme val="minor"/>
    </font>
    <font>
      <i/>
      <u/>
      <sz val="9"/>
      <name val="Calibri"/>
      <family val="2"/>
      <scheme val="minor"/>
    </font>
    <font>
      <b/>
      <sz val="9"/>
      <color indexed="12"/>
      <name val="Calibri"/>
      <family val="2"/>
      <scheme val="minor"/>
    </font>
    <font>
      <sz val="9"/>
      <color theme="0" tint="-0.34998626667073579"/>
      <name val="Calibri"/>
      <family val="2"/>
      <scheme val="minor"/>
    </font>
    <font>
      <b/>
      <sz val="9"/>
      <color theme="0" tint="-0.34998626667073579"/>
      <name val="Calibri"/>
      <family val="2"/>
      <scheme val="minor"/>
    </font>
    <font>
      <u/>
      <sz val="9"/>
      <name val="Calibri"/>
      <family val="2"/>
      <scheme val="minor"/>
    </font>
    <font>
      <b/>
      <i/>
      <u/>
      <sz val="9"/>
      <name val="Calibri"/>
      <family val="2"/>
      <scheme val="minor"/>
    </font>
    <font>
      <u/>
      <sz val="10"/>
      <color indexed="12"/>
      <name val="Arial"/>
      <family val="2"/>
    </font>
  </fonts>
  <fills count="4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7"/>
        <bgColor indexed="64"/>
      </patternFill>
    </fill>
    <fill>
      <patternFill patternType="solid">
        <fgColor indexed="43"/>
        <bgColor indexed="64"/>
      </patternFill>
    </fill>
    <fill>
      <patternFill patternType="solid">
        <fgColor indexed="55"/>
        <bgColor indexed="64"/>
      </patternFill>
    </fill>
    <fill>
      <patternFill patternType="solid">
        <fgColor indexed="22"/>
        <bgColor indexed="64"/>
      </patternFill>
    </fill>
    <fill>
      <patternFill patternType="solid">
        <fgColor indexed="29"/>
        <bgColor indexed="64"/>
      </patternFill>
    </fill>
    <fill>
      <patternFill patternType="solid">
        <fgColor indexed="26"/>
        <bgColor indexed="64"/>
      </patternFill>
    </fill>
    <fill>
      <patternFill patternType="solid">
        <fgColor indexed="9"/>
        <bgColor indexed="64"/>
      </patternFill>
    </fill>
    <fill>
      <patternFill patternType="solid">
        <fgColor indexed="41"/>
        <bgColor indexed="64"/>
      </patternFill>
    </fill>
    <fill>
      <patternFill patternType="solid">
        <fgColor theme="0" tint="-0.14999847407452621"/>
        <bgColor indexed="64"/>
      </patternFill>
    </fill>
    <fill>
      <patternFill patternType="solid">
        <fgColor indexed="22"/>
        <bgColor indexed="0"/>
      </patternFill>
    </fill>
    <fill>
      <patternFill patternType="solid">
        <fgColor theme="0"/>
        <bgColor indexed="64"/>
      </patternFill>
    </fill>
    <fill>
      <patternFill patternType="solid">
        <fgColor indexed="27"/>
        <bgColor indexed="64"/>
      </patternFill>
    </fill>
    <fill>
      <patternFill patternType="solid">
        <fgColor indexed="10"/>
        <bgColor indexed="64"/>
      </patternFill>
    </fill>
    <fill>
      <patternFill patternType="solid">
        <fgColor rgb="FFFF0000"/>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indexed="1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rgb="FFFFFF99"/>
        <bgColor indexed="64"/>
      </patternFill>
    </fill>
    <fill>
      <patternFill patternType="solid">
        <fgColor theme="0" tint="-0.24994659260841701"/>
        <bgColor indexed="64"/>
      </patternFill>
    </fill>
    <fill>
      <patternFill patternType="solid">
        <fgColor theme="0"/>
        <bgColor theme="0"/>
      </patternFill>
    </fill>
    <fill>
      <patternFill patternType="darkVertical">
        <fgColor rgb="FFFFCC99"/>
        <bgColor theme="8" tint="0.79985961485641044"/>
      </patternFill>
    </fill>
    <fill>
      <patternFill patternType="darkVertical">
        <fgColor rgb="FFFFCC99"/>
        <bgColor theme="8" tint="0.79992065187536243"/>
      </patternFill>
    </fill>
  </fills>
  <borders count="8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23"/>
      </right>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23"/>
      </left>
      <right/>
      <top/>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diagonal/>
    </border>
    <border>
      <left/>
      <right/>
      <top style="medium">
        <color indexed="64"/>
      </top>
      <bottom style="thin">
        <color indexed="64"/>
      </bottom>
      <diagonal/>
    </border>
    <border>
      <left/>
      <right style="thin">
        <color indexed="64"/>
      </right>
      <top style="thin">
        <color indexed="64"/>
      </top>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style="thin">
        <color indexed="64"/>
      </right>
      <top/>
      <bottom/>
      <diagonal/>
    </border>
    <border>
      <left style="thin">
        <color indexed="22"/>
      </left>
      <right/>
      <top/>
      <bottom style="thin">
        <color indexed="22"/>
      </bottom>
      <diagonal/>
    </border>
    <border>
      <left style="thin">
        <color indexed="22"/>
      </left>
      <right/>
      <top/>
      <bottom/>
      <diagonal/>
    </border>
    <border>
      <left style="thin">
        <color indexed="64"/>
      </left>
      <right/>
      <top/>
      <bottom style="hair">
        <color indexed="64"/>
      </bottom>
      <diagonal/>
    </border>
    <border>
      <left/>
      <right/>
      <top style="thin">
        <color indexed="23"/>
      </top>
      <bottom style="thin">
        <color indexed="12"/>
      </bottom>
      <diagonal/>
    </border>
    <border>
      <left/>
      <right/>
      <top style="thin">
        <color indexed="21"/>
      </top>
      <bottom/>
      <diagonal/>
    </border>
    <border>
      <left style="hair">
        <color indexed="64"/>
      </left>
      <right/>
      <top/>
      <bottom style="hair">
        <color indexed="64"/>
      </bottom>
      <diagonal/>
    </border>
    <border>
      <left style="thin">
        <color auto="1"/>
      </left>
      <right/>
      <top/>
      <bottom/>
      <diagonal/>
    </border>
    <border>
      <left/>
      <right style="thin">
        <color auto="1"/>
      </right>
      <top/>
      <bottom/>
      <diagonal/>
    </border>
    <border>
      <left/>
      <right/>
      <top style="thin">
        <color indexed="23"/>
      </top>
      <bottom style="thin">
        <color indexed="12"/>
      </bottom>
      <diagonal/>
    </border>
    <border>
      <left/>
      <right/>
      <top style="thin">
        <color indexed="21"/>
      </top>
      <bottom/>
      <diagonal/>
    </border>
  </borders>
  <cellStyleXfs count="739">
    <xf numFmtId="0" fontId="0"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13" fillId="3" borderId="0" applyNumberFormat="0" applyBorder="0" applyAlignment="0" applyProtection="0"/>
    <xf numFmtId="0" fontId="14" fillId="20" borderId="1" applyNumberFormat="0" applyAlignment="0" applyProtection="0"/>
    <xf numFmtId="0" fontId="15" fillId="21" borderId="2" applyNumberFormat="0" applyAlignment="0" applyProtection="0"/>
    <xf numFmtId="43" fontId="4"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4" fontId="4" fillId="0" borderId="0" applyFont="0" applyFill="0" applyBorder="0" applyAlignment="0" applyProtection="0"/>
    <xf numFmtId="44" fontId="8" fillId="0" borderId="0" applyFont="0" applyFill="0" applyBorder="0" applyAlignment="0" applyProtection="0"/>
    <xf numFmtId="0" fontId="16" fillId="0" borderId="0" applyNumberFormat="0" applyFill="0" applyBorder="0" applyAlignment="0" applyProtection="0"/>
    <xf numFmtId="0" fontId="17" fillId="4" borderId="0" applyNumberFormat="0" applyBorder="0" applyAlignment="0" applyProtection="0"/>
    <xf numFmtId="0" fontId="18" fillId="0" borderId="3"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7" borderId="1" applyNumberFormat="0" applyAlignment="0" applyProtection="0"/>
    <xf numFmtId="0" fontId="23" fillId="0" borderId="6" applyNumberFormat="0" applyFill="0" applyAlignment="0" applyProtection="0"/>
    <xf numFmtId="0" fontId="24" fillId="22" borderId="0" applyNumberFormat="0" applyBorder="0" applyAlignment="0" applyProtection="0"/>
    <xf numFmtId="0" fontId="10" fillId="0" borderId="0"/>
    <xf numFmtId="0" fontId="8" fillId="0" borderId="0"/>
    <xf numFmtId="0" fontId="33" fillId="0" borderId="0"/>
    <xf numFmtId="0" fontId="4" fillId="0" borderId="0"/>
    <xf numFmtId="0" fontId="45" fillId="0" borderId="0"/>
    <xf numFmtId="0" fontId="45" fillId="0" borderId="0"/>
    <xf numFmtId="0" fontId="34" fillId="0" borderId="0"/>
    <xf numFmtId="0" fontId="10" fillId="23" borderId="7" applyNumberFormat="0" applyFont="0" applyAlignment="0" applyProtection="0"/>
    <xf numFmtId="0" fontId="25" fillId="20" borderId="8" applyNumberFormat="0" applyAlignment="0" applyProtection="0"/>
    <xf numFmtId="9" fontId="4" fillId="0" borderId="0" applyFont="0" applyFill="0" applyBorder="0" applyAlignment="0" applyProtection="0"/>
    <xf numFmtId="9" fontId="10" fillId="0" borderId="0" applyFon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9" fillId="0" borderId="0" applyNumberFormat="0" applyFill="0" applyBorder="0" applyAlignment="0" applyProtection="0"/>
    <xf numFmtId="0" fontId="8" fillId="0" borderId="0"/>
    <xf numFmtId="0" fontId="11" fillId="0" borderId="0"/>
    <xf numFmtId="43" fontId="8" fillId="0" borderId="0" applyFont="0" applyFill="0" applyBorder="0" applyAlignment="0" applyProtection="0"/>
    <xf numFmtId="0" fontId="8" fillId="0" borderId="0"/>
    <xf numFmtId="0" fontId="3" fillId="0" borderId="0"/>
    <xf numFmtId="0" fontId="8" fillId="23" borderId="7" applyNumberFormat="0" applyFont="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0" fontId="3" fillId="0" borderId="0"/>
    <xf numFmtId="0" fontId="8" fillId="0" borderId="0"/>
    <xf numFmtId="0" fontId="3" fillId="0" borderId="0"/>
    <xf numFmtId="0" fontId="8" fillId="23" borderId="7" applyNumberFormat="0" applyFont="0" applyAlignment="0" applyProtection="0"/>
    <xf numFmtId="9" fontId="8" fillId="0" borderId="0" applyFont="0" applyFill="0" applyBorder="0" applyAlignment="0" applyProtection="0"/>
    <xf numFmtId="0" fontId="8" fillId="0" borderId="0"/>
    <xf numFmtId="0" fontId="3" fillId="0" borderId="0"/>
    <xf numFmtId="43" fontId="8" fillId="0" borderId="0" applyFont="0" applyFill="0" applyBorder="0" applyAlignment="0" applyProtection="0"/>
    <xf numFmtId="0" fontId="8" fillId="23" borderId="7" applyNumberFormat="0" applyFont="0" applyAlignment="0" applyProtection="0"/>
    <xf numFmtId="0" fontId="8" fillId="0" borderId="0"/>
    <xf numFmtId="9" fontId="8" fillId="0" borderId="0" applyFont="0" applyFill="0" applyBorder="0" applyAlignment="0" applyProtection="0"/>
    <xf numFmtId="0" fontId="8" fillId="23" borderId="7" applyNumberFormat="0" applyFont="0" applyAlignment="0" applyProtection="0"/>
    <xf numFmtId="9" fontId="8" fillId="0" borderId="0" applyFont="0" applyFill="0" applyBorder="0" applyAlignment="0" applyProtection="0"/>
    <xf numFmtId="0" fontId="8" fillId="0" borderId="0"/>
    <xf numFmtId="0" fontId="3" fillId="0" borderId="0"/>
    <xf numFmtId="0" fontId="8" fillId="23" borderId="7" applyNumberFormat="0" applyFont="0" applyAlignment="0" applyProtection="0"/>
    <xf numFmtId="9" fontId="8" fillId="0" borderId="0" applyFont="0" applyFill="0" applyBorder="0" applyAlignment="0" applyProtection="0"/>
    <xf numFmtId="43" fontId="8" fillId="0" borderId="0" applyFont="0" applyFill="0" applyBorder="0" applyAlignment="0" applyProtection="0"/>
    <xf numFmtId="0" fontId="8" fillId="0" borderId="0"/>
    <xf numFmtId="0" fontId="3" fillId="0" borderId="0"/>
    <xf numFmtId="0" fontId="8" fillId="23" borderId="7" applyNumberFormat="0" applyFont="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3" fillId="0" borderId="0"/>
    <xf numFmtId="0" fontId="8" fillId="23" borderId="7" applyNumberFormat="0" applyFont="0" applyAlignment="0" applyProtection="0"/>
    <xf numFmtId="9" fontId="8" fillId="0" borderId="0" applyFont="0" applyFill="0" applyBorder="0" applyAlignment="0" applyProtection="0"/>
    <xf numFmtId="0" fontId="2" fillId="0" borderId="0"/>
    <xf numFmtId="0" fontId="11" fillId="8" borderId="0" applyNumberFormat="0" applyBorder="0" applyAlignment="0" applyProtection="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13" fillId="3" borderId="0" applyNumberFormat="0" applyBorder="0" applyAlignment="0" applyProtection="0"/>
    <xf numFmtId="0" fontId="14" fillId="20" borderId="1" applyNumberFormat="0" applyAlignment="0" applyProtection="0"/>
    <xf numFmtId="0" fontId="15" fillId="21" borderId="2" applyNumberFormat="0" applyAlignment="0" applyProtection="0"/>
    <xf numFmtId="0" fontId="11" fillId="11" borderId="0" applyNumberFormat="0" applyBorder="0" applyAlignment="0" applyProtection="0"/>
    <xf numFmtId="43" fontId="4" fillId="0" borderId="0" applyFont="0" applyFill="0" applyBorder="0" applyAlignment="0" applyProtection="0"/>
    <xf numFmtId="0" fontId="11" fillId="8" borderId="0" applyNumberFormat="0" applyBorder="0" applyAlignment="0" applyProtection="0"/>
    <xf numFmtId="0" fontId="16" fillId="0" borderId="0" applyNumberFormat="0" applyFill="0" applyBorder="0" applyAlignment="0" applyProtection="0"/>
    <xf numFmtId="0" fontId="55" fillId="4" borderId="0" applyNumberFormat="0" applyBorder="0" applyAlignment="0" applyProtection="0"/>
    <xf numFmtId="0" fontId="18" fillId="0" borderId="3"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0" applyNumberFormat="0" applyFill="0" applyBorder="0" applyAlignment="0" applyProtection="0"/>
    <xf numFmtId="0" fontId="11" fillId="5" borderId="0" applyNumberFormat="0" applyBorder="0" applyAlignment="0" applyProtection="0"/>
    <xf numFmtId="0" fontId="11" fillId="10" borderId="0" applyNumberFormat="0" applyBorder="0" applyAlignment="0" applyProtection="0"/>
    <xf numFmtId="0" fontId="11" fillId="9" borderId="0" applyNumberFormat="0" applyBorder="0" applyAlignment="0" applyProtection="0"/>
    <xf numFmtId="0" fontId="22" fillId="7" borderId="1" applyNumberFormat="0" applyAlignment="0" applyProtection="0"/>
    <xf numFmtId="0" fontId="23" fillId="0" borderId="6" applyNumberFormat="0" applyFill="0" applyAlignment="0" applyProtection="0"/>
    <xf numFmtId="0" fontId="24" fillId="22" borderId="0" applyNumberFormat="0" applyBorder="0" applyAlignment="0" applyProtection="0"/>
    <xf numFmtId="0" fontId="4" fillId="0" borderId="0"/>
    <xf numFmtId="0" fontId="11" fillId="7" borderId="0" applyNumberFormat="0" applyBorder="0" applyAlignment="0" applyProtection="0"/>
    <xf numFmtId="0" fontId="11" fillId="6" borderId="0" applyNumberFormat="0" applyBorder="0" applyAlignment="0" applyProtection="0"/>
    <xf numFmtId="0" fontId="11" fillId="5" borderId="0" applyNumberFormat="0" applyBorder="0" applyAlignment="0" applyProtection="0"/>
    <xf numFmtId="0" fontId="11" fillId="4" borderId="0" applyNumberFormat="0" applyBorder="0" applyAlignment="0" applyProtection="0"/>
    <xf numFmtId="0" fontId="11" fillId="3" borderId="0" applyNumberFormat="0" applyBorder="0" applyAlignment="0" applyProtection="0"/>
    <xf numFmtId="0" fontId="11" fillId="2" borderId="0" applyNumberFormat="0" applyBorder="0" applyAlignment="0" applyProtection="0"/>
    <xf numFmtId="0" fontId="4" fillId="23" borderId="7" applyNumberFormat="0" applyFont="0" applyAlignment="0" applyProtection="0"/>
    <xf numFmtId="0" fontId="25" fillId="20" borderId="8" applyNumberFormat="0" applyAlignment="0" applyProtection="0"/>
    <xf numFmtId="0" fontId="11" fillId="8" borderId="0" applyNumberFormat="0" applyBorder="0" applyAlignment="0" applyProtection="0"/>
    <xf numFmtId="9" fontId="4" fillId="0" borderId="0" applyFon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9" fillId="0" borderId="0" applyNumberFormat="0" applyFill="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13" fillId="3" borderId="0" applyNumberFormat="0" applyBorder="0" applyAlignment="0" applyProtection="0"/>
    <xf numFmtId="0" fontId="14" fillId="20" borderId="1" applyNumberFormat="0" applyAlignment="0" applyProtection="0"/>
    <xf numFmtId="0" fontId="15" fillId="21" borderId="2" applyNumberFormat="0" applyAlignment="0" applyProtection="0"/>
    <xf numFmtId="0" fontId="11" fillId="11" borderId="0" applyNumberFormat="0" applyBorder="0" applyAlignment="0" applyProtection="0"/>
    <xf numFmtId="43" fontId="4" fillId="0" borderId="0" applyFont="0" applyFill="0" applyBorder="0" applyAlignment="0" applyProtection="0"/>
    <xf numFmtId="0" fontId="11" fillId="8" borderId="0" applyNumberFormat="0" applyBorder="0" applyAlignment="0" applyProtection="0"/>
    <xf numFmtId="0" fontId="16" fillId="0" borderId="0" applyNumberFormat="0" applyFill="0" applyBorder="0" applyAlignment="0" applyProtection="0"/>
    <xf numFmtId="0" fontId="55" fillId="4" borderId="0" applyNumberFormat="0" applyBorder="0" applyAlignment="0" applyProtection="0"/>
    <xf numFmtId="0" fontId="18" fillId="0" borderId="3"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0" applyNumberFormat="0" applyFill="0" applyBorder="0" applyAlignment="0" applyProtection="0"/>
    <xf numFmtId="0" fontId="11" fillId="5" borderId="0" applyNumberFormat="0" applyBorder="0" applyAlignment="0" applyProtection="0"/>
    <xf numFmtId="0" fontId="11" fillId="10" borderId="0" applyNumberFormat="0" applyBorder="0" applyAlignment="0" applyProtection="0"/>
    <xf numFmtId="0" fontId="11" fillId="9" borderId="0" applyNumberFormat="0" applyBorder="0" applyAlignment="0" applyProtection="0"/>
    <xf numFmtId="0" fontId="22" fillId="7" borderId="1" applyNumberFormat="0" applyAlignment="0" applyProtection="0"/>
    <xf numFmtId="0" fontId="23" fillId="0" borderId="6" applyNumberFormat="0" applyFill="0" applyAlignment="0" applyProtection="0"/>
    <xf numFmtId="0" fontId="24" fillId="22" borderId="0" applyNumberFormat="0" applyBorder="0" applyAlignment="0" applyProtection="0"/>
    <xf numFmtId="0" fontId="4" fillId="0" borderId="0"/>
    <xf numFmtId="0" fontId="11" fillId="7" borderId="0" applyNumberFormat="0" applyBorder="0" applyAlignment="0" applyProtection="0"/>
    <xf numFmtId="0" fontId="11" fillId="6" borderId="0" applyNumberFormat="0" applyBorder="0" applyAlignment="0" applyProtection="0"/>
    <xf numFmtId="0" fontId="11" fillId="5" borderId="0" applyNumberFormat="0" applyBorder="0" applyAlignment="0" applyProtection="0"/>
    <xf numFmtId="0" fontId="11" fillId="4" borderId="0" applyNumberFormat="0" applyBorder="0" applyAlignment="0" applyProtection="0"/>
    <xf numFmtId="0" fontId="11" fillId="3" borderId="0" applyNumberFormat="0" applyBorder="0" applyAlignment="0" applyProtection="0"/>
    <xf numFmtId="0" fontId="11" fillId="2" borderId="0" applyNumberFormat="0" applyBorder="0" applyAlignment="0" applyProtection="0"/>
    <xf numFmtId="0" fontId="4" fillId="23" borderId="7" applyNumberFormat="0" applyFont="0" applyAlignment="0" applyProtection="0"/>
    <xf numFmtId="0" fontId="25" fillId="20" borderId="8" applyNumberFormat="0" applyAlignment="0" applyProtection="0"/>
    <xf numFmtId="0" fontId="11" fillId="8" borderId="0" applyNumberFormat="0" applyBorder="0" applyAlignment="0" applyProtection="0"/>
    <xf numFmtId="9" fontId="4" fillId="0" borderId="0" applyFon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9" fillId="0" borderId="0" applyNumberFormat="0" applyFill="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13" fillId="3" borderId="0" applyNumberFormat="0" applyBorder="0" applyAlignment="0" applyProtection="0"/>
    <xf numFmtId="0" fontId="14" fillId="20" borderId="1" applyNumberFormat="0" applyAlignment="0" applyProtection="0"/>
    <xf numFmtId="0" fontId="15" fillId="21" borderId="2" applyNumberFormat="0" applyAlignment="0" applyProtection="0"/>
    <xf numFmtId="0" fontId="11" fillId="11" borderId="0" applyNumberFormat="0" applyBorder="0" applyAlignment="0" applyProtection="0"/>
    <xf numFmtId="43" fontId="4" fillId="0" borderId="0" applyFont="0" applyFill="0" applyBorder="0" applyAlignment="0" applyProtection="0"/>
    <xf numFmtId="0" fontId="11" fillId="8" borderId="0" applyNumberFormat="0" applyBorder="0" applyAlignment="0" applyProtection="0"/>
    <xf numFmtId="0" fontId="16" fillId="0" borderId="0" applyNumberFormat="0" applyFill="0" applyBorder="0" applyAlignment="0" applyProtection="0"/>
    <xf numFmtId="0" fontId="55" fillId="4" borderId="0" applyNumberFormat="0" applyBorder="0" applyAlignment="0" applyProtection="0"/>
    <xf numFmtId="0" fontId="18" fillId="0" borderId="3"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0" applyNumberFormat="0" applyFill="0" applyBorder="0" applyAlignment="0" applyProtection="0"/>
    <xf numFmtId="0" fontId="11" fillId="5" borderId="0" applyNumberFormat="0" applyBorder="0" applyAlignment="0" applyProtection="0"/>
    <xf numFmtId="0" fontId="11" fillId="10" borderId="0" applyNumberFormat="0" applyBorder="0" applyAlignment="0" applyProtection="0"/>
    <xf numFmtId="0" fontId="11" fillId="9" borderId="0" applyNumberFormat="0" applyBorder="0" applyAlignment="0" applyProtection="0"/>
    <xf numFmtId="0" fontId="22" fillId="7" borderId="1" applyNumberFormat="0" applyAlignment="0" applyProtection="0"/>
    <xf numFmtId="0" fontId="23" fillId="0" borderId="6" applyNumberFormat="0" applyFill="0" applyAlignment="0" applyProtection="0"/>
    <xf numFmtId="0" fontId="24" fillId="22" borderId="0" applyNumberFormat="0" applyBorder="0" applyAlignment="0" applyProtection="0"/>
    <xf numFmtId="0" fontId="4" fillId="0" borderId="0"/>
    <xf numFmtId="0" fontId="11" fillId="7" borderId="0" applyNumberFormat="0" applyBorder="0" applyAlignment="0" applyProtection="0"/>
    <xf numFmtId="0" fontId="11" fillId="6" borderId="0" applyNumberFormat="0" applyBorder="0" applyAlignment="0" applyProtection="0"/>
    <xf numFmtId="0" fontId="11" fillId="5" borderId="0" applyNumberFormat="0" applyBorder="0" applyAlignment="0" applyProtection="0"/>
    <xf numFmtId="0" fontId="11" fillId="4" borderId="0" applyNumberFormat="0" applyBorder="0" applyAlignment="0" applyProtection="0"/>
    <xf numFmtId="0" fontId="11" fillId="3" borderId="0" applyNumberFormat="0" applyBorder="0" applyAlignment="0" applyProtection="0"/>
    <xf numFmtId="0" fontId="11" fillId="2" borderId="0" applyNumberFormat="0" applyBorder="0" applyAlignment="0" applyProtection="0"/>
    <xf numFmtId="0" fontId="4" fillId="23" borderId="7" applyNumberFormat="0" applyFont="0" applyAlignment="0" applyProtection="0"/>
    <xf numFmtId="0" fontId="25" fillId="20" borderId="8" applyNumberFormat="0" applyAlignment="0" applyProtection="0"/>
    <xf numFmtId="0" fontId="11" fillId="8" borderId="0" applyNumberFormat="0" applyBorder="0" applyAlignment="0" applyProtection="0"/>
    <xf numFmtId="9" fontId="4" fillId="0" borderId="0" applyFon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9" fillId="0" borderId="0" applyNumberFormat="0" applyFill="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13" fillId="3" borderId="0" applyNumberFormat="0" applyBorder="0" applyAlignment="0" applyProtection="0"/>
    <xf numFmtId="0" fontId="14" fillId="20" borderId="1" applyNumberFormat="0" applyAlignment="0" applyProtection="0"/>
    <xf numFmtId="0" fontId="15" fillId="21" borderId="2" applyNumberFormat="0" applyAlignment="0" applyProtection="0"/>
    <xf numFmtId="0" fontId="11" fillId="11" borderId="0" applyNumberFormat="0" applyBorder="0" applyAlignment="0" applyProtection="0"/>
    <xf numFmtId="43" fontId="4" fillId="0" borderId="0" applyFont="0" applyFill="0" applyBorder="0" applyAlignment="0" applyProtection="0"/>
    <xf numFmtId="0" fontId="11" fillId="8" borderId="0" applyNumberFormat="0" applyBorder="0" applyAlignment="0" applyProtection="0"/>
    <xf numFmtId="0" fontId="16" fillId="0" borderId="0" applyNumberFormat="0" applyFill="0" applyBorder="0" applyAlignment="0" applyProtection="0"/>
    <xf numFmtId="0" fontId="55" fillId="4" borderId="0" applyNumberFormat="0" applyBorder="0" applyAlignment="0" applyProtection="0"/>
    <xf numFmtId="0" fontId="18" fillId="0" borderId="3"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0" applyNumberFormat="0" applyFill="0" applyBorder="0" applyAlignment="0" applyProtection="0"/>
    <xf numFmtId="0" fontId="11" fillId="5" borderId="0" applyNumberFormat="0" applyBorder="0" applyAlignment="0" applyProtection="0"/>
    <xf numFmtId="0" fontId="11" fillId="10" borderId="0" applyNumberFormat="0" applyBorder="0" applyAlignment="0" applyProtection="0"/>
    <xf numFmtId="0" fontId="11" fillId="9" borderId="0" applyNumberFormat="0" applyBorder="0" applyAlignment="0" applyProtection="0"/>
    <xf numFmtId="0" fontId="22" fillId="7" borderId="1" applyNumberFormat="0" applyAlignment="0" applyProtection="0"/>
    <xf numFmtId="0" fontId="23" fillId="0" borderId="6" applyNumberFormat="0" applyFill="0" applyAlignment="0" applyProtection="0"/>
    <xf numFmtId="0" fontId="24" fillId="22" borderId="0" applyNumberFormat="0" applyBorder="0" applyAlignment="0" applyProtection="0"/>
    <xf numFmtId="0" fontId="4" fillId="0" borderId="0"/>
    <xf numFmtId="0" fontId="11" fillId="7" borderId="0" applyNumberFormat="0" applyBorder="0" applyAlignment="0" applyProtection="0"/>
    <xf numFmtId="0" fontId="11" fillId="6" borderId="0" applyNumberFormat="0" applyBorder="0" applyAlignment="0" applyProtection="0"/>
    <xf numFmtId="0" fontId="11" fillId="5" borderId="0" applyNumberFormat="0" applyBorder="0" applyAlignment="0" applyProtection="0"/>
    <xf numFmtId="0" fontId="11" fillId="4" borderId="0" applyNumberFormat="0" applyBorder="0" applyAlignment="0" applyProtection="0"/>
    <xf numFmtId="0" fontId="11" fillId="3" borderId="0" applyNumberFormat="0" applyBorder="0" applyAlignment="0" applyProtection="0"/>
    <xf numFmtId="0" fontId="11" fillId="2" borderId="0" applyNumberFormat="0" applyBorder="0" applyAlignment="0" applyProtection="0"/>
    <xf numFmtId="0" fontId="4" fillId="23" borderId="7" applyNumberFormat="0" applyFont="0" applyAlignment="0" applyProtection="0"/>
    <xf numFmtId="0" fontId="25" fillId="20" borderId="8" applyNumberFormat="0" applyAlignment="0" applyProtection="0"/>
    <xf numFmtId="0" fontId="11" fillId="8" borderId="0" applyNumberFormat="0" applyBorder="0" applyAlignment="0" applyProtection="0"/>
    <xf numFmtId="9" fontId="4" fillId="0" borderId="0" applyFon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9" fillId="0" borderId="0" applyNumberFormat="0" applyFill="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13" fillId="3" borderId="0" applyNumberFormat="0" applyBorder="0" applyAlignment="0" applyProtection="0"/>
    <xf numFmtId="0" fontId="14" fillId="20" borderId="1" applyNumberFormat="0" applyAlignment="0" applyProtection="0"/>
    <xf numFmtId="0" fontId="15" fillId="21" borderId="2" applyNumberFormat="0" applyAlignment="0" applyProtection="0"/>
    <xf numFmtId="0" fontId="11" fillId="11" borderId="0" applyNumberFormat="0" applyBorder="0" applyAlignment="0" applyProtection="0"/>
    <xf numFmtId="43" fontId="4" fillId="0" borderId="0" applyFont="0" applyFill="0" applyBorder="0" applyAlignment="0" applyProtection="0"/>
    <xf numFmtId="0" fontId="11" fillId="8" borderId="0" applyNumberFormat="0" applyBorder="0" applyAlignment="0" applyProtection="0"/>
    <xf numFmtId="0" fontId="16" fillId="0" borderId="0" applyNumberFormat="0" applyFill="0" applyBorder="0" applyAlignment="0" applyProtection="0"/>
    <xf numFmtId="0" fontId="55" fillId="4" borderId="0" applyNumberFormat="0" applyBorder="0" applyAlignment="0" applyProtection="0"/>
    <xf numFmtId="0" fontId="18" fillId="0" borderId="3"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0" applyNumberFormat="0" applyFill="0" applyBorder="0" applyAlignment="0" applyProtection="0"/>
    <xf numFmtId="0" fontId="11" fillId="5" borderId="0" applyNumberFormat="0" applyBorder="0" applyAlignment="0" applyProtection="0"/>
    <xf numFmtId="0" fontId="11" fillId="10" borderId="0" applyNumberFormat="0" applyBorder="0" applyAlignment="0" applyProtection="0"/>
    <xf numFmtId="0" fontId="11" fillId="9" borderId="0" applyNumberFormat="0" applyBorder="0" applyAlignment="0" applyProtection="0"/>
    <xf numFmtId="0" fontId="22" fillId="7" borderId="1" applyNumberFormat="0" applyAlignment="0" applyProtection="0"/>
    <xf numFmtId="0" fontId="23" fillId="0" borderId="6" applyNumberFormat="0" applyFill="0" applyAlignment="0" applyProtection="0"/>
    <xf numFmtId="0" fontId="24" fillId="22" borderId="0" applyNumberFormat="0" applyBorder="0" applyAlignment="0" applyProtection="0"/>
    <xf numFmtId="0" fontId="4" fillId="0" borderId="0"/>
    <xf numFmtId="0" fontId="11" fillId="7" borderId="0" applyNumberFormat="0" applyBorder="0" applyAlignment="0" applyProtection="0"/>
    <xf numFmtId="0" fontId="11" fillId="6" borderId="0" applyNumberFormat="0" applyBorder="0" applyAlignment="0" applyProtection="0"/>
    <xf numFmtId="0" fontId="11" fillId="5" borderId="0" applyNumberFormat="0" applyBorder="0" applyAlignment="0" applyProtection="0"/>
    <xf numFmtId="0" fontId="11" fillId="4" borderId="0" applyNumberFormat="0" applyBorder="0" applyAlignment="0" applyProtection="0"/>
    <xf numFmtId="0" fontId="11" fillId="3" borderId="0" applyNumberFormat="0" applyBorder="0" applyAlignment="0" applyProtection="0"/>
    <xf numFmtId="0" fontId="11" fillId="2" borderId="0" applyNumberFormat="0" applyBorder="0" applyAlignment="0" applyProtection="0"/>
    <xf numFmtId="0" fontId="4" fillId="23" borderId="7" applyNumberFormat="0" applyFont="0" applyAlignment="0" applyProtection="0"/>
    <xf numFmtId="0" fontId="25" fillId="20" borderId="8" applyNumberFormat="0" applyAlignment="0" applyProtection="0"/>
    <xf numFmtId="0" fontId="11" fillId="8" borderId="0" applyNumberFormat="0" applyBorder="0" applyAlignment="0" applyProtection="0"/>
    <xf numFmtId="9" fontId="4" fillId="0" borderId="0" applyFon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9" fillId="0" borderId="0" applyNumberFormat="0" applyFill="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13" fillId="3" borderId="0" applyNumberFormat="0" applyBorder="0" applyAlignment="0" applyProtection="0"/>
    <xf numFmtId="0" fontId="14" fillId="20" borderId="1" applyNumberFormat="0" applyAlignment="0" applyProtection="0"/>
    <xf numFmtId="0" fontId="15" fillId="21" borderId="2" applyNumberFormat="0" applyAlignment="0" applyProtection="0"/>
    <xf numFmtId="0" fontId="11" fillId="11" borderId="0" applyNumberFormat="0" applyBorder="0" applyAlignment="0" applyProtection="0"/>
    <xf numFmtId="43" fontId="4" fillId="0" borderId="0" applyFont="0" applyFill="0" applyBorder="0" applyAlignment="0" applyProtection="0"/>
    <xf numFmtId="0" fontId="11" fillId="8" borderId="0" applyNumberFormat="0" applyBorder="0" applyAlignment="0" applyProtection="0"/>
    <xf numFmtId="0" fontId="16" fillId="0" borderId="0" applyNumberFormat="0" applyFill="0" applyBorder="0" applyAlignment="0" applyProtection="0"/>
    <xf numFmtId="0" fontId="55" fillId="4" borderId="0" applyNumberFormat="0" applyBorder="0" applyAlignment="0" applyProtection="0"/>
    <xf numFmtId="0" fontId="18" fillId="0" borderId="3"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0" applyNumberFormat="0" applyFill="0" applyBorder="0" applyAlignment="0" applyProtection="0"/>
    <xf numFmtId="0" fontId="11" fillId="5" borderId="0" applyNumberFormat="0" applyBorder="0" applyAlignment="0" applyProtection="0"/>
    <xf numFmtId="0" fontId="11" fillId="10" borderId="0" applyNumberFormat="0" applyBorder="0" applyAlignment="0" applyProtection="0"/>
    <xf numFmtId="0" fontId="11" fillId="9" borderId="0" applyNumberFormat="0" applyBorder="0" applyAlignment="0" applyProtection="0"/>
    <xf numFmtId="0" fontId="22" fillId="7" borderId="1" applyNumberFormat="0" applyAlignment="0" applyProtection="0"/>
    <xf numFmtId="0" fontId="23" fillId="0" borderId="6" applyNumberFormat="0" applyFill="0" applyAlignment="0" applyProtection="0"/>
    <xf numFmtId="0" fontId="24" fillId="22" borderId="0" applyNumberFormat="0" applyBorder="0" applyAlignment="0" applyProtection="0"/>
    <xf numFmtId="0" fontId="4" fillId="0" borderId="0"/>
    <xf numFmtId="0" fontId="11" fillId="7" borderId="0" applyNumberFormat="0" applyBorder="0" applyAlignment="0" applyProtection="0"/>
    <xf numFmtId="0" fontId="11" fillId="6" borderId="0" applyNumberFormat="0" applyBorder="0" applyAlignment="0" applyProtection="0"/>
    <xf numFmtId="0" fontId="11" fillId="5" borderId="0" applyNumberFormat="0" applyBorder="0" applyAlignment="0" applyProtection="0"/>
    <xf numFmtId="0" fontId="11" fillId="4" borderId="0" applyNumberFormat="0" applyBorder="0" applyAlignment="0" applyProtection="0"/>
    <xf numFmtId="0" fontId="11" fillId="3" borderId="0" applyNumberFormat="0" applyBorder="0" applyAlignment="0" applyProtection="0"/>
    <xf numFmtId="0" fontId="11" fillId="2" borderId="0" applyNumberFormat="0" applyBorder="0" applyAlignment="0" applyProtection="0"/>
    <xf numFmtId="0" fontId="4" fillId="23" borderId="7" applyNumberFormat="0" applyFont="0" applyAlignment="0" applyProtection="0"/>
    <xf numFmtId="0" fontId="25" fillId="20" borderId="8" applyNumberFormat="0" applyAlignment="0" applyProtection="0"/>
    <xf numFmtId="0" fontId="11" fillId="8" borderId="0" applyNumberFormat="0" applyBorder="0" applyAlignment="0" applyProtection="0"/>
    <xf numFmtId="9" fontId="4" fillId="0" borderId="0" applyFon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9" fillId="0" borderId="0" applyNumberFormat="0" applyFill="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13" fillId="3" borderId="0" applyNumberFormat="0" applyBorder="0" applyAlignment="0" applyProtection="0"/>
    <xf numFmtId="0" fontId="14" fillId="20" borderId="1" applyNumberFormat="0" applyAlignment="0" applyProtection="0"/>
    <xf numFmtId="0" fontId="15" fillId="21" borderId="2" applyNumberFormat="0" applyAlignment="0" applyProtection="0"/>
    <xf numFmtId="0" fontId="11" fillId="11" borderId="0" applyNumberFormat="0" applyBorder="0" applyAlignment="0" applyProtection="0"/>
    <xf numFmtId="43" fontId="4" fillId="0" borderId="0" applyFont="0" applyFill="0" applyBorder="0" applyAlignment="0" applyProtection="0"/>
    <xf numFmtId="0" fontId="11" fillId="8" borderId="0" applyNumberFormat="0" applyBorder="0" applyAlignment="0" applyProtection="0"/>
    <xf numFmtId="0" fontId="16" fillId="0" borderId="0" applyNumberFormat="0" applyFill="0" applyBorder="0" applyAlignment="0" applyProtection="0"/>
    <xf numFmtId="0" fontId="55" fillId="4" borderId="0" applyNumberFormat="0" applyBorder="0" applyAlignment="0" applyProtection="0"/>
    <xf numFmtId="0" fontId="18" fillId="0" borderId="3"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0" applyNumberFormat="0" applyFill="0" applyBorder="0" applyAlignment="0" applyProtection="0"/>
    <xf numFmtId="0" fontId="11" fillId="5" borderId="0" applyNumberFormat="0" applyBorder="0" applyAlignment="0" applyProtection="0"/>
    <xf numFmtId="0" fontId="11" fillId="10" borderId="0" applyNumberFormat="0" applyBorder="0" applyAlignment="0" applyProtection="0"/>
    <xf numFmtId="0" fontId="11" fillId="9" borderId="0" applyNumberFormat="0" applyBorder="0" applyAlignment="0" applyProtection="0"/>
    <xf numFmtId="0" fontId="22" fillId="7" borderId="1" applyNumberFormat="0" applyAlignment="0" applyProtection="0"/>
    <xf numFmtId="0" fontId="23" fillId="0" borderId="6" applyNumberFormat="0" applyFill="0" applyAlignment="0" applyProtection="0"/>
    <xf numFmtId="0" fontId="24" fillId="22" borderId="0" applyNumberFormat="0" applyBorder="0" applyAlignment="0" applyProtection="0"/>
    <xf numFmtId="0" fontId="4" fillId="0" borderId="0"/>
    <xf numFmtId="0" fontId="11" fillId="7" borderId="0" applyNumberFormat="0" applyBorder="0" applyAlignment="0" applyProtection="0"/>
    <xf numFmtId="0" fontId="11" fillId="6" borderId="0" applyNumberFormat="0" applyBorder="0" applyAlignment="0" applyProtection="0"/>
    <xf numFmtId="0" fontId="11" fillId="5" borderId="0" applyNumberFormat="0" applyBorder="0" applyAlignment="0" applyProtection="0"/>
    <xf numFmtId="0" fontId="11" fillId="4" borderId="0" applyNumberFormat="0" applyBorder="0" applyAlignment="0" applyProtection="0"/>
    <xf numFmtId="0" fontId="11" fillId="3" borderId="0" applyNumberFormat="0" applyBorder="0" applyAlignment="0" applyProtection="0"/>
    <xf numFmtId="0" fontId="11" fillId="2" borderId="0" applyNumberFormat="0" applyBorder="0" applyAlignment="0" applyProtection="0"/>
    <xf numFmtId="0" fontId="4" fillId="23" borderId="7" applyNumberFormat="0" applyFont="0" applyAlignment="0" applyProtection="0"/>
    <xf numFmtId="0" fontId="25" fillId="20" borderId="8" applyNumberFormat="0" applyAlignment="0" applyProtection="0"/>
    <xf numFmtId="0" fontId="11" fillId="8" borderId="0" applyNumberFormat="0" applyBorder="0" applyAlignment="0" applyProtection="0"/>
    <xf numFmtId="9" fontId="4" fillId="0" borderId="0" applyFon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9" fillId="0" borderId="0" applyNumberFormat="0" applyFill="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13" fillId="3" borderId="0" applyNumberFormat="0" applyBorder="0" applyAlignment="0" applyProtection="0"/>
    <xf numFmtId="0" fontId="14" fillId="20" borderId="1" applyNumberFormat="0" applyAlignment="0" applyProtection="0"/>
    <xf numFmtId="0" fontId="15" fillId="21" borderId="2" applyNumberFormat="0" applyAlignment="0" applyProtection="0"/>
    <xf numFmtId="0" fontId="11" fillId="11" borderId="0" applyNumberFormat="0" applyBorder="0" applyAlignment="0" applyProtection="0"/>
    <xf numFmtId="43" fontId="4" fillId="0" borderId="0" applyFont="0" applyFill="0" applyBorder="0" applyAlignment="0" applyProtection="0"/>
    <xf numFmtId="0" fontId="11" fillId="8" borderId="0" applyNumberFormat="0" applyBorder="0" applyAlignment="0" applyProtection="0"/>
    <xf numFmtId="0" fontId="16" fillId="0" borderId="0" applyNumberFormat="0" applyFill="0" applyBorder="0" applyAlignment="0" applyProtection="0"/>
    <xf numFmtId="0" fontId="55" fillId="4" borderId="0" applyNumberFormat="0" applyBorder="0" applyAlignment="0" applyProtection="0"/>
    <xf numFmtId="0" fontId="18" fillId="0" borderId="3"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0" applyNumberFormat="0" applyFill="0" applyBorder="0" applyAlignment="0" applyProtection="0"/>
    <xf numFmtId="0" fontId="11" fillId="5" borderId="0" applyNumberFormat="0" applyBorder="0" applyAlignment="0" applyProtection="0"/>
    <xf numFmtId="0" fontId="11" fillId="10" borderId="0" applyNumberFormat="0" applyBorder="0" applyAlignment="0" applyProtection="0"/>
    <xf numFmtId="0" fontId="11" fillId="9" borderId="0" applyNumberFormat="0" applyBorder="0" applyAlignment="0" applyProtection="0"/>
    <xf numFmtId="0" fontId="22" fillId="7" borderId="1" applyNumberFormat="0" applyAlignment="0" applyProtection="0"/>
    <xf numFmtId="0" fontId="23" fillId="0" borderId="6" applyNumberFormat="0" applyFill="0" applyAlignment="0" applyProtection="0"/>
    <xf numFmtId="0" fontId="24" fillId="22" borderId="0" applyNumberFormat="0" applyBorder="0" applyAlignment="0" applyProtection="0"/>
    <xf numFmtId="0" fontId="4" fillId="0" borderId="0"/>
    <xf numFmtId="0" fontId="11" fillId="7" borderId="0" applyNumberFormat="0" applyBorder="0" applyAlignment="0" applyProtection="0"/>
    <xf numFmtId="0" fontId="11" fillId="6" borderId="0" applyNumberFormat="0" applyBorder="0" applyAlignment="0" applyProtection="0"/>
    <xf numFmtId="0" fontId="11" fillId="5" borderId="0" applyNumberFormat="0" applyBorder="0" applyAlignment="0" applyProtection="0"/>
    <xf numFmtId="0" fontId="11" fillId="4" borderId="0" applyNumberFormat="0" applyBorder="0" applyAlignment="0" applyProtection="0"/>
    <xf numFmtId="0" fontId="11" fillId="3" borderId="0" applyNumberFormat="0" applyBorder="0" applyAlignment="0" applyProtection="0"/>
    <xf numFmtId="0" fontId="11" fillId="2" borderId="0" applyNumberFormat="0" applyBorder="0" applyAlignment="0" applyProtection="0"/>
    <xf numFmtId="0" fontId="4" fillId="23" borderId="7" applyNumberFormat="0" applyFont="0" applyAlignment="0" applyProtection="0"/>
    <xf numFmtId="0" fontId="25" fillId="20" borderId="8" applyNumberFormat="0" applyAlignment="0" applyProtection="0"/>
    <xf numFmtId="0" fontId="11" fillId="8" borderId="0" applyNumberFormat="0" applyBorder="0" applyAlignment="0" applyProtection="0"/>
    <xf numFmtId="9" fontId="4" fillId="0" borderId="0" applyFon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9" fillId="0" borderId="0" applyNumberFormat="0" applyFill="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13" fillId="3" borderId="0" applyNumberFormat="0" applyBorder="0" applyAlignment="0" applyProtection="0"/>
    <xf numFmtId="0" fontId="14" fillId="20" borderId="1" applyNumberFormat="0" applyAlignment="0" applyProtection="0"/>
    <xf numFmtId="0" fontId="15" fillId="21" borderId="2" applyNumberFormat="0" applyAlignment="0" applyProtection="0"/>
    <xf numFmtId="0" fontId="11" fillId="11" borderId="0" applyNumberFormat="0" applyBorder="0" applyAlignment="0" applyProtection="0"/>
    <xf numFmtId="43" fontId="4" fillId="0" borderId="0" applyFont="0" applyFill="0" applyBorder="0" applyAlignment="0" applyProtection="0"/>
    <xf numFmtId="0" fontId="11" fillId="8" borderId="0" applyNumberFormat="0" applyBorder="0" applyAlignment="0" applyProtection="0"/>
    <xf numFmtId="0" fontId="16" fillId="0" borderId="0" applyNumberFormat="0" applyFill="0" applyBorder="0" applyAlignment="0" applyProtection="0"/>
    <xf numFmtId="0" fontId="55" fillId="4" borderId="0" applyNumberFormat="0" applyBorder="0" applyAlignment="0" applyProtection="0"/>
    <xf numFmtId="0" fontId="18" fillId="0" borderId="3"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0" applyNumberFormat="0" applyFill="0" applyBorder="0" applyAlignment="0" applyProtection="0"/>
    <xf numFmtId="0" fontId="11" fillId="5" borderId="0" applyNumberFormat="0" applyBorder="0" applyAlignment="0" applyProtection="0"/>
    <xf numFmtId="0" fontId="11" fillId="10" borderId="0" applyNumberFormat="0" applyBorder="0" applyAlignment="0" applyProtection="0"/>
    <xf numFmtId="0" fontId="11" fillId="9" borderId="0" applyNumberFormat="0" applyBorder="0" applyAlignment="0" applyProtection="0"/>
    <xf numFmtId="0" fontId="22" fillId="7" borderId="1" applyNumberFormat="0" applyAlignment="0" applyProtection="0"/>
    <xf numFmtId="0" fontId="23" fillId="0" borderId="6" applyNumberFormat="0" applyFill="0" applyAlignment="0" applyProtection="0"/>
    <xf numFmtId="0" fontId="24" fillId="22" borderId="0" applyNumberFormat="0" applyBorder="0" applyAlignment="0" applyProtection="0"/>
    <xf numFmtId="0" fontId="4" fillId="0" borderId="0"/>
    <xf numFmtId="0" fontId="11" fillId="7" borderId="0" applyNumberFormat="0" applyBorder="0" applyAlignment="0" applyProtection="0"/>
    <xf numFmtId="0" fontId="11" fillId="6" borderId="0" applyNumberFormat="0" applyBorder="0" applyAlignment="0" applyProtection="0"/>
    <xf numFmtId="0" fontId="11" fillId="5" borderId="0" applyNumberFormat="0" applyBorder="0" applyAlignment="0" applyProtection="0"/>
    <xf numFmtId="0" fontId="11" fillId="4" borderId="0" applyNumberFormat="0" applyBorder="0" applyAlignment="0" applyProtection="0"/>
    <xf numFmtId="0" fontId="11" fillId="3" borderId="0" applyNumberFormat="0" applyBorder="0" applyAlignment="0" applyProtection="0"/>
    <xf numFmtId="0" fontId="11" fillId="2" borderId="0" applyNumberFormat="0" applyBorder="0" applyAlignment="0" applyProtection="0"/>
    <xf numFmtId="0" fontId="4" fillId="23" borderId="7" applyNumberFormat="0" applyFont="0" applyAlignment="0" applyProtection="0"/>
    <xf numFmtId="0" fontId="25" fillId="20" borderId="8" applyNumberFormat="0" applyAlignment="0" applyProtection="0"/>
    <xf numFmtId="0" fontId="11" fillId="8" borderId="0" applyNumberFormat="0" applyBorder="0" applyAlignment="0" applyProtection="0"/>
    <xf numFmtId="9" fontId="4" fillId="0" borderId="0" applyFon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9" fillId="0" borderId="0" applyNumberFormat="0" applyFill="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13" fillId="3" borderId="0" applyNumberFormat="0" applyBorder="0" applyAlignment="0" applyProtection="0"/>
    <xf numFmtId="0" fontId="14" fillId="20" borderId="1" applyNumberFormat="0" applyAlignment="0" applyProtection="0"/>
    <xf numFmtId="0" fontId="15" fillId="21" borderId="2" applyNumberFormat="0" applyAlignment="0" applyProtection="0"/>
    <xf numFmtId="0" fontId="11" fillId="11" borderId="0" applyNumberFormat="0" applyBorder="0" applyAlignment="0" applyProtection="0"/>
    <xf numFmtId="43" fontId="4" fillId="0" borderId="0" applyFont="0" applyFill="0" applyBorder="0" applyAlignment="0" applyProtection="0"/>
    <xf numFmtId="0" fontId="11" fillId="8" borderId="0" applyNumberFormat="0" applyBorder="0" applyAlignment="0" applyProtection="0"/>
    <xf numFmtId="0" fontId="16" fillId="0" borderId="0" applyNumberFormat="0" applyFill="0" applyBorder="0" applyAlignment="0" applyProtection="0"/>
    <xf numFmtId="0" fontId="55" fillId="4" borderId="0" applyNumberFormat="0" applyBorder="0" applyAlignment="0" applyProtection="0"/>
    <xf numFmtId="0" fontId="18" fillId="0" borderId="3"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0" applyNumberFormat="0" applyFill="0" applyBorder="0" applyAlignment="0" applyProtection="0"/>
    <xf numFmtId="0" fontId="11" fillId="5" borderId="0" applyNumberFormat="0" applyBorder="0" applyAlignment="0" applyProtection="0"/>
    <xf numFmtId="0" fontId="11" fillId="10" borderId="0" applyNumberFormat="0" applyBorder="0" applyAlignment="0" applyProtection="0"/>
    <xf numFmtId="0" fontId="11" fillId="9" borderId="0" applyNumberFormat="0" applyBorder="0" applyAlignment="0" applyProtection="0"/>
    <xf numFmtId="0" fontId="22" fillId="7" borderId="1" applyNumberFormat="0" applyAlignment="0" applyProtection="0"/>
    <xf numFmtId="0" fontId="23" fillId="0" borderId="6" applyNumberFormat="0" applyFill="0" applyAlignment="0" applyProtection="0"/>
    <xf numFmtId="0" fontId="24" fillId="22" borderId="0" applyNumberFormat="0" applyBorder="0" applyAlignment="0" applyProtection="0"/>
    <xf numFmtId="0" fontId="4" fillId="0" borderId="0"/>
    <xf numFmtId="0" fontId="11" fillId="7" borderId="0" applyNumberFormat="0" applyBorder="0" applyAlignment="0" applyProtection="0"/>
    <xf numFmtId="0" fontId="11" fillId="6" borderId="0" applyNumberFormat="0" applyBorder="0" applyAlignment="0" applyProtection="0"/>
    <xf numFmtId="0" fontId="11" fillId="5" borderId="0" applyNumberFormat="0" applyBorder="0" applyAlignment="0" applyProtection="0"/>
    <xf numFmtId="0" fontId="11" fillId="4" borderId="0" applyNumberFormat="0" applyBorder="0" applyAlignment="0" applyProtection="0"/>
    <xf numFmtId="0" fontId="11" fillId="3" borderId="0" applyNumberFormat="0" applyBorder="0" applyAlignment="0" applyProtection="0"/>
    <xf numFmtId="0" fontId="11" fillId="2" borderId="0" applyNumberFormat="0" applyBorder="0" applyAlignment="0" applyProtection="0"/>
    <xf numFmtId="0" fontId="4" fillId="23" borderId="7" applyNumberFormat="0" applyFont="0" applyAlignment="0" applyProtection="0"/>
    <xf numFmtId="0" fontId="25" fillId="20" borderId="8" applyNumberFormat="0" applyAlignment="0" applyProtection="0"/>
    <xf numFmtId="0" fontId="11" fillId="8" borderId="0" applyNumberFormat="0" applyBorder="0" applyAlignment="0" applyProtection="0"/>
    <xf numFmtId="9" fontId="4" fillId="0" borderId="0" applyFon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9" fillId="0" borderId="0" applyNumberFormat="0" applyFill="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13" fillId="3" borderId="0" applyNumberFormat="0" applyBorder="0" applyAlignment="0" applyProtection="0"/>
    <xf numFmtId="0" fontId="14" fillId="20" borderId="1" applyNumberFormat="0" applyAlignment="0" applyProtection="0"/>
    <xf numFmtId="0" fontId="15" fillId="21" borderId="2" applyNumberFormat="0" applyAlignment="0" applyProtection="0"/>
    <xf numFmtId="0" fontId="11" fillId="11" borderId="0" applyNumberFormat="0" applyBorder="0" applyAlignment="0" applyProtection="0"/>
    <xf numFmtId="43" fontId="4" fillId="0" borderId="0" applyFont="0" applyFill="0" applyBorder="0" applyAlignment="0" applyProtection="0"/>
    <xf numFmtId="0" fontId="11" fillId="8" borderId="0" applyNumberFormat="0" applyBorder="0" applyAlignment="0" applyProtection="0"/>
    <xf numFmtId="0" fontId="16" fillId="0" borderId="0" applyNumberFormat="0" applyFill="0" applyBorder="0" applyAlignment="0" applyProtection="0"/>
    <xf numFmtId="0" fontId="55" fillId="4" borderId="0" applyNumberFormat="0" applyBorder="0" applyAlignment="0" applyProtection="0"/>
    <xf numFmtId="0" fontId="18" fillId="0" borderId="3"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0" applyNumberFormat="0" applyFill="0" applyBorder="0" applyAlignment="0" applyProtection="0"/>
    <xf numFmtId="0" fontId="11" fillId="5" borderId="0" applyNumberFormat="0" applyBorder="0" applyAlignment="0" applyProtection="0"/>
    <xf numFmtId="0" fontId="11" fillId="10" borderId="0" applyNumberFormat="0" applyBorder="0" applyAlignment="0" applyProtection="0"/>
    <xf numFmtId="0" fontId="11" fillId="9" borderId="0" applyNumberFormat="0" applyBorder="0" applyAlignment="0" applyProtection="0"/>
    <xf numFmtId="0" fontId="22" fillId="7" borderId="1" applyNumberFormat="0" applyAlignment="0" applyProtection="0"/>
    <xf numFmtId="0" fontId="23" fillId="0" borderId="6" applyNumberFormat="0" applyFill="0" applyAlignment="0" applyProtection="0"/>
    <xf numFmtId="0" fontId="24" fillId="22" borderId="0" applyNumberFormat="0" applyBorder="0" applyAlignment="0" applyProtection="0"/>
    <xf numFmtId="0" fontId="4" fillId="0" borderId="0"/>
    <xf numFmtId="0" fontId="11" fillId="7" borderId="0" applyNumberFormat="0" applyBorder="0" applyAlignment="0" applyProtection="0"/>
    <xf numFmtId="0" fontId="11" fillId="6" borderId="0" applyNumberFormat="0" applyBorder="0" applyAlignment="0" applyProtection="0"/>
    <xf numFmtId="0" fontId="11" fillId="5" borderId="0" applyNumberFormat="0" applyBorder="0" applyAlignment="0" applyProtection="0"/>
    <xf numFmtId="0" fontId="11" fillId="4" borderId="0" applyNumberFormat="0" applyBorder="0" applyAlignment="0" applyProtection="0"/>
    <xf numFmtId="0" fontId="11" fillId="3" borderId="0" applyNumberFormat="0" applyBorder="0" applyAlignment="0" applyProtection="0"/>
    <xf numFmtId="0" fontId="11" fillId="2" borderId="0" applyNumberFormat="0" applyBorder="0" applyAlignment="0" applyProtection="0"/>
    <xf numFmtId="0" fontId="4" fillId="23" borderId="7" applyNumberFormat="0" applyFont="0" applyAlignment="0" applyProtection="0"/>
    <xf numFmtId="0" fontId="25" fillId="20" borderId="8" applyNumberFormat="0" applyAlignment="0" applyProtection="0"/>
    <xf numFmtId="9" fontId="4" fillId="0" borderId="0" applyFon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9" fillId="0" borderId="0" applyNumberFormat="0" applyFill="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13" fillId="3" borderId="0" applyNumberFormat="0" applyBorder="0" applyAlignment="0" applyProtection="0"/>
    <xf numFmtId="0" fontId="14" fillId="20" borderId="1" applyNumberFormat="0" applyAlignment="0" applyProtection="0"/>
    <xf numFmtId="0" fontId="15" fillId="21" borderId="2" applyNumberFormat="0" applyAlignment="0" applyProtection="0"/>
    <xf numFmtId="43" fontId="4" fillId="0" borderId="0" applyFont="0" applyFill="0" applyBorder="0" applyAlignment="0" applyProtection="0"/>
    <xf numFmtId="0" fontId="16" fillId="0" borderId="0" applyNumberFormat="0" applyFill="0" applyBorder="0" applyAlignment="0" applyProtection="0"/>
    <xf numFmtId="0" fontId="55" fillId="4" borderId="0" applyNumberFormat="0" applyBorder="0" applyAlignment="0" applyProtection="0"/>
    <xf numFmtId="0" fontId="18" fillId="0" borderId="3"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0" applyNumberFormat="0" applyFill="0" applyBorder="0" applyAlignment="0" applyProtection="0"/>
    <xf numFmtId="0" fontId="22" fillId="7" borderId="1" applyNumberFormat="0" applyAlignment="0" applyProtection="0"/>
    <xf numFmtId="0" fontId="23" fillId="0" borderId="6" applyNumberFormat="0" applyFill="0" applyAlignment="0" applyProtection="0"/>
    <xf numFmtId="0" fontId="24" fillId="22" borderId="0" applyNumberFormat="0" applyBorder="0" applyAlignment="0" applyProtection="0"/>
    <xf numFmtId="0" fontId="4" fillId="0" borderId="0"/>
    <xf numFmtId="0" fontId="4" fillId="23" borderId="7" applyNumberFormat="0" applyFont="0" applyAlignment="0" applyProtection="0"/>
    <xf numFmtId="0" fontId="25" fillId="20" borderId="8" applyNumberFormat="0" applyAlignment="0" applyProtection="0"/>
    <xf numFmtId="9" fontId="4" fillId="0" borderId="0" applyFon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9" fillId="0" borderId="0" applyNumberFormat="0" applyFill="0" applyBorder="0" applyAlignment="0" applyProtection="0"/>
    <xf numFmtId="0" fontId="2" fillId="0" borderId="0"/>
    <xf numFmtId="10" fontId="34" fillId="0" borderId="77" applyFont="0" applyFill="0" applyBorder="0" applyAlignment="0" applyProtection="0">
      <alignment horizontal="right"/>
    </xf>
    <xf numFmtId="3" fontId="61" fillId="0" borderId="0" applyNumberFormat="0" applyFill="0" applyBorder="0" applyAlignment="0" applyProtection="0"/>
    <xf numFmtId="3" fontId="62" fillId="0" borderId="0" applyNumberFormat="0" applyFill="0" applyBorder="0" applyAlignment="0" applyProtection="0"/>
    <xf numFmtId="168" fontId="34" fillId="0" borderId="78" applyNumberFormat="0" applyFont="0" applyFill="0" applyAlignment="0">
      <protection locked="0"/>
    </xf>
    <xf numFmtId="43" fontId="8" fillId="0" borderId="0" applyFont="0" applyFill="0" applyBorder="0" applyAlignment="0" applyProtection="0"/>
    <xf numFmtId="43" fontId="45"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83" fontId="8" fillId="0" borderId="0" applyFont="0" applyBorder="0" applyAlignment="0">
      <alignment horizontal="center"/>
    </xf>
    <xf numFmtId="183" fontId="8" fillId="0" borderId="0" applyFont="0" applyBorder="0" applyAlignment="0">
      <alignment horizontal="center"/>
    </xf>
    <xf numFmtId="0" fontId="63" fillId="0" borderId="0" applyNumberFormat="0" applyFill="0" applyBorder="0" applyAlignment="0" applyProtection="0">
      <alignment vertical="top"/>
      <protection locked="0"/>
    </xf>
    <xf numFmtId="4" fontId="61" fillId="35" borderId="79" applyNumberFormat="0" applyFont="0" applyBorder="0" applyAlignment="0" applyProtection="0"/>
    <xf numFmtId="0" fontId="2" fillId="0" borderId="0"/>
    <xf numFmtId="0" fontId="8" fillId="0" borderId="0"/>
    <xf numFmtId="0" fontId="8" fillId="0" borderId="0"/>
    <xf numFmtId="0" fontId="8" fillId="0" borderId="0"/>
    <xf numFmtId="0" fontId="8" fillId="0" borderId="0"/>
    <xf numFmtId="0" fontId="8" fillId="0" borderId="0"/>
    <xf numFmtId="0" fontId="8" fillId="0" borderId="0"/>
    <xf numFmtId="184" fontId="8" fillId="0" borderId="55" applyFont="0" applyFill="0" applyBorder="0" applyAlignment="0" applyProtection="0">
      <alignment horizontal="center"/>
    </xf>
    <xf numFmtId="184" fontId="8" fillId="0" borderId="55" applyFont="0" applyFill="0" applyBorder="0" applyAlignment="0" applyProtection="0">
      <alignment horizontal="center"/>
    </xf>
    <xf numFmtId="3" fontId="34" fillId="40" borderId="79" applyNumberFormat="0" applyFont="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45" fillId="0" borderId="0" applyFont="0" applyFill="0" applyBorder="0" applyAlignment="0" applyProtection="0"/>
    <xf numFmtId="10" fontId="34" fillId="28" borderId="0" applyNumberFormat="0" applyFont="0" applyBorder="0" applyAlignment="0" applyProtection="0"/>
    <xf numFmtId="3" fontId="64" fillId="0" borderId="80" applyNumberFormat="0" applyFill="0" applyBorder="0" applyAlignment="0" applyProtection="0">
      <protection locked="0"/>
    </xf>
    <xf numFmtId="166" fontId="61" fillId="0" borderId="81" applyNumberFormat="0" applyFont="0" applyFill="0" applyAlignment="0" applyProtection="0"/>
    <xf numFmtId="3" fontId="34" fillId="0" borderId="82" applyNumberFormat="0" applyFont="0" applyFill="0" applyAlignment="0" applyProtection="0">
      <alignment horizontal="right"/>
    </xf>
    <xf numFmtId="0" fontId="65" fillId="0" borderId="83" applyNumberFormat="0" applyFont="0" applyFill="0" applyAlignment="0">
      <protection locked="0"/>
    </xf>
    <xf numFmtId="43" fontId="4" fillId="0" borderId="0" applyFont="0" applyFill="0" applyBorder="0" applyAlignment="0" applyProtection="0"/>
    <xf numFmtId="4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1" fillId="0" borderId="0"/>
    <xf numFmtId="0" fontId="4" fillId="23" borderId="7" applyNumberFormat="0" applyFont="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1" fillId="0" borderId="0"/>
    <xf numFmtId="0" fontId="4" fillId="0" borderId="0"/>
    <xf numFmtId="0" fontId="1" fillId="0" borderId="0"/>
    <xf numFmtId="0" fontId="4" fillId="23" borderId="7" applyNumberFormat="0" applyFont="0" applyAlignment="0" applyProtection="0"/>
    <xf numFmtId="9" fontId="4" fillId="0" borderId="0" applyFont="0" applyFill="0" applyBorder="0" applyAlignment="0" applyProtection="0"/>
    <xf numFmtId="0" fontId="4" fillId="0" borderId="0"/>
    <xf numFmtId="0" fontId="1" fillId="0" borderId="0"/>
    <xf numFmtId="43" fontId="4" fillId="0" borderId="0" applyFont="0" applyFill="0" applyBorder="0" applyAlignment="0" applyProtection="0"/>
    <xf numFmtId="0" fontId="4" fillId="23" borderId="7" applyNumberFormat="0" applyFont="0" applyAlignment="0" applyProtection="0"/>
    <xf numFmtId="0" fontId="4" fillId="0" borderId="0"/>
    <xf numFmtId="9" fontId="4" fillId="0" borderId="0" applyFont="0" applyFill="0" applyBorder="0" applyAlignment="0" applyProtection="0"/>
    <xf numFmtId="0" fontId="4" fillId="23" borderId="7" applyNumberFormat="0" applyFont="0" applyAlignment="0" applyProtection="0"/>
    <xf numFmtId="9" fontId="4" fillId="0" borderId="0" applyFont="0" applyFill="0" applyBorder="0" applyAlignment="0" applyProtection="0"/>
    <xf numFmtId="0" fontId="4" fillId="0" borderId="0"/>
    <xf numFmtId="0" fontId="1" fillId="0" borderId="0"/>
    <xf numFmtId="0" fontId="4" fillId="23" borderId="7" applyNumberFormat="0" applyFont="0" applyAlignment="0" applyProtection="0"/>
    <xf numFmtId="9" fontId="4" fillId="0" borderId="0" applyFont="0" applyFill="0" applyBorder="0" applyAlignment="0" applyProtection="0"/>
    <xf numFmtId="43" fontId="4" fillId="0" borderId="0" applyFont="0" applyFill="0" applyBorder="0" applyAlignment="0" applyProtection="0"/>
    <xf numFmtId="0" fontId="4" fillId="0" borderId="0"/>
    <xf numFmtId="0" fontId="1" fillId="0" borderId="0"/>
    <xf numFmtId="0" fontId="4" fillId="23" borderId="7" applyNumberFormat="0" applyFont="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1" fillId="0" borderId="0"/>
    <xf numFmtId="0" fontId="4" fillId="23" borderId="7" applyNumberFormat="0" applyFont="0" applyAlignment="0" applyProtection="0"/>
    <xf numFmtId="9" fontId="4" fillId="0" borderId="0" applyFont="0" applyFill="0" applyBorder="0" applyAlignment="0" applyProtection="0"/>
    <xf numFmtId="0" fontId="1" fillId="0" borderId="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 fillId="0" borderId="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3" fontId="4" fillId="0" borderId="0" applyFont="0" applyBorder="0" applyAlignment="0">
      <alignment horizontal="center"/>
    </xf>
    <xf numFmtId="183" fontId="4" fillId="0" borderId="0" applyFont="0" applyBorder="0" applyAlignment="0">
      <alignment horizontal="center"/>
    </xf>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184" fontId="4" fillId="0" borderId="55" applyFont="0" applyFill="0" applyBorder="0" applyAlignment="0" applyProtection="0">
      <alignment horizontal="center"/>
    </xf>
    <xf numFmtId="184" fontId="4" fillId="0" borderId="55" applyFont="0" applyFill="0" applyBorder="0" applyAlignment="0" applyProtection="0">
      <alignment horizontal="center"/>
    </xf>
    <xf numFmtId="9" fontId="4" fillId="0" borderId="0" applyFont="0" applyFill="0" applyBorder="0" applyAlignment="0" applyProtection="0"/>
    <xf numFmtId="9" fontId="4" fillId="0" borderId="0" applyFont="0" applyFill="0" applyBorder="0" applyAlignment="0" applyProtection="0"/>
    <xf numFmtId="0" fontId="89" fillId="0" borderId="0" applyNumberFormat="0" applyFill="0" applyBorder="0" applyAlignment="0" applyProtection="0">
      <alignment vertical="top"/>
      <protection locked="0"/>
    </xf>
    <xf numFmtId="0" fontId="1" fillId="0" borderId="0"/>
    <xf numFmtId="44" fontId="4" fillId="0" borderId="0" applyFont="0" applyFill="0" applyBorder="0" applyAlignment="0" applyProtection="0"/>
    <xf numFmtId="184" fontId="4" fillId="0" borderId="85" applyFont="0" applyFill="0" applyBorder="0" applyAlignment="0" applyProtection="0">
      <alignment horizontal="center"/>
    </xf>
    <xf numFmtId="184" fontId="4" fillId="0" borderId="85" applyFont="0" applyFill="0" applyBorder="0" applyAlignment="0" applyProtection="0">
      <alignment horizontal="center"/>
    </xf>
    <xf numFmtId="166" fontId="61" fillId="0" borderId="86" applyNumberFormat="0" applyFont="0" applyFill="0" applyAlignment="0" applyProtection="0"/>
    <xf numFmtId="3" fontId="34" fillId="0" borderId="87" applyNumberFormat="0" applyFont="0" applyFill="0" applyAlignment="0" applyProtection="0">
      <alignment horizontal="right"/>
    </xf>
  </cellStyleXfs>
  <cellXfs count="762">
    <xf numFmtId="0" fontId="0" fillId="0" borderId="0" xfId="0"/>
    <xf numFmtId="0" fontId="31" fillId="0" borderId="0" xfId="0" applyFont="1"/>
    <xf numFmtId="0" fontId="30" fillId="0" borderId="0" xfId="0" applyFont="1"/>
    <xf numFmtId="0" fontId="0" fillId="24" borderId="0" xfId="0" applyFill="1"/>
    <xf numFmtId="0" fontId="0" fillId="0" borderId="0" xfId="0" applyFill="1" applyBorder="1"/>
    <xf numFmtId="0" fontId="0" fillId="0" borderId="0" xfId="0" applyAlignment="1">
      <alignment horizontal="right"/>
    </xf>
    <xf numFmtId="0" fontId="31" fillId="0" borderId="0" xfId="0" applyFont="1" applyBorder="1" applyAlignment="1">
      <alignment horizontal="center" wrapText="1"/>
    </xf>
    <xf numFmtId="0" fontId="0" fillId="0" borderId="0" xfId="0" applyBorder="1"/>
    <xf numFmtId="0" fontId="8" fillId="0" borderId="0" xfId="0" applyFont="1" applyAlignment="1">
      <alignment horizontal="right"/>
    </xf>
    <xf numFmtId="0" fontId="8" fillId="0" borderId="0" xfId="0" applyFont="1"/>
    <xf numFmtId="0" fontId="0" fillId="0" borderId="0" xfId="0" quotePrefix="1"/>
    <xf numFmtId="0" fontId="0" fillId="0" borderId="17" xfId="0" applyBorder="1"/>
    <xf numFmtId="0" fontId="0" fillId="0" borderId="19" xfId="0" applyBorder="1"/>
    <xf numFmtId="0" fontId="0" fillId="0" borderId="21" xfId="0" applyBorder="1"/>
    <xf numFmtId="0" fontId="8" fillId="0" borderId="0" xfId="0" applyFont="1" applyAlignment="1">
      <alignment horizontal="center"/>
    </xf>
    <xf numFmtId="3" fontId="40" fillId="25" borderId="0" xfId="0" applyNumberFormat="1" applyFont="1" applyFill="1" applyBorder="1" applyAlignment="1" applyProtection="1">
      <alignment horizontal="center"/>
      <protection hidden="1"/>
    </xf>
    <xf numFmtId="3" fontId="39" fillId="25" borderId="25" xfId="0" applyNumberFormat="1" applyFont="1" applyFill="1" applyBorder="1" applyAlignment="1" applyProtection="1">
      <alignment horizontal="center"/>
      <protection hidden="1"/>
    </xf>
    <xf numFmtId="0" fontId="28" fillId="0" borderId="0" xfId="46" applyFont="1" applyBorder="1" applyAlignment="1" applyProtection="1">
      <alignment horizontal="right"/>
      <protection locked="0"/>
    </xf>
    <xf numFmtId="3" fontId="38" fillId="0" borderId="0" xfId="46" applyNumberFormat="1" applyFont="1" applyBorder="1" applyAlignment="1" applyProtection="1">
      <alignment horizontal="right"/>
    </xf>
    <xf numFmtId="2" fontId="0" fillId="0" borderId="0" xfId="0" applyNumberFormat="1" applyAlignment="1">
      <alignment horizontal="center"/>
    </xf>
    <xf numFmtId="1" fontId="38" fillId="0" borderId="0" xfId="0" applyNumberFormat="1" applyFont="1" applyAlignment="1">
      <alignment horizontal="center"/>
    </xf>
    <xf numFmtId="1" fontId="38" fillId="0" borderId="0" xfId="46" applyNumberFormat="1" applyFont="1" applyBorder="1" applyAlignment="1" applyProtection="1">
      <alignment horizontal="center"/>
    </xf>
    <xf numFmtId="0" fontId="28" fillId="0" borderId="0" xfId="46" applyFont="1" applyBorder="1" applyProtection="1"/>
    <xf numFmtId="0" fontId="28" fillId="0" borderId="0" xfId="46" applyFont="1" applyBorder="1" applyAlignment="1" applyProtection="1">
      <alignment horizontal="right"/>
    </xf>
    <xf numFmtId="3" fontId="28" fillId="0" borderId="0" xfId="46" applyNumberFormat="1" applyFont="1" applyBorder="1" applyAlignment="1" applyProtection="1">
      <alignment horizontal="center"/>
    </xf>
    <xf numFmtId="0" fontId="38" fillId="0" borderId="0" xfId="46" applyFont="1" applyBorder="1" applyProtection="1"/>
    <xf numFmtId="0" fontId="38" fillId="0" borderId="0" xfId="46" applyFont="1" applyBorder="1" applyAlignment="1" applyProtection="1">
      <alignment horizontal="right"/>
    </xf>
    <xf numFmtId="0" fontId="38" fillId="0" borderId="0" xfId="46" applyFont="1" applyBorder="1" applyAlignment="1" applyProtection="1">
      <alignment horizontal="center"/>
    </xf>
    <xf numFmtId="0" fontId="31" fillId="27" borderId="16" xfId="0" applyFont="1" applyFill="1" applyBorder="1" applyAlignment="1">
      <alignment horizontal="center"/>
    </xf>
    <xf numFmtId="0" fontId="30" fillId="24" borderId="0" xfId="0" applyFont="1" applyFill="1"/>
    <xf numFmtId="0" fontId="30" fillId="25" borderId="14" xfId="0" applyFont="1" applyFill="1" applyBorder="1"/>
    <xf numFmtId="0" fontId="0" fillId="25" borderId="26" xfId="0" applyFill="1" applyBorder="1"/>
    <xf numFmtId="0" fontId="0" fillId="25" borderId="19" xfId="0" applyFill="1" applyBorder="1"/>
    <xf numFmtId="0" fontId="0" fillId="25" borderId="27" xfId="0" applyFill="1" applyBorder="1"/>
    <xf numFmtId="0" fontId="0" fillId="25" borderId="0" xfId="0" applyFill="1" applyBorder="1"/>
    <xf numFmtId="0" fontId="0" fillId="25" borderId="28" xfId="0" applyFill="1" applyBorder="1"/>
    <xf numFmtId="0" fontId="32" fillId="24" borderId="27" xfId="0" applyFont="1" applyFill="1" applyBorder="1" applyAlignment="1">
      <alignment horizontal="right"/>
    </xf>
    <xf numFmtId="3" fontId="28" fillId="0" borderId="0" xfId="0" applyNumberFormat="1" applyFont="1" applyBorder="1" applyAlignment="1">
      <alignment horizontal="center"/>
    </xf>
    <xf numFmtId="0" fontId="31" fillId="24" borderId="27" xfId="0" applyFont="1" applyFill="1" applyBorder="1" applyAlignment="1">
      <alignment horizontal="right"/>
    </xf>
    <xf numFmtId="0" fontId="32" fillId="24" borderId="0" xfId="0" applyFont="1" applyFill="1" applyBorder="1" applyAlignment="1">
      <alignment horizontal="right"/>
    </xf>
    <xf numFmtId="0" fontId="0" fillId="24" borderId="27" xfId="0" applyFill="1" applyBorder="1"/>
    <xf numFmtId="0" fontId="31" fillId="24" borderId="0" xfId="0" applyFont="1" applyFill="1" applyBorder="1" applyAlignment="1">
      <alignment horizontal="right"/>
    </xf>
    <xf numFmtId="2" fontId="0" fillId="0" borderId="0" xfId="0" applyNumberFormat="1" applyBorder="1"/>
    <xf numFmtId="0" fontId="0" fillId="0" borderId="28" xfId="0" applyBorder="1"/>
    <xf numFmtId="0" fontId="28" fillId="24" borderId="0" xfId="0" applyFont="1" applyFill="1" applyBorder="1" applyAlignment="1">
      <alignment horizontal="center"/>
    </xf>
    <xf numFmtId="0" fontId="0" fillId="0" borderId="28" xfId="0" applyBorder="1" applyAlignment="1">
      <alignment horizontal="center"/>
    </xf>
    <xf numFmtId="0" fontId="0" fillId="0" borderId="27" xfId="0" applyBorder="1"/>
    <xf numFmtId="0" fontId="31" fillId="0" borderId="0" xfId="0" applyFont="1" applyBorder="1" applyAlignment="1">
      <alignment horizontal="right"/>
    </xf>
    <xf numFmtId="1" fontId="28" fillId="24" borderId="0" xfId="0" applyNumberFormat="1" applyFont="1" applyFill="1" applyBorder="1" applyAlignment="1">
      <alignment horizontal="center"/>
    </xf>
    <xf numFmtId="0" fontId="28" fillId="0" borderId="0" xfId="0" applyFont="1" applyBorder="1"/>
    <xf numFmtId="0" fontId="32" fillId="0" borderId="0" xfId="0" applyFont="1" applyBorder="1" applyAlignment="1">
      <alignment horizontal="center"/>
    </xf>
    <xf numFmtId="1" fontId="0" fillId="0" borderId="0" xfId="0" applyNumberFormat="1" applyBorder="1"/>
    <xf numFmtId="0" fontId="32" fillId="0" borderId="27" xfId="0" applyFont="1" applyBorder="1" applyAlignment="1">
      <alignment horizontal="right"/>
    </xf>
    <xf numFmtId="0" fontId="28" fillId="0" borderId="0" xfId="0" applyFont="1" applyBorder="1" applyAlignment="1">
      <alignment horizontal="center"/>
    </xf>
    <xf numFmtId="0" fontId="32" fillId="0" borderId="0" xfId="0" applyFont="1" applyBorder="1" applyAlignment="1">
      <alignment horizontal="right"/>
    </xf>
    <xf numFmtId="1" fontId="32" fillId="24" borderId="0" xfId="0" applyNumberFormat="1" applyFont="1" applyFill="1" applyBorder="1" applyAlignment="1">
      <alignment horizontal="center"/>
    </xf>
    <xf numFmtId="0" fontId="0" fillId="0" borderId="0" xfId="0" applyBorder="1" applyAlignment="1">
      <alignment horizontal="right"/>
    </xf>
    <xf numFmtId="2" fontId="0" fillId="24" borderId="0" xfId="0" applyNumberFormat="1" applyFill="1" applyBorder="1"/>
    <xf numFmtId="2" fontId="8" fillId="0" borderId="15" xfId="0" applyNumberFormat="1" applyFont="1" applyBorder="1" applyAlignment="1">
      <alignment horizontal="center" wrapText="1"/>
    </xf>
    <xf numFmtId="166" fontId="0" fillId="0" borderId="0" xfId="0" applyNumberFormat="1" applyBorder="1"/>
    <xf numFmtId="0" fontId="8" fillId="0" borderId="30" xfId="0" applyFont="1" applyBorder="1" applyAlignment="1">
      <alignment horizontal="center"/>
    </xf>
    <xf numFmtId="3" fontId="8" fillId="0" borderId="30" xfId="0" applyNumberFormat="1" applyFont="1" applyBorder="1" applyAlignment="1">
      <alignment horizontal="center"/>
    </xf>
    <xf numFmtId="3" fontId="37" fillId="28" borderId="30" xfId="0" applyNumberFormat="1" applyFont="1" applyFill="1" applyBorder="1" applyAlignment="1">
      <alignment horizontal="left"/>
    </xf>
    <xf numFmtId="0" fontId="0" fillId="28" borderId="0" xfId="0" applyFill="1"/>
    <xf numFmtId="2" fontId="28" fillId="24" borderId="0" xfId="0" applyNumberFormat="1" applyFont="1" applyFill="1" applyBorder="1" applyAlignment="1">
      <alignment horizontal="center"/>
    </xf>
    <xf numFmtId="3" fontId="0" fillId="0" borderId="0" xfId="0" applyNumberFormat="1" applyBorder="1" applyAlignment="1">
      <alignment horizontal="center"/>
    </xf>
    <xf numFmtId="3" fontId="0" fillId="0" borderId="28" xfId="0" applyNumberFormat="1" applyBorder="1" applyAlignment="1">
      <alignment horizontal="center"/>
    </xf>
    <xf numFmtId="3" fontId="0" fillId="0" borderId="0" xfId="0" applyNumberFormat="1" applyAlignment="1">
      <alignment horizontal="center"/>
    </xf>
    <xf numFmtId="173" fontId="0" fillId="0" borderId="0" xfId="0" applyNumberFormat="1" applyBorder="1"/>
    <xf numFmtId="168" fontId="8" fillId="0" borderId="30" xfId="0" applyNumberFormat="1" applyFont="1" applyBorder="1" applyAlignment="1">
      <alignment horizontal="center"/>
    </xf>
    <xf numFmtId="0" fontId="0" fillId="0" borderId="0" xfId="0" applyAlignment="1">
      <alignment horizontal="center"/>
    </xf>
    <xf numFmtId="0" fontId="8" fillId="0" borderId="31" xfId="0" applyFont="1" applyBorder="1" applyAlignment="1">
      <alignment horizontal="center"/>
    </xf>
    <xf numFmtId="3" fontId="8" fillId="0" borderId="31" xfId="0" applyNumberFormat="1" applyFont="1" applyBorder="1" applyAlignment="1">
      <alignment horizontal="center"/>
    </xf>
    <xf numFmtId="168" fontId="8" fillId="0" borderId="31" xfId="0" applyNumberFormat="1" applyFont="1" applyBorder="1" applyAlignment="1">
      <alignment horizontal="center"/>
    </xf>
    <xf numFmtId="0" fontId="32" fillId="0" borderId="26" xfId="0" applyFont="1" applyBorder="1" applyAlignment="1">
      <alignment horizontal="right"/>
    </xf>
    <xf numFmtId="3" fontId="0" fillId="0" borderId="28" xfId="0" applyNumberFormat="1" applyBorder="1"/>
    <xf numFmtId="3" fontId="0" fillId="0" borderId="0" xfId="0" applyNumberFormat="1"/>
    <xf numFmtId="166" fontId="28" fillId="0" borderId="0" xfId="0" applyNumberFormat="1" applyFont="1" applyBorder="1" applyAlignment="1">
      <alignment horizontal="center"/>
    </xf>
    <xf numFmtId="174" fontId="0" fillId="0" borderId="0" xfId="0" applyNumberFormat="1"/>
    <xf numFmtId="167" fontId="28" fillId="24" borderId="0" xfId="0" applyNumberFormat="1" applyFont="1" applyFill="1" applyBorder="1" applyAlignment="1">
      <alignment horizontal="center"/>
    </xf>
    <xf numFmtId="0" fontId="0" fillId="0" borderId="21" xfId="0" applyBorder="1" applyAlignment="1">
      <alignment horizontal="center"/>
    </xf>
    <xf numFmtId="0" fontId="0" fillId="0" borderId="32" xfId="0" applyBorder="1"/>
    <xf numFmtId="166" fontId="31" fillId="0" borderId="0" xfId="0" applyNumberFormat="1" applyFont="1" applyBorder="1" applyAlignment="1">
      <alignment horizontal="center"/>
    </xf>
    <xf numFmtId="0" fontId="37" fillId="0" borderId="0" xfId="0" applyFont="1"/>
    <xf numFmtId="0" fontId="8" fillId="24" borderId="0" xfId="0" applyFont="1" applyFill="1"/>
    <xf numFmtId="0" fontId="32" fillId="0" borderId="14" xfId="0" applyFont="1" applyBorder="1"/>
    <xf numFmtId="0" fontId="0" fillId="0" borderId="26" xfId="0" applyBorder="1"/>
    <xf numFmtId="0" fontId="35" fillId="0" borderId="0" xfId="0" applyFont="1" applyFill="1" applyBorder="1" applyAlignment="1">
      <alignment horizontal="center"/>
    </xf>
    <xf numFmtId="0" fontId="31" fillId="0" borderId="22" xfId="0" applyFont="1" applyBorder="1"/>
    <xf numFmtId="0" fontId="31" fillId="0" borderId="33" xfId="0" applyFont="1" applyBorder="1"/>
    <xf numFmtId="0" fontId="31" fillId="0" borderId="34" xfId="0" applyFont="1" applyBorder="1"/>
    <xf numFmtId="0" fontId="31" fillId="0" borderId="35" xfId="0" applyFont="1" applyBorder="1"/>
    <xf numFmtId="0" fontId="31" fillId="0" borderId="36" xfId="0" applyFont="1" applyBorder="1"/>
    <xf numFmtId="0" fontId="31" fillId="0" borderId="37" xfId="0" applyFont="1" applyBorder="1"/>
    <xf numFmtId="0" fontId="37" fillId="0" borderId="0" xfId="0" applyFont="1" applyFill="1" applyBorder="1"/>
    <xf numFmtId="0" fontId="31" fillId="0" borderId="38" xfId="0" applyFont="1" applyBorder="1"/>
    <xf numFmtId="0" fontId="31" fillId="0" borderId="39" xfId="0" applyFont="1" applyBorder="1"/>
    <xf numFmtId="0" fontId="31" fillId="0" borderId="0" xfId="0" applyFont="1" applyBorder="1"/>
    <xf numFmtId="0" fontId="31" fillId="0" borderId="40" xfId="0" applyFont="1" applyBorder="1"/>
    <xf numFmtId="0" fontId="31" fillId="24" borderId="41" xfId="0" applyFont="1" applyFill="1" applyBorder="1"/>
    <xf numFmtId="173" fontId="37" fillId="24" borderId="10" xfId="0" applyNumberFormat="1" applyFont="1" applyFill="1" applyBorder="1" applyAlignment="1">
      <alignment horizontal="center"/>
    </xf>
    <xf numFmtId="0" fontId="0" fillId="24" borderId="10" xfId="0" applyFill="1" applyBorder="1" applyAlignment="1">
      <alignment horizontal="center"/>
    </xf>
    <xf numFmtId="0" fontId="0" fillId="24" borderId="42" xfId="0" applyFill="1" applyBorder="1" applyAlignment="1">
      <alignment horizontal="center"/>
    </xf>
    <xf numFmtId="0" fontId="31" fillId="24" borderId="0" xfId="0" applyFont="1" applyFill="1" applyAlignment="1">
      <alignment horizontal="center"/>
    </xf>
    <xf numFmtId="0" fontId="37" fillId="0" borderId="0" xfId="0" applyFont="1" applyFill="1" applyBorder="1" applyAlignment="1">
      <alignment horizontal="center"/>
    </xf>
    <xf numFmtId="0" fontId="37" fillId="27" borderId="43" xfId="0" applyFont="1" applyFill="1" applyBorder="1" applyAlignment="1">
      <alignment horizontal="right"/>
    </xf>
    <xf numFmtId="0" fontId="0" fillId="0" borderId="10" xfId="0" applyBorder="1"/>
    <xf numFmtId="171" fontId="37" fillId="24" borderId="44" xfId="0" applyNumberFormat="1" applyFont="1" applyFill="1" applyBorder="1" applyAlignment="1">
      <alignment horizontal="center"/>
    </xf>
    <xf numFmtId="0" fontId="31" fillId="0" borderId="41" xfId="0" applyFont="1" applyBorder="1"/>
    <xf numFmtId="168" fontId="0" fillId="0" borderId="10" xfId="0" applyNumberFormat="1" applyBorder="1"/>
    <xf numFmtId="0" fontId="0" fillId="0" borderId="42" xfId="0" applyBorder="1"/>
    <xf numFmtId="0" fontId="31" fillId="0" borderId="0" xfId="0" applyFont="1" applyFill="1" applyBorder="1"/>
    <xf numFmtId="0" fontId="37" fillId="24" borderId="43" xfId="0" applyFont="1" applyFill="1" applyBorder="1" applyAlignment="1">
      <alignment horizontal="right"/>
    </xf>
    <xf numFmtId="171" fontId="37" fillId="24" borderId="45" xfId="0" applyNumberFormat="1" applyFont="1" applyFill="1" applyBorder="1" applyAlignment="1">
      <alignment horizontal="center"/>
    </xf>
    <xf numFmtId="172" fontId="37" fillId="24" borderId="10" xfId="0" applyNumberFormat="1" applyFont="1" applyFill="1" applyBorder="1" applyAlignment="1">
      <alignment horizontal="center"/>
    </xf>
    <xf numFmtId="1" fontId="37" fillId="0" borderId="0" xfId="0" applyNumberFormat="1" applyFont="1" applyFill="1" applyBorder="1" applyAlignment="1">
      <alignment horizontal="center"/>
    </xf>
    <xf numFmtId="170" fontId="37" fillId="24" borderId="45" xfId="0" applyNumberFormat="1" applyFont="1" applyFill="1" applyBorder="1" applyAlignment="1">
      <alignment horizontal="center"/>
    </xf>
    <xf numFmtId="168" fontId="37" fillId="24" borderId="10" xfId="0" applyNumberFormat="1" applyFont="1" applyFill="1" applyBorder="1" applyAlignment="1">
      <alignment horizontal="center"/>
    </xf>
    <xf numFmtId="43" fontId="0" fillId="0" borderId="0" xfId="0" applyNumberFormat="1"/>
    <xf numFmtId="169" fontId="37" fillId="24" borderId="10" xfId="0" applyNumberFormat="1" applyFont="1" applyFill="1" applyBorder="1" applyAlignment="1">
      <alignment horizontal="center"/>
    </xf>
    <xf numFmtId="0" fontId="37" fillId="27" borderId="46" xfId="0" applyFont="1" applyFill="1" applyBorder="1" applyAlignment="1">
      <alignment horizontal="right"/>
    </xf>
    <xf numFmtId="0" fontId="0" fillId="0" borderId="47" xfId="0" applyBorder="1"/>
    <xf numFmtId="171" fontId="37" fillId="24" borderId="48" xfId="0" applyNumberFormat="1" applyFont="1" applyFill="1" applyBorder="1" applyAlignment="1">
      <alignment horizontal="center"/>
    </xf>
    <xf numFmtId="168" fontId="0" fillId="0" borderId="0" xfId="0" applyNumberFormat="1" applyBorder="1"/>
    <xf numFmtId="0" fontId="31" fillId="0" borderId="49" xfId="0" applyFont="1" applyBorder="1"/>
    <xf numFmtId="168" fontId="0" fillId="0" borderId="47" xfId="0" applyNumberFormat="1" applyBorder="1"/>
    <xf numFmtId="0" fontId="0" fillId="0" borderId="50" xfId="0" applyBorder="1"/>
    <xf numFmtId="2" fontId="31" fillId="24" borderId="18" xfId="0" applyNumberFormat="1" applyFont="1" applyFill="1" applyBorder="1" applyAlignment="1">
      <alignment horizontal="center" wrapText="1"/>
    </xf>
    <xf numFmtId="2" fontId="31" fillId="0" borderId="0" xfId="0" applyNumberFormat="1" applyFont="1" applyAlignment="1">
      <alignment horizontal="center" wrapText="1"/>
    </xf>
    <xf numFmtId="168" fontId="31" fillId="24" borderId="15" xfId="0" applyNumberFormat="1" applyFont="1" applyFill="1" applyBorder="1" applyAlignment="1">
      <alignment horizontal="center"/>
    </xf>
    <xf numFmtId="3" fontId="31" fillId="0" borderId="0" xfId="0" applyNumberFormat="1" applyFont="1" applyAlignment="1">
      <alignment horizontal="center"/>
    </xf>
    <xf numFmtId="3" fontId="31" fillId="0" borderId="0" xfId="0" applyNumberFormat="1" applyFont="1"/>
    <xf numFmtId="168" fontId="31" fillId="24" borderId="30" xfId="0" applyNumberFormat="1" applyFont="1" applyFill="1" applyBorder="1" applyAlignment="1">
      <alignment horizontal="center"/>
    </xf>
    <xf numFmtId="3" fontId="8" fillId="0" borderId="0" xfId="46" applyNumberFormat="1" applyFont="1" applyBorder="1" applyAlignment="1" applyProtection="1">
      <alignment horizontal="left"/>
    </xf>
    <xf numFmtId="3" fontId="8" fillId="0" borderId="0" xfId="46" applyNumberFormat="1" applyFont="1" applyBorder="1" applyAlignment="1" applyProtection="1">
      <alignment horizontal="center"/>
    </xf>
    <xf numFmtId="0" fontId="8" fillId="0" borderId="0" xfId="46" applyFont="1" applyBorder="1" applyProtection="1"/>
    <xf numFmtId="0" fontId="8" fillId="0" borderId="0" xfId="46" applyFont="1" applyBorder="1" applyAlignment="1" applyProtection="1">
      <alignment horizontal="right"/>
    </xf>
    <xf numFmtId="0" fontId="0" fillId="29" borderId="0" xfId="0" applyFill="1" applyBorder="1"/>
    <xf numFmtId="0" fontId="22" fillId="29" borderId="51" xfId="0" applyFont="1" applyFill="1" applyBorder="1" applyAlignment="1" applyProtection="1">
      <alignment horizontal="right"/>
      <protection hidden="1"/>
    </xf>
    <xf numFmtId="0" fontId="22" fillId="29" borderId="0" xfId="0" applyFont="1" applyFill="1" applyBorder="1" applyAlignment="1" applyProtection="1">
      <alignment horizontal="right"/>
      <protection hidden="1"/>
    </xf>
    <xf numFmtId="168" fontId="31" fillId="27" borderId="16" xfId="0" applyNumberFormat="1" applyFont="1" applyFill="1" applyBorder="1" applyAlignment="1">
      <alignment horizontal="center"/>
    </xf>
    <xf numFmtId="168" fontId="31" fillId="24" borderId="31" xfId="0" applyNumberFormat="1" applyFont="1" applyFill="1" applyBorder="1" applyAlignment="1">
      <alignment horizontal="center"/>
    </xf>
    <xf numFmtId="0" fontId="32" fillId="0" borderId="22" xfId="49" applyFont="1" applyBorder="1" applyAlignment="1">
      <alignment horizontal="center"/>
    </xf>
    <xf numFmtId="0" fontId="32" fillId="0" borderId="33" xfId="49" applyFont="1" applyBorder="1"/>
    <xf numFmtId="0" fontId="32" fillId="0" borderId="26" xfId="49" applyFont="1" applyBorder="1" applyAlignment="1">
      <alignment horizontal="center"/>
    </xf>
    <xf numFmtId="0" fontId="32" fillId="0" borderId="19" xfId="49" applyFont="1" applyBorder="1"/>
    <xf numFmtId="0" fontId="32" fillId="0" borderId="26" xfId="49" applyFont="1" applyBorder="1"/>
    <xf numFmtId="0" fontId="34" fillId="0" borderId="0" xfId="49" applyAlignment="1">
      <alignment horizontal="center"/>
    </xf>
    <xf numFmtId="0" fontId="34" fillId="0" borderId="0" xfId="49"/>
    <xf numFmtId="0" fontId="32" fillId="0" borderId="46" xfId="49" applyFont="1" applyBorder="1" applyAlignment="1">
      <alignment horizontal="center"/>
    </xf>
    <xf numFmtId="0" fontId="32" fillId="0" borderId="52" xfId="49" applyFont="1" applyBorder="1"/>
    <xf numFmtId="0" fontId="32" fillId="0" borderId="32" xfId="49" applyFont="1" applyBorder="1" applyAlignment="1">
      <alignment horizontal="center"/>
    </xf>
    <xf numFmtId="0" fontId="32" fillId="0" borderId="21" xfId="49" applyFont="1" applyBorder="1"/>
    <xf numFmtId="0" fontId="32" fillId="0" borderId="32" xfId="49" applyFont="1" applyBorder="1"/>
    <xf numFmtId="0" fontId="32" fillId="0" borderId="49" xfId="49" applyFont="1" applyBorder="1" applyAlignment="1">
      <alignment horizontal="center"/>
    </xf>
    <xf numFmtId="0" fontId="32" fillId="0" borderId="47" xfId="49" applyFont="1" applyBorder="1" applyAlignment="1">
      <alignment horizontal="center"/>
    </xf>
    <xf numFmtId="0" fontId="32" fillId="0" borderId="50" xfId="49" applyFont="1" applyBorder="1" applyAlignment="1">
      <alignment horizontal="center"/>
    </xf>
    <xf numFmtId="0" fontId="32" fillId="0" borderId="53" xfId="49" applyFont="1" applyBorder="1" applyAlignment="1">
      <alignment horizontal="right"/>
    </xf>
    <xf numFmtId="0" fontId="32" fillId="0" borderId="50" xfId="49" applyFont="1" applyBorder="1" applyAlignment="1">
      <alignment horizontal="left"/>
    </xf>
    <xf numFmtId="0" fontId="38" fillId="0" borderId="0" xfId="49" applyFont="1" applyAlignment="1">
      <alignment horizontal="right"/>
    </xf>
    <xf numFmtId="0" fontId="38" fillId="0" borderId="0" xfId="49" applyFont="1" applyAlignment="1">
      <alignment horizontal="center"/>
    </xf>
    <xf numFmtId="0" fontId="38" fillId="0" borderId="0" xfId="49" applyFont="1" applyAlignment="1">
      <alignment horizontal="left"/>
    </xf>
    <xf numFmtId="0" fontId="32" fillId="0" borderId="27" xfId="49" applyFont="1" applyBorder="1" applyAlignment="1">
      <alignment horizontal="center"/>
    </xf>
    <xf numFmtId="0" fontId="32" fillId="0" borderId="0" xfId="49" applyFont="1" applyBorder="1"/>
    <xf numFmtId="0" fontId="32" fillId="0" borderId="0" xfId="49" applyFont="1" applyBorder="1" applyAlignment="1">
      <alignment horizontal="center"/>
    </xf>
    <xf numFmtId="0" fontId="32" fillId="0" borderId="28" xfId="49" applyFont="1" applyBorder="1"/>
    <xf numFmtId="0" fontId="32" fillId="0" borderId="28" xfId="49" applyFont="1" applyBorder="1" applyAlignment="1">
      <alignment horizontal="center"/>
    </xf>
    <xf numFmtId="0" fontId="32" fillId="0" borderId="0" xfId="49" applyFont="1" applyBorder="1" applyAlignment="1">
      <alignment horizontal="right"/>
    </xf>
    <xf numFmtId="0" fontId="32" fillId="0" borderId="28" xfId="49" applyFont="1" applyBorder="1" applyAlignment="1">
      <alignment horizontal="left"/>
    </xf>
    <xf numFmtId="0" fontId="42" fillId="27" borderId="0" xfId="49" applyFont="1" applyFill="1" applyAlignment="1">
      <alignment horizontal="center"/>
    </xf>
    <xf numFmtId="0" fontId="32" fillId="27" borderId="27" xfId="49" applyFont="1" applyFill="1" applyBorder="1" applyAlignment="1">
      <alignment horizontal="center"/>
    </xf>
    <xf numFmtId="0" fontId="32" fillId="27" borderId="0" xfId="49" applyFont="1" applyFill="1" applyBorder="1" applyAlignment="1">
      <alignment horizontal="center"/>
    </xf>
    <xf numFmtId="0" fontId="32" fillId="27" borderId="28" xfId="49" applyFont="1" applyFill="1" applyBorder="1" applyAlignment="1">
      <alignment horizontal="center"/>
    </xf>
    <xf numFmtId="0" fontId="32" fillId="27" borderId="0" xfId="49" applyFont="1" applyFill="1" applyAlignment="1">
      <alignment horizontal="center"/>
    </xf>
    <xf numFmtId="0" fontId="38" fillId="0" borderId="27" xfId="49" applyFont="1" applyBorder="1" applyAlignment="1">
      <alignment horizontal="center"/>
    </xf>
    <xf numFmtId="0" fontId="38" fillId="0" borderId="0" xfId="49" applyFont="1" applyBorder="1"/>
    <xf numFmtId="0" fontId="38" fillId="0" borderId="0" xfId="49" applyFont="1" applyBorder="1" applyAlignment="1">
      <alignment horizontal="center"/>
    </xf>
    <xf numFmtId="0" fontId="38" fillId="0" borderId="28" xfId="49" applyFont="1" applyBorder="1"/>
    <xf numFmtId="0" fontId="38" fillId="0" borderId="27" xfId="46" applyFont="1" applyBorder="1" applyAlignment="1" applyProtection="1">
      <alignment horizontal="right"/>
    </xf>
    <xf numFmtId="0" fontId="38" fillId="0" borderId="28" xfId="46" applyFont="1" applyBorder="1" applyAlignment="1" applyProtection="1">
      <alignment horizontal="center"/>
    </xf>
    <xf numFmtId="0" fontId="34" fillId="0" borderId="27" xfId="49" applyBorder="1" applyAlignment="1">
      <alignment horizontal="right"/>
    </xf>
    <xf numFmtId="0" fontId="34" fillId="0" borderId="0" xfId="49" applyBorder="1" applyAlignment="1">
      <alignment horizontal="center"/>
    </xf>
    <xf numFmtId="0" fontId="34" fillId="0" borderId="28" xfId="49" applyBorder="1" applyAlignment="1">
      <alignment horizontal="left"/>
    </xf>
    <xf numFmtId="0" fontId="38" fillId="0" borderId="0" xfId="46" applyFont="1" applyBorder="1" applyAlignment="1" applyProtection="1">
      <alignment horizontal="left"/>
    </xf>
    <xf numFmtId="0" fontId="34" fillId="0" borderId="0" xfId="49" applyAlignment="1">
      <alignment horizontal="right"/>
    </xf>
    <xf numFmtId="0" fontId="34" fillId="0" borderId="0" xfId="49" applyAlignment="1">
      <alignment horizontal="left"/>
    </xf>
    <xf numFmtId="49" fontId="38" fillId="0" borderId="27" xfId="49" applyNumberFormat="1" applyFont="1" applyBorder="1" applyAlignment="1">
      <alignment horizontal="center"/>
    </xf>
    <xf numFmtId="0" fontId="38" fillId="0" borderId="28" xfId="46" applyFont="1" applyBorder="1" applyAlignment="1" applyProtection="1">
      <alignment horizontal="left"/>
    </xf>
    <xf numFmtId="0" fontId="38" fillId="0" borderId="0" xfId="46" quotePrefix="1" applyFont="1" applyBorder="1" applyAlignment="1" applyProtection="1">
      <alignment horizontal="center"/>
    </xf>
    <xf numFmtId="0" fontId="34" fillId="0" borderId="27" xfId="49" applyBorder="1" applyAlignment="1">
      <alignment horizontal="center"/>
    </xf>
    <xf numFmtId="0" fontId="34" fillId="0" borderId="0" xfId="49" applyBorder="1"/>
    <xf numFmtId="0" fontId="34" fillId="0" borderId="28" xfId="49" applyBorder="1"/>
    <xf numFmtId="0" fontId="34" fillId="0" borderId="27" xfId="49" applyBorder="1"/>
    <xf numFmtId="0" fontId="34" fillId="0" borderId="17" xfId="49" applyBorder="1" applyAlignment="1">
      <alignment horizontal="center"/>
    </xf>
    <xf numFmtId="0" fontId="34" fillId="0" borderId="32" xfId="49" applyBorder="1"/>
    <xf numFmtId="0" fontId="34" fillId="0" borderId="32" xfId="49" applyBorder="1" applyAlignment="1">
      <alignment horizontal="center"/>
    </xf>
    <xf numFmtId="0" fontId="34" fillId="0" borderId="21" xfId="49" applyBorder="1"/>
    <xf numFmtId="0" fontId="34" fillId="0" borderId="17" xfId="49" applyBorder="1"/>
    <xf numFmtId="0" fontId="43" fillId="0" borderId="29" xfId="49" applyFont="1" applyBorder="1" applyAlignment="1">
      <alignment horizontal="center"/>
    </xf>
    <xf numFmtId="0" fontId="33" fillId="0" borderId="0" xfId="45"/>
    <xf numFmtId="0" fontId="31" fillId="0" borderId="54" xfId="45" applyFont="1" applyBorder="1" applyAlignment="1">
      <alignment horizontal="center"/>
    </xf>
    <xf numFmtId="1" fontId="38" fillId="0" borderId="0" xfId="45" applyNumberFormat="1" applyFont="1" applyBorder="1" applyAlignment="1">
      <alignment horizontal="center"/>
    </xf>
    <xf numFmtId="1" fontId="38" fillId="0" borderId="55" xfId="45" applyNumberFormat="1" applyFont="1" applyBorder="1" applyAlignment="1">
      <alignment horizontal="center"/>
    </xf>
    <xf numFmtId="0" fontId="33" fillId="0" borderId="55" xfId="45" applyBorder="1" applyAlignment="1">
      <alignment horizontal="center"/>
    </xf>
    <xf numFmtId="0" fontId="28" fillId="0" borderId="54" xfId="46" applyFont="1" applyBorder="1" applyAlignment="1" applyProtection="1">
      <alignment horizontal="right"/>
      <protection locked="0"/>
    </xf>
    <xf numFmtId="3" fontId="38" fillId="0" borderId="0" xfId="46" applyNumberFormat="1" applyFont="1" applyBorder="1" applyAlignment="1" applyProtection="1">
      <alignment horizontal="center"/>
    </xf>
    <xf numFmtId="1" fontId="38" fillId="0" borderId="55" xfId="46" applyNumberFormat="1" applyFont="1" applyBorder="1" applyAlignment="1" applyProtection="1">
      <alignment horizontal="center"/>
    </xf>
    <xf numFmtId="166" fontId="38" fillId="0" borderId="0" xfId="46" applyNumberFormat="1" applyFont="1" applyBorder="1" applyAlignment="1" applyProtection="1">
      <alignment horizontal="center"/>
    </xf>
    <xf numFmtId="168" fontId="38" fillId="0" borderId="55" xfId="46" applyNumberFormat="1" applyFont="1" applyBorder="1" applyAlignment="1" applyProtection="1">
      <alignment horizontal="center"/>
    </xf>
    <xf numFmtId="168" fontId="38" fillId="0" borderId="0" xfId="46" applyNumberFormat="1" applyFont="1" applyBorder="1" applyAlignment="1" applyProtection="1">
      <alignment horizontal="center"/>
    </xf>
    <xf numFmtId="0" fontId="28" fillId="0" borderId="54" xfId="46" applyFont="1" applyBorder="1" applyProtection="1"/>
    <xf numFmtId="3" fontId="28" fillId="0" borderId="55" xfId="46" applyNumberFormat="1" applyFont="1" applyBorder="1" applyAlignment="1" applyProtection="1">
      <alignment horizontal="center"/>
    </xf>
    <xf numFmtId="1" fontId="28" fillId="0" borderId="0" xfId="46" applyNumberFormat="1" applyFont="1" applyBorder="1" applyAlignment="1" applyProtection="1">
      <alignment horizontal="center"/>
    </xf>
    <xf numFmtId="1" fontId="28" fillId="0" borderId="55" xfId="46" applyNumberFormat="1" applyFont="1" applyBorder="1" applyAlignment="1" applyProtection="1">
      <alignment horizontal="center"/>
    </xf>
    <xf numFmtId="0" fontId="38" fillId="0" borderId="54" xfId="46" applyFont="1" applyBorder="1" applyProtection="1"/>
    <xf numFmtId="0" fontId="8" fillId="0" borderId="0" xfId="45" applyFont="1" applyBorder="1" applyAlignment="1">
      <alignment horizontal="center"/>
    </xf>
    <xf numFmtId="0" fontId="8" fillId="0" borderId="55" xfId="45" applyFont="1" applyBorder="1" applyAlignment="1">
      <alignment horizontal="center"/>
    </xf>
    <xf numFmtId="1" fontId="8" fillId="0" borderId="0" xfId="45" applyNumberFormat="1" applyFont="1" applyBorder="1" applyAlignment="1">
      <alignment horizontal="center"/>
    </xf>
    <xf numFmtId="1" fontId="8" fillId="0" borderId="55" xfId="45" applyNumberFormat="1" applyFont="1" applyBorder="1" applyAlignment="1">
      <alignment horizontal="center"/>
    </xf>
    <xf numFmtId="0" fontId="38" fillId="0" borderId="56" xfId="46" applyFont="1" applyBorder="1" applyProtection="1"/>
    <xf numFmtId="0" fontId="38" fillId="0" borderId="57" xfId="46" applyFont="1" applyBorder="1" applyAlignment="1" applyProtection="1">
      <alignment horizontal="center"/>
    </xf>
    <xf numFmtId="0" fontId="38" fillId="0" borderId="58" xfId="46" applyFont="1" applyBorder="1" applyAlignment="1" applyProtection="1">
      <alignment horizontal="center"/>
    </xf>
    <xf numFmtId="2" fontId="38" fillId="0" borderId="57" xfId="46" applyNumberFormat="1" applyFont="1" applyBorder="1" applyAlignment="1" applyProtection="1">
      <alignment horizontal="center"/>
    </xf>
    <xf numFmtId="168" fontId="38" fillId="0" borderId="57" xfId="46" applyNumberFormat="1" applyFont="1" applyBorder="1" applyAlignment="1" applyProtection="1">
      <alignment horizontal="center"/>
    </xf>
    <xf numFmtId="1" fontId="38" fillId="0" borderId="57" xfId="46" applyNumberFormat="1" applyFont="1" applyBorder="1" applyAlignment="1" applyProtection="1">
      <alignment horizontal="center"/>
    </xf>
    <xf numFmtId="1" fontId="38" fillId="0" borderId="58" xfId="46" applyNumberFormat="1" applyFont="1" applyBorder="1" applyAlignment="1" applyProtection="1">
      <alignment horizontal="center"/>
    </xf>
    <xf numFmtId="0" fontId="33" fillId="0" borderId="0" xfId="45" applyAlignment="1">
      <alignment horizontal="center"/>
    </xf>
    <xf numFmtId="0" fontId="33" fillId="0" borderId="0" xfId="45" applyAlignment="1">
      <alignment horizontal="right"/>
    </xf>
    <xf numFmtId="166" fontId="33" fillId="0" borderId="0" xfId="45" applyNumberFormat="1" applyAlignment="1">
      <alignment horizontal="center"/>
    </xf>
    <xf numFmtId="3" fontId="33" fillId="0" borderId="0" xfId="45" applyNumberFormat="1" applyAlignment="1">
      <alignment horizontal="center"/>
    </xf>
    <xf numFmtId="2" fontId="33" fillId="0" borderId="0" xfId="45" applyNumberFormat="1" applyAlignment="1">
      <alignment horizontal="center"/>
    </xf>
    <xf numFmtId="168" fontId="33" fillId="0" borderId="0" xfId="45" applyNumberFormat="1" applyAlignment="1">
      <alignment horizontal="center"/>
    </xf>
    <xf numFmtId="0" fontId="33" fillId="0" borderId="0" xfId="45" applyFont="1"/>
    <xf numFmtId="166" fontId="33" fillId="0" borderId="0" xfId="45" applyNumberFormat="1"/>
    <xf numFmtId="2" fontId="33" fillId="0" borderId="0" xfId="45" applyNumberFormat="1"/>
    <xf numFmtId="1" fontId="33" fillId="0" borderId="0" xfId="45" applyNumberFormat="1" applyAlignment="1">
      <alignment horizontal="center"/>
    </xf>
    <xf numFmtId="0" fontId="44" fillId="0" borderId="0" xfId="49" applyFont="1" applyAlignment="1">
      <alignment horizontal="center"/>
    </xf>
    <xf numFmtId="0" fontId="41" fillId="27" borderId="16" xfId="49" applyFont="1" applyFill="1" applyBorder="1" applyAlignment="1">
      <alignment horizontal="center"/>
    </xf>
    <xf numFmtId="0" fontId="41" fillId="27" borderId="29" xfId="49" applyFont="1" applyFill="1" applyBorder="1" applyAlignment="1">
      <alignment horizontal="center"/>
    </xf>
    <xf numFmtId="0" fontId="41" fillId="27" borderId="20" xfId="49" applyFont="1" applyFill="1" applyBorder="1" applyAlignment="1">
      <alignment horizontal="center"/>
    </xf>
    <xf numFmtId="0" fontId="41" fillId="0" borderId="0" xfId="49" applyFont="1" applyAlignment="1">
      <alignment horizontal="center"/>
    </xf>
    <xf numFmtId="0" fontId="45" fillId="0" borderId="0" xfId="48"/>
    <xf numFmtId="0" fontId="46" fillId="25" borderId="38" xfId="48" applyFont="1" applyFill="1" applyBorder="1" applyAlignment="1">
      <alignment horizontal="center"/>
    </xf>
    <xf numFmtId="0" fontId="46" fillId="25" borderId="40" xfId="48" applyFont="1" applyFill="1" applyBorder="1" applyAlignment="1">
      <alignment horizontal="center"/>
    </xf>
    <xf numFmtId="0" fontId="45" fillId="25" borderId="41" xfId="48" applyFill="1" applyBorder="1" applyAlignment="1">
      <alignment horizontal="left"/>
    </xf>
    <xf numFmtId="166" fontId="45" fillId="25" borderId="42" xfId="48" applyNumberFormat="1" applyFill="1" applyBorder="1" applyAlignment="1">
      <alignment horizontal="center"/>
    </xf>
    <xf numFmtId="0" fontId="45" fillId="25" borderId="49" xfId="48" applyFill="1" applyBorder="1" applyAlignment="1">
      <alignment horizontal="left"/>
    </xf>
    <xf numFmtId="166" fontId="45" fillId="25" borderId="50" xfId="48" applyNumberFormat="1" applyFill="1" applyBorder="1" applyAlignment="1">
      <alignment horizontal="center"/>
    </xf>
    <xf numFmtId="0" fontId="46" fillId="25" borderId="39" xfId="48" applyFont="1" applyFill="1" applyBorder="1" applyAlignment="1">
      <alignment horizontal="center"/>
    </xf>
    <xf numFmtId="0" fontId="45" fillId="25" borderId="41" xfId="48" applyFont="1" applyFill="1" applyBorder="1" applyAlignment="1">
      <alignment horizontal="left"/>
    </xf>
    <xf numFmtId="0" fontId="45" fillId="25" borderId="10" xfId="48" applyFill="1" applyBorder="1" applyAlignment="1">
      <alignment horizontal="center"/>
    </xf>
    <xf numFmtId="0" fontId="45" fillId="25" borderId="42" xfId="48" applyFont="1" applyFill="1" applyBorder="1" applyAlignment="1">
      <alignment horizontal="center"/>
    </xf>
    <xf numFmtId="0" fontId="45" fillId="25" borderId="41" xfId="48" applyFill="1" applyBorder="1"/>
    <xf numFmtId="0" fontId="45" fillId="25" borderId="42" xfId="48" applyFill="1" applyBorder="1" applyAlignment="1">
      <alignment horizontal="center"/>
    </xf>
    <xf numFmtId="0" fontId="45" fillId="25" borderId="49" xfId="48" applyFont="1" applyFill="1" applyBorder="1" applyAlignment="1">
      <alignment horizontal="left"/>
    </xf>
    <xf numFmtId="0" fontId="45" fillId="25" borderId="47" xfId="48" applyFill="1" applyBorder="1" applyAlignment="1">
      <alignment horizontal="center"/>
    </xf>
    <xf numFmtId="0" fontId="45" fillId="25" borderId="50" xfId="48" applyFont="1" applyFill="1" applyBorder="1" applyAlignment="1">
      <alignment horizontal="center"/>
    </xf>
    <xf numFmtId="0" fontId="11" fillId="0" borderId="0" xfId="47" applyFont="1"/>
    <xf numFmtId="0" fontId="11" fillId="0" borderId="0" xfId="47" applyFont="1" applyBorder="1"/>
    <xf numFmtId="0" fontId="11" fillId="0" borderId="0" xfId="47" applyFont="1" applyFill="1"/>
    <xf numFmtId="0" fontId="8" fillId="0" borderId="0" xfId="0" applyFont="1" applyFill="1" applyBorder="1"/>
    <xf numFmtId="0" fontId="11" fillId="0" borderId="0" xfId="47" applyFont="1" applyFill="1" applyBorder="1"/>
    <xf numFmtId="2" fontId="11" fillId="0" borderId="0" xfId="47" applyNumberFormat="1" applyFont="1" applyFill="1" applyBorder="1"/>
    <xf numFmtId="168" fontId="11" fillId="0" borderId="0" xfId="47" applyNumberFormat="1" applyFont="1" applyFill="1" applyBorder="1"/>
    <xf numFmtId="0" fontId="45" fillId="0" borderId="0" xfId="48" applyFill="1"/>
    <xf numFmtId="0" fontId="8" fillId="30" borderId="0" xfId="44" applyFill="1" applyBorder="1" applyAlignment="1">
      <alignment horizontal="left" vertical="center"/>
    </xf>
    <xf numFmtId="3" fontId="45" fillId="0" borderId="0" xfId="48" applyNumberFormat="1" applyFill="1" applyBorder="1" applyAlignment="1">
      <alignment horizontal="center"/>
    </xf>
    <xf numFmtId="0" fontId="11" fillId="0" borderId="0" xfId="48" applyFont="1" applyBorder="1"/>
    <xf numFmtId="0" fontId="0" fillId="0" borderId="0" xfId="0" applyBorder="1" applyAlignment="1">
      <alignment horizontal="center"/>
    </xf>
    <xf numFmtId="0" fontId="28" fillId="0" borderId="16" xfId="0" applyFont="1" applyBorder="1" applyAlignment="1">
      <alignment horizontal="center"/>
    </xf>
    <xf numFmtId="0" fontId="28" fillId="0" borderId="29" xfId="0" applyFont="1" applyBorder="1" applyAlignment="1">
      <alignment horizontal="center"/>
    </xf>
    <xf numFmtId="0" fontId="28" fillId="0" borderId="20" xfId="0" applyFont="1" applyBorder="1" applyAlignment="1">
      <alignment horizontal="center"/>
    </xf>
    <xf numFmtId="0" fontId="31" fillId="0" borderId="0" xfId="0" applyFont="1" applyAlignment="1">
      <alignment horizontal="center"/>
    </xf>
    <xf numFmtId="0" fontId="0" fillId="0" borderId="0" xfId="0" applyFont="1" applyAlignment="1">
      <alignment horizontal="center"/>
    </xf>
    <xf numFmtId="37" fontId="32" fillId="0" borderId="0" xfId="30" applyNumberFormat="1" applyFont="1" applyBorder="1" applyAlignment="1">
      <alignment horizontal="center"/>
    </xf>
    <xf numFmtId="0" fontId="37" fillId="24" borderId="28" xfId="0" applyFont="1" applyFill="1" applyBorder="1"/>
    <xf numFmtId="37" fontId="32" fillId="24" borderId="0" xfId="30" applyNumberFormat="1" applyFont="1" applyFill="1" applyBorder="1" applyAlignment="1">
      <alignment horizontal="center"/>
    </xf>
    <xf numFmtId="3" fontId="37" fillId="0" borderId="0" xfId="0" applyNumberFormat="1" applyFont="1"/>
    <xf numFmtId="174" fontId="8" fillId="0" borderId="30" xfId="30" applyNumberFormat="1" applyFont="1" applyBorder="1" applyAlignment="1">
      <alignment horizontal="center"/>
    </xf>
    <xf numFmtId="174" fontId="8" fillId="0" borderId="31" xfId="30" applyNumberFormat="1" applyFont="1" applyBorder="1" applyAlignment="1">
      <alignment horizontal="center"/>
    </xf>
    <xf numFmtId="3" fontId="28" fillId="0" borderId="0" xfId="30" applyNumberFormat="1" applyFont="1" applyBorder="1" applyAlignment="1">
      <alignment horizontal="center"/>
    </xf>
    <xf numFmtId="10" fontId="8" fillId="0" borderId="0" xfId="52" applyNumberFormat="1" applyFont="1" applyBorder="1"/>
    <xf numFmtId="10" fontId="8" fillId="0" borderId="28" xfId="52" applyNumberFormat="1" applyFont="1" applyBorder="1" applyAlignment="1">
      <alignment horizontal="center"/>
    </xf>
    <xf numFmtId="174" fontId="8" fillId="0" borderId="0" xfId="30" applyNumberFormat="1"/>
    <xf numFmtId="37" fontId="31" fillId="0" borderId="0" xfId="30" applyNumberFormat="1" applyFont="1" applyBorder="1" applyAlignment="1">
      <alignment horizontal="center"/>
    </xf>
    <xf numFmtId="37" fontId="31" fillId="24" borderId="0" xfId="30" applyNumberFormat="1" applyFont="1" applyFill="1" applyBorder="1" applyAlignment="1">
      <alignment horizontal="center"/>
    </xf>
    <xf numFmtId="0" fontId="11" fillId="0" borderId="0" xfId="47" applyFont="1"/>
    <xf numFmtId="0" fontId="52" fillId="33" borderId="22" xfId="58" applyFont="1" applyFill="1" applyBorder="1" applyAlignment="1" applyProtection="1">
      <alignment horizontal="center" vertical="center" wrapText="1"/>
    </xf>
    <xf numFmtId="0" fontId="52" fillId="33" borderId="33" xfId="58" applyFont="1" applyFill="1" applyBorder="1" applyAlignment="1" applyProtection="1">
      <alignment horizontal="center" vertical="center" wrapText="1"/>
    </xf>
    <xf numFmtId="0" fontId="52" fillId="33" borderId="34" xfId="58" applyFont="1" applyFill="1" applyBorder="1" applyAlignment="1" applyProtection="1">
      <alignment horizontal="center" vertical="center" wrapText="1"/>
    </xf>
    <xf numFmtId="0" fontId="51" fillId="27" borderId="43" xfId="64" applyFont="1" applyFill="1" applyBorder="1" applyProtection="1"/>
    <xf numFmtId="0" fontId="51" fillId="27" borderId="43" xfId="58" applyFont="1" applyFill="1" applyBorder="1" applyAlignment="1" applyProtection="1"/>
    <xf numFmtId="0" fontId="51" fillId="27" borderId="43" xfId="58" applyFont="1" applyFill="1" applyBorder="1" applyAlignment="1" applyProtection="1">
      <alignment vertical="top"/>
    </xf>
    <xf numFmtId="0" fontId="5" fillId="0" borderId="0" xfId="68" applyFont="1" applyBorder="1" applyAlignment="1" applyProtection="1">
      <alignment horizontal="center" vertical="center" wrapText="1"/>
      <protection locked="0"/>
    </xf>
    <xf numFmtId="0" fontId="52" fillId="33" borderId="18" xfId="58" applyFont="1" applyFill="1" applyBorder="1" applyAlignment="1" applyProtection="1">
      <alignment horizontal="center" vertical="center" wrapText="1"/>
    </xf>
    <xf numFmtId="0" fontId="8" fillId="0" borderId="0" xfId="0" applyFont="1" applyAlignment="1">
      <alignment wrapText="1"/>
    </xf>
    <xf numFmtId="0" fontId="2" fillId="0" borderId="0" xfId="98"/>
    <xf numFmtId="0" fontId="5" fillId="0" borderId="0" xfId="0" applyFont="1"/>
    <xf numFmtId="8" fontId="5" fillId="0" borderId="0" xfId="0" applyNumberFormat="1" applyFont="1"/>
    <xf numFmtId="0" fontId="6" fillId="0" borderId="0" xfId="0" applyFont="1"/>
    <xf numFmtId="0" fontId="6" fillId="0" borderId="0" xfId="0" applyFont="1" applyAlignment="1">
      <alignment horizontal="left"/>
    </xf>
    <xf numFmtId="3" fontId="6" fillId="0" borderId="0" xfId="0" applyNumberFormat="1" applyFont="1" applyAlignment="1">
      <alignment horizontal="left"/>
    </xf>
    <xf numFmtId="14" fontId="5" fillId="0" borderId="0" xfId="0" applyNumberFormat="1" applyFont="1"/>
    <xf numFmtId="0" fontId="7" fillId="0" borderId="0" xfId="0" applyFont="1" applyAlignment="1">
      <alignment horizontal="left"/>
    </xf>
    <xf numFmtId="3" fontId="5" fillId="0" borderId="0" xfId="0" applyNumberFormat="1" applyFont="1"/>
    <xf numFmtId="40" fontId="6" fillId="0" borderId="0" xfId="0" applyNumberFormat="1" applyFont="1"/>
    <xf numFmtId="0" fontId="53" fillId="0" borderId="0" xfId="0" applyFont="1"/>
    <xf numFmtId="14" fontId="53" fillId="0" borderId="0" xfId="0" applyNumberFormat="1" applyFont="1"/>
    <xf numFmtId="3" fontId="53" fillId="0" borderId="0" xfId="0" applyNumberFormat="1" applyFont="1" applyAlignment="1">
      <alignment horizontal="left"/>
    </xf>
    <xf numFmtId="3" fontId="54" fillId="0" borderId="0" xfId="0" applyNumberFormat="1" applyFont="1" applyAlignment="1">
      <alignment horizontal="left"/>
    </xf>
    <xf numFmtId="0" fontId="0" fillId="0" borderId="0" xfId="0"/>
    <xf numFmtId="3" fontId="53" fillId="0" borderId="0" xfId="0" applyNumberFormat="1" applyFont="1"/>
    <xf numFmtId="0" fontId="11" fillId="34" borderId="0" xfId="47" applyFont="1" applyFill="1"/>
    <xf numFmtId="0" fontId="56" fillId="0" borderId="0" xfId="0" applyFont="1" applyBorder="1"/>
    <xf numFmtId="0" fontId="56" fillId="0" borderId="0" xfId="0" applyFont="1" applyBorder="1" applyAlignment="1">
      <alignment horizontal="left"/>
    </xf>
    <xf numFmtId="0" fontId="56" fillId="0" borderId="0" xfId="0" applyFont="1" applyBorder="1" applyAlignment="1">
      <alignment horizontal="center"/>
    </xf>
    <xf numFmtId="181" fontId="56" fillId="0" borderId="0" xfId="0" applyNumberFormat="1" applyFont="1" applyAlignment="1">
      <alignment horizontal="center" vertical="center"/>
    </xf>
    <xf numFmtId="182" fontId="56" fillId="0" borderId="0" xfId="0" applyNumberFormat="1" applyFont="1" applyAlignment="1">
      <alignment horizontal="center" vertical="center"/>
    </xf>
    <xf numFmtId="0" fontId="56" fillId="0" borderId="0" xfId="0" applyFont="1" applyFill="1" applyBorder="1" applyAlignment="1">
      <alignment horizontal="center"/>
    </xf>
    <xf numFmtId="9" fontId="56" fillId="0" borderId="0" xfId="0" applyNumberFormat="1" applyFont="1" applyAlignment="1">
      <alignment horizontal="center" vertical="center"/>
    </xf>
    <xf numFmtId="0" fontId="56" fillId="0" borderId="0" xfId="0" applyFont="1" applyFill="1" applyBorder="1"/>
    <xf numFmtId="0" fontId="56" fillId="0" borderId="0" xfId="60" applyFont="1" applyBorder="1" applyAlignment="1">
      <alignment horizontal="left"/>
    </xf>
    <xf numFmtId="0" fontId="56" fillId="0" borderId="0" xfId="0" applyFont="1" applyFill="1" applyBorder="1" applyAlignment="1">
      <alignment horizontal="left"/>
    </xf>
    <xf numFmtId="165" fontId="56" fillId="0" borderId="0" xfId="0" applyNumberFormat="1" applyFont="1" applyAlignment="1">
      <alignment horizontal="center" vertical="center"/>
    </xf>
    <xf numFmtId="0" fontId="58" fillId="34" borderId="0" xfId="60" applyFont="1" applyFill="1" applyBorder="1"/>
    <xf numFmtId="0" fontId="56" fillId="34" borderId="0" xfId="60" applyFont="1" applyFill="1" applyBorder="1"/>
    <xf numFmtId="0" fontId="56" fillId="34" borderId="0" xfId="92" applyFont="1" applyFill="1" applyBorder="1"/>
    <xf numFmtId="0" fontId="59" fillId="39" borderId="16" xfId="92" applyFont="1" applyFill="1" applyBorder="1" applyAlignment="1">
      <alignment horizontal="center" vertical="center"/>
    </xf>
    <xf numFmtId="165" fontId="59" fillId="39" borderId="20" xfId="59" applyNumberFormat="1" applyFont="1" applyFill="1" applyBorder="1" applyAlignment="1">
      <alignment horizontal="center" vertical="center" wrapText="1"/>
    </xf>
    <xf numFmtId="0" fontId="60" fillId="34" borderId="0" xfId="60" applyFont="1" applyFill="1" applyBorder="1"/>
    <xf numFmtId="0" fontId="59" fillId="39" borderId="18" xfId="59" applyNumberFormat="1" applyFont="1" applyFill="1" applyBorder="1" applyAlignment="1">
      <alignment horizontal="center" vertical="center" wrapText="1"/>
    </xf>
    <xf numFmtId="0" fontId="56" fillId="39" borderId="68" xfId="59" applyNumberFormat="1" applyFont="1" applyFill="1" applyBorder="1" applyAlignment="1">
      <alignment horizontal="center" wrapText="1"/>
    </xf>
    <xf numFmtId="0" fontId="56" fillId="39" borderId="73" xfId="59" applyNumberFormat="1" applyFont="1" applyFill="1" applyBorder="1" applyAlignment="1">
      <alignment horizontal="center" wrapText="1"/>
    </xf>
    <xf numFmtId="0" fontId="56" fillId="39" borderId="69" xfId="59" applyNumberFormat="1" applyFont="1" applyFill="1" applyBorder="1" applyAlignment="1">
      <alignment horizontal="center" wrapText="1"/>
    </xf>
    <xf numFmtId="176" fontId="56" fillId="39" borderId="74" xfId="59" applyNumberFormat="1" applyFont="1" applyFill="1" applyBorder="1" applyAlignment="1">
      <alignment wrapText="1"/>
    </xf>
    <xf numFmtId="168" fontId="56" fillId="34" borderId="58" xfId="59" applyNumberFormat="1" applyFont="1" applyFill="1" applyBorder="1" applyAlignment="1">
      <alignment horizontal="center" wrapText="1"/>
    </xf>
    <xf numFmtId="168" fontId="56" fillId="34" borderId="39" xfId="59" applyNumberFormat="1" applyFont="1" applyFill="1" applyBorder="1" applyAlignment="1">
      <alignment horizontal="center" wrapText="1"/>
    </xf>
    <xf numFmtId="168" fontId="56" fillId="34" borderId="40" xfId="59" applyNumberFormat="1" applyFont="1" applyFill="1" applyBorder="1" applyAlignment="1">
      <alignment horizontal="center" wrapText="1"/>
    </xf>
    <xf numFmtId="176" fontId="56" fillId="39" borderId="75" xfId="59" applyNumberFormat="1" applyFont="1" applyFill="1" applyBorder="1" applyAlignment="1">
      <alignment wrapText="1"/>
    </xf>
    <xf numFmtId="168" fontId="56" fillId="34" borderId="13" xfId="59" applyNumberFormat="1" applyFont="1" applyFill="1" applyBorder="1" applyAlignment="1">
      <alignment horizontal="center" wrapText="1"/>
    </xf>
    <xf numFmtId="168" fontId="56" fillId="34" borderId="10" xfId="59" applyNumberFormat="1" applyFont="1" applyFill="1" applyBorder="1" applyAlignment="1">
      <alignment horizontal="center" wrapText="1"/>
    </xf>
    <xf numFmtId="168" fontId="56" fillId="34" borderId="42" xfId="59" applyNumberFormat="1" applyFont="1" applyFill="1" applyBorder="1" applyAlignment="1">
      <alignment horizontal="center" wrapText="1"/>
    </xf>
    <xf numFmtId="2" fontId="56" fillId="34" borderId="13" xfId="59" applyNumberFormat="1" applyFont="1" applyFill="1" applyBorder="1" applyAlignment="1">
      <alignment horizontal="center" wrapText="1"/>
    </xf>
    <xf numFmtId="2" fontId="56" fillId="34" borderId="10" xfId="59" applyNumberFormat="1" applyFont="1" applyFill="1" applyBorder="1" applyAlignment="1">
      <alignment horizontal="center" wrapText="1"/>
    </xf>
    <xf numFmtId="2" fontId="56" fillId="34" borderId="42" xfId="59" applyNumberFormat="1" applyFont="1" applyFill="1" applyBorder="1" applyAlignment="1">
      <alignment horizontal="center" wrapText="1"/>
    </xf>
    <xf numFmtId="176" fontId="56" fillId="39" borderId="76" xfId="59" applyNumberFormat="1" applyFont="1" applyFill="1" applyBorder="1" applyAlignment="1">
      <alignment wrapText="1"/>
    </xf>
    <xf numFmtId="2" fontId="56" fillId="34" borderId="53" xfId="59" applyNumberFormat="1" applyFont="1" applyFill="1" applyBorder="1" applyAlignment="1">
      <alignment horizontal="center" wrapText="1"/>
    </xf>
    <xf numFmtId="2" fontId="56" fillId="34" borderId="47" xfId="59" applyNumberFormat="1" applyFont="1" applyFill="1" applyBorder="1" applyAlignment="1">
      <alignment horizontal="center" wrapText="1"/>
    </xf>
    <xf numFmtId="2" fontId="56" fillId="34" borderId="50" xfId="59" applyNumberFormat="1" applyFont="1" applyFill="1" applyBorder="1" applyAlignment="1">
      <alignment horizontal="center" wrapText="1"/>
    </xf>
    <xf numFmtId="0" fontId="56" fillId="41" borderId="0" xfId="92" applyFont="1" applyFill="1" applyBorder="1"/>
    <xf numFmtId="0" fontId="66" fillId="41" borderId="0" xfId="92" applyFont="1" applyFill="1" applyBorder="1"/>
    <xf numFmtId="0" fontId="0" fillId="0" borderId="0" xfId="0" applyFont="1" applyFill="1" applyBorder="1"/>
    <xf numFmtId="8" fontId="66" fillId="41" borderId="0" xfId="92" applyNumberFormat="1" applyFont="1" applyFill="1" applyBorder="1"/>
    <xf numFmtId="168" fontId="51" fillId="27" borderId="0" xfId="58" applyNumberFormat="1" applyFont="1" applyFill="1" applyBorder="1" applyAlignment="1" applyProtection="1">
      <alignment horizontal="center"/>
    </xf>
    <xf numFmtId="0" fontId="67" fillId="0" borderId="0" xfId="0" applyFont="1"/>
    <xf numFmtId="0" fontId="68" fillId="0" borderId="0" xfId="60" applyFont="1" applyBorder="1" applyAlignment="1">
      <alignment horizontal="left"/>
    </xf>
    <xf numFmtId="0" fontId="68" fillId="0" borderId="0" xfId="0" applyFont="1" applyBorder="1" applyAlignment="1">
      <alignment horizontal="left"/>
    </xf>
    <xf numFmtId="0" fontId="68" fillId="34" borderId="0" xfId="0" applyFont="1" applyFill="1" applyBorder="1"/>
    <xf numFmtId="2" fontId="56" fillId="34" borderId="13" xfId="172" applyNumberFormat="1" applyFont="1" applyFill="1" applyBorder="1" applyAlignment="1">
      <alignment horizontal="center" wrapText="1"/>
    </xf>
    <xf numFmtId="2" fontId="56" fillId="34" borderId="10" xfId="172" applyNumberFormat="1" applyFont="1" applyFill="1" applyBorder="1" applyAlignment="1">
      <alignment horizontal="center" wrapText="1"/>
    </xf>
    <xf numFmtId="2" fontId="56" fillId="34" borderId="42" xfId="172" applyNumberFormat="1" applyFont="1" applyFill="1" applyBorder="1" applyAlignment="1">
      <alignment horizontal="center" wrapText="1"/>
    </xf>
    <xf numFmtId="0" fontId="70" fillId="34" borderId="0" xfId="60" applyFont="1" applyFill="1" applyBorder="1"/>
    <xf numFmtId="0" fontId="4" fillId="0" borderId="0" xfId="0" applyFont="1" applyFill="1" applyBorder="1"/>
    <xf numFmtId="0" fontId="71" fillId="0" borderId="0" xfId="48" applyFont="1" applyFill="1" applyAlignment="1">
      <alignment horizontal="center" vertical="top" wrapText="1"/>
    </xf>
    <xf numFmtId="0" fontId="72" fillId="0" borderId="0" xfId="48" applyFont="1"/>
    <xf numFmtId="0" fontId="57" fillId="0" borderId="0" xfId="44" applyFont="1" applyFill="1"/>
    <xf numFmtId="0" fontId="72" fillId="0" borderId="0" xfId="48" applyFont="1" applyFill="1"/>
    <xf numFmtId="0" fontId="73" fillId="0" borderId="0" xfId="48" applyFont="1" applyFill="1" applyAlignment="1">
      <alignment horizontal="center" vertical="top" wrapText="1"/>
    </xf>
    <xf numFmtId="0" fontId="56" fillId="0" borderId="0" xfId="44" applyFont="1" applyFill="1" applyAlignment="1">
      <alignment horizontal="left" wrapText="1"/>
    </xf>
    <xf numFmtId="0" fontId="73" fillId="32" borderId="10" xfId="47" applyFont="1" applyFill="1" applyBorder="1"/>
    <xf numFmtId="0" fontId="73" fillId="0" borderId="0" xfId="47" applyFont="1"/>
    <xf numFmtId="0" fontId="73" fillId="0" borderId="11" xfId="47" applyFont="1" applyFill="1" applyBorder="1"/>
    <xf numFmtId="2" fontId="73" fillId="38" borderId="10" xfId="47" applyNumberFormat="1" applyFont="1" applyFill="1" applyBorder="1" applyAlignment="1">
      <alignment horizontal="center"/>
    </xf>
    <xf numFmtId="0" fontId="73" fillId="0" borderId="10" xfId="47" applyFont="1" applyFill="1" applyBorder="1"/>
    <xf numFmtId="2" fontId="73" fillId="0" borderId="39" xfId="47" applyNumberFormat="1" applyFont="1" applyFill="1" applyBorder="1" applyAlignment="1">
      <alignment horizontal="center"/>
    </xf>
    <xf numFmtId="2" fontId="73" fillId="42" borderId="10" xfId="47" applyNumberFormat="1" applyFont="1" applyFill="1" applyBorder="1" applyAlignment="1">
      <alignment horizontal="center"/>
    </xf>
    <xf numFmtId="0" fontId="59" fillId="0" borderId="0" xfId="47" applyFont="1"/>
    <xf numFmtId="0" fontId="74" fillId="32" borderId="60" xfId="47" applyFont="1" applyFill="1" applyBorder="1" applyProtection="1"/>
    <xf numFmtId="0" fontId="73" fillId="32" borderId="56" xfId="47" applyFont="1" applyFill="1" applyBorder="1" applyProtection="1"/>
    <xf numFmtId="0" fontId="73" fillId="32" borderId="10" xfId="47" applyFont="1" applyFill="1" applyBorder="1" applyAlignment="1" applyProtection="1">
      <alignment horizontal="center"/>
    </xf>
    <xf numFmtId="0" fontId="56" fillId="0" borderId="54" xfId="47" applyFont="1" applyFill="1" applyBorder="1" applyProtection="1"/>
    <xf numFmtId="2" fontId="73" fillId="0" borderId="54" xfId="47" applyNumberFormat="1" applyFont="1" applyBorder="1" applyAlignment="1" applyProtection="1">
      <alignment horizontal="center"/>
    </xf>
    <xf numFmtId="2" fontId="73" fillId="0" borderId="55" xfId="47" applyNumberFormat="1" applyFont="1" applyBorder="1" applyAlignment="1" applyProtection="1">
      <alignment horizontal="center"/>
    </xf>
    <xf numFmtId="0" fontId="73" fillId="0" borderId="54" xfId="47" applyFont="1" applyBorder="1" applyAlignment="1" applyProtection="1">
      <alignment horizontal="center"/>
    </xf>
    <xf numFmtId="0" fontId="73" fillId="0" borderId="0" xfId="47" applyFont="1" applyBorder="1" applyAlignment="1" applyProtection="1">
      <alignment horizontal="center"/>
    </xf>
    <xf numFmtId="2" fontId="73" fillId="0" borderId="0" xfId="47" applyNumberFormat="1" applyFont="1" applyBorder="1" applyAlignment="1" applyProtection="1">
      <alignment horizontal="center"/>
    </xf>
    <xf numFmtId="0" fontId="56" fillId="0" borderId="56" xfId="47" applyFont="1" applyFill="1" applyBorder="1" applyProtection="1"/>
    <xf numFmtId="0" fontId="73" fillId="0" borderId="56" xfId="47" applyFont="1" applyBorder="1" applyAlignment="1" applyProtection="1">
      <alignment horizontal="center"/>
    </xf>
    <xf numFmtId="2" fontId="73" fillId="0" borderId="58" xfId="47" applyNumberFormat="1" applyFont="1" applyBorder="1" applyAlignment="1" applyProtection="1">
      <alignment horizontal="center"/>
    </xf>
    <xf numFmtId="0" fontId="73" fillId="0" borderId="57" xfId="47" applyFont="1" applyBorder="1" applyAlignment="1" applyProtection="1">
      <alignment horizontal="center"/>
    </xf>
    <xf numFmtId="0" fontId="73" fillId="0" borderId="0" xfId="47" applyFont="1" applyFill="1" applyBorder="1" applyProtection="1"/>
    <xf numFmtId="0" fontId="73" fillId="0" borderId="0" xfId="47" applyFont="1" applyBorder="1" applyProtection="1"/>
    <xf numFmtId="0" fontId="73" fillId="0" borderId="0" xfId="47" applyFont="1" applyProtection="1"/>
    <xf numFmtId="0" fontId="59" fillId="0" borderId="0" xfId="0" applyFont="1"/>
    <xf numFmtId="0" fontId="73" fillId="34" borderId="0" xfId="47" applyFont="1" applyFill="1"/>
    <xf numFmtId="0" fontId="75" fillId="0" borderId="0" xfId="47" applyFont="1"/>
    <xf numFmtId="0" fontId="74" fillId="0" borderId="0" xfId="48" applyFont="1" applyBorder="1"/>
    <xf numFmtId="0" fontId="73" fillId="0" borderId="0" xfId="48" applyFont="1" applyBorder="1"/>
    <xf numFmtId="0" fontId="56" fillId="0" borderId="0" xfId="48" applyFont="1" applyFill="1" applyAlignment="1">
      <alignment horizontal="left" vertical="top"/>
    </xf>
    <xf numFmtId="179" fontId="73" fillId="30" borderId="10" xfId="31" applyNumberFormat="1" applyFont="1" applyFill="1" applyBorder="1" applyAlignment="1">
      <alignment horizontal="center"/>
    </xf>
    <xf numFmtId="0" fontId="56" fillId="30" borderId="0" xfId="44" applyFont="1" applyFill="1" applyBorder="1" applyAlignment="1">
      <alignment horizontal="left" vertical="center"/>
    </xf>
    <xf numFmtId="3" fontId="73" fillId="0" borderId="10" xfId="48" applyNumberFormat="1" applyFont="1" applyFill="1" applyBorder="1" applyAlignment="1">
      <alignment horizontal="center"/>
    </xf>
    <xf numFmtId="0" fontId="73" fillId="0" borderId="0" xfId="48" applyFont="1"/>
    <xf numFmtId="0" fontId="73" fillId="0" borderId="0" xfId="48" applyFont="1" applyFill="1"/>
    <xf numFmtId="0" fontId="74" fillId="0" borderId="0" xfId="48" applyFont="1" applyFill="1" applyBorder="1"/>
    <xf numFmtId="0" fontId="73" fillId="0" borderId="0" xfId="48" applyFont="1" applyFill="1" applyBorder="1" applyAlignment="1">
      <alignment horizontal="center"/>
    </xf>
    <xf numFmtId="0" fontId="73" fillId="0" borderId="0" xfId="48" applyFont="1" applyAlignment="1">
      <alignment horizontal="center"/>
    </xf>
    <xf numFmtId="166" fontId="56" fillId="30" borderId="10" xfId="44" applyNumberFormat="1" applyFont="1" applyFill="1" applyBorder="1" applyAlignment="1">
      <alignment horizontal="center"/>
    </xf>
    <xf numFmtId="37" fontId="73" fillId="30" borderId="13" xfId="28" applyNumberFormat="1" applyFont="1" applyFill="1" applyBorder="1" applyAlignment="1">
      <alignment horizontal="center"/>
    </xf>
    <xf numFmtId="166" fontId="56" fillId="30" borderId="13" xfId="44" applyNumberFormat="1" applyFont="1" applyFill="1" applyBorder="1" applyAlignment="1">
      <alignment horizontal="center"/>
    </xf>
    <xf numFmtId="37" fontId="74" fillId="30" borderId="10" xfId="28" applyNumberFormat="1" applyFont="1" applyFill="1" applyBorder="1" applyAlignment="1">
      <alignment horizontal="center"/>
    </xf>
    <xf numFmtId="0" fontId="73" fillId="0" borderId="0" xfId="48" applyFont="1" applyFill="1" applyBorder="1" applyAlignment="1">
      <alignment horizontal="left"/>
    </xf>
    <xf numFmtId="37" fontId="73" fillId="30" borderId="10" xfId="28" applyNumberFormat="1" applyFont="1" applyFill="1" applyBorder="1" applyAlignment="1">
      <alignment horizontal="center"/>
    </xf>
    <xf numFmtId="7" fontId="73" fillId="30" borderId="10" xfId="31" applyNumberFormat="1" applyFont="1" applyFill="1" applyBorder="1" applyAlignment="1">
      <alignment horizontal="center"/>
    </xf>
    <xf numFmtId="37" fontId="74" fillId="30" borderId="10" xfId="30" applyNumberFormat="1" applyFont="1" applyFill="1" applyBorder="1" applyAlignment="1">
      <alignment horizontal="center"/>
    </xf>
    <xf numFmtId="7" fontId="74" fillId="30" borderId="10" xfId="31" applyNumberFormat="1" applyFont="1" applyFill="1" applyBorder="1" applyAlignment="1">
      <alignment horizontal="center"/>
    </xf>
    <xf numFmtId="0" fontId="74" fillId="32" borderId="11" xfId="48" applyFont="1" applyFill="1" applyBorder="1"/>
    <xf numFmtId="0" fontId="74" fillId="32" borderId="10" xfId="48" applyFont="1" applyFill="1" applyBorder="1"/>
    <xf numFmtId="0" fontId="74" fillId="32" borderId="10" xfId="44" applyFont="1" applyFill="1" applyBorder="1" applyAlignment="1">
      <alignment horizontal="center"/>
    </xf>
    <xf numFmtId="0" fontId="74" fillId="32" borderId="13" xfId="48" applyFont="1" applyFill="1" applyBorder="1" applyAlignment="1">
      <alignment horizontal="center"/>
    </xf>
    <xf numFmtId="0" fontId="74" fillId="32" borderId="59" xfId="48" applyFont="1" applyFill="1" applyBorder="1" applyAlignment="1">
      <alignment horizontal="center"/>
    </xf>
    <xf numFmtId="0" fontId="74" fillId="32" borderId="10" xfId="48" applyFont="1" applyFill="1" applyBorder="1" applyAlignment="1">
      <alignment horizontal="center"/>
    </xf>
    <xf numFmtId="0" fontId="74" fillId="34" borderId="10" xfId="48" applyFont="1" applyFill="1" applyBorder="1"/>
    <xf numFmtId="0" fontId="73" fillId="34" borderId="10" xfId="48" applyFont="1" applyFill="1" applyBorder="1" applyAlignment="1">
      <alignment horizontal="left"/>
    </xf>
    <xf numFmtId="0" fontId="73" fillId="34" borderId="11" xfId="48" applyFont="1" applyFill="1" applyBorder="1" applyAlignment="1">
      <alignment horizontal="left"/>
    </xf>
    <xf numFmtId="0" fontId="74" fillId="34" borderId="10" xfId="48" applyFont="1" applyFill="1" applyBorder="1" applyAlignment="1">
      <alignment horizontal="left"/>
    </xf>
    <xf numFmtId="0" fontId="73" fillId="34" borderId="10" xfId="48" applyFont="1" applyFill="1" applyBorder="1"/>
    <xf numFmtId="0" fontId="73" fillId="34" borderId="0" xfId="48" applyFont="1" applyFill="1"/>
    <xf numFmtId="0" fontId="73" fillId="38" borderId="10" xfId="48" applyFont="1" applyFill="1" applyBorder="1" applyAlignment="1">
      <alignment horizontal="center"/>
    </xf>
    <xf numFmtId="0" fontId="56" fillId="0" borderId="0" xfId="0" applyFont="1"/>
    <xf numFmtId="0" fontId="56" fillId="31" borderId="0" xfId="0" applyFont="1" applyFill="1"/>
    <xf numFmtId="0" fontId="77" fillId="0" borderId="0" xfId="0" applyFont="1"/>
    <xf numFmtId="0" fontId="56" fillId="24" borderId="0" xfId="0" applyFont="1" applyFill="1"/>
    <xf numFmtId="0" fontId="56" fillId="0" borderId="10" xfId="0" applyFont="1" applyBorder="1"/>
    <xf numFmtId="166" fontId="56" fillId="0" borderId="10" xfId="0" applyNumberFormat="1" applyFont="1" applyBorder="1"/>
    <xf numFmtId="166" fontId="56" fillId="0" borderId="10" xfId="0" applyNumberFormat="1" applyFont="1" applyFill="1" applyBorder="1"/>
    <xf numFmtId="0" fontId="56" fillId="0" borderId="13" xfId="0" applyFont="1" applyBorder="1"/>
    <xf numFmtId="0" fontId="56" fillId="0" borderId="10" xfId="0" applyFont="1" applyFill="1" applyBorder="1"/>
    <xf numFmtId="1" fontId="56" fillId="0" borderId="39" xfId="0" applyNumberFormat="1" applyFont="1" applyBorder="1"/>
    <xf numFmtId="0" fontId="79" fillId="0" borderId="0" xfId="0" applyFont="1"/>
    <xf numFmtId="1" fontId="56" fillId="0" borderId="0" xfId="0" applyNumberFormat="1" applyFont="1"/>
    <xf numFmtId="43" fontId="79" fillId="0" borderId="0" xfId="0" applyNumberFormat="1" applyFont="1"/>
    <xf numFmtId="0" fontId="78" fillId="0" borderId="0" xfId="0" applyFont="1"/>
    <xf numFmtId="174" fontId="56" fillId="0" borderId="10" xfId="28" applyNumberFormat="1" applyFont="1" applyBorder="1"/>
    <xf numFmtId="43" fontId="56" fillId="0" borderId="10" xfId="0" applyNumberFormat="1" applyFont="1" applyBorder="1"/>
    <xf numFmtId="174" fontId="56" fillId="0" borderId="0" xfId="28" applyNumberFormat="1" applyFont="1"/>
    <xf numFmtId="0" fontId="56" fillId="0" borderId="54" xfId="0" applyFont="1" applyBorder="1"/>
    <xf numFmtId="0" fontId="56" fillId="0" borderId="0" xfId="0" applyFont="1" applyFill="1"/>
    <xf numFmtId="0" fontId="56" fillId="0" borderId="18" xfId="0" applyFont="1" applyFill="1" applyBorder="1"/>
    <xf numFmtId="174" fontId="56" fillId="0" borderId="10" xfId="0" applyNumberFormat="1" applyFont="1" applyFill="1" applyBorder="1"/>
    <xf numFmtId="0" fontId="56" fillId="0" borderId="0" xfId="0" applyFont="1" applyAlignment="1">
      <alignment horizontal="center"/>
    </xf>
    <xf numFmtId="174" fontId="56" fillId="0" borderId="0" xfId="0" applyNumberFormat="1" applyFont="1"/>
    <xf numFmtId="0" fontId="58" fillId="0" borderId="0" xfId="0" applyFont="1"/>
    <xf numFmtId="0" fontId="56" fillId="34" borderId="0" xfId="0" applyFont="1" applyFill="1"/>
    <xf numFmtId="0" fontId="56" fillId="38" borderId="10" xfId="0" applyFont="1" applyFill="1" applyBorder="1" applyAlignment="1">
      <alignment horizontal="center"/>
    </xf>
    <xf numFmtId="0" fontId="56" fillId="42" borderId="10" xfId="0" applyFont="1" applyFill="1" applyBorder="1"/>
    <xf numFmtId="0" fontId="59" fillId="32" borderId="10" xfId="0" applyFont="1" applyFill="1" applyBorder="1"/>
    <xf numFmtId="0" fontId="56" fillId="32" borderId="11" xfId="0" applyFont="1" applyFill="1" applyBorder="1" applyAlignment="1"/>
    <xf numFmtId="0" fontId="56" fillId="32" borderId="13" xfId="0" applyFont="1" applyFill="1" applyBorder="1" applyAlignment="1"/>
    <xf numFmtId="0" fontId="56" fillId="32" borderId="10" xfId="0" applyFont="1" applyFill="1" applyBorder="1"/>
    <xf numFmtId="0" fontId="56" fillId="0" borderId="10" xfId="0" applyFont="1" applyFill="1" applyBorder="1" applyAlignment="1">
      <alignment horizontal="center"/>
    </xf>
    <xf numFmtId="166" fontId="56" fillId="0" borderId="10" xfId="0" applyNumberFormat="1" applyFont="1" applyBorder="1" applyAlignment="1">
      <alignment horizontal="center"/>
    </xf>
    <xf numFmtId="166" fontId="56" fillId="42" borderId="10" xfId="0" applyNumberFormat="1" applyFont="1" applyFill="1" applyBorder="1" applyAlignment="1">
      <alignment horizontal="center"/>
    </xf>
    <xf numFmtId="0" fontId="56" fillId="0" borderId="10" xfId="0" applyFont="1" applyBorder="1" applyAlignment="1">
      <alignment horizontal="center"/>
    </xf>
    <xf numFmtId="0" fontId="56" fillId="0" borderId="62" xfId="0" applyFont="1" applyBorder="1"/>
    <xf numFmtId="1" fontId="59" fillId="0" borderId="0" xfId="0" applyNumberFormat="1" applyFont="1"/>
    <xf numFmtId="0" fontId="59" fillId="0" borderId="0" xfId="0" applyFont="1" applyFill="1"/>
    <xf numFmtId="0" fontId="73" fillId="32" borderId="59" xfId="0" applyFont="1" applyFill="1" applyBorder="1" applyAlignment="1">
      <alignment horizontal="center"/>
    </xf>
    <xf numFmtId="0" fontId="56" fillId="0" borderId="11" xfId="0" applyFont="1" applyBorder="1"/>
    <xf numFmtId="0" fontId="56" fillId="38" borderId="10" xfId="0" applyFont="1" applyFill="1" applyBorder="1"/>
    <xf numFmtId="0" fontId="73" fillId="34" borderId="10" xfId="48" applyFont="1" applyFill="1" applyBorder="1" applyAlignment="1">
      <alignment horizontal="center"/>
    </xf>
    <xf numFmtId="1" fontId="56" fillId="0" borderId="10" xfId="0" applyNumberFormat="1" applyFont="1" applyBorder="1"/>
    <xf numFmtId="0" fontId="56" fillId="32" borderId="10" xfId="0" applyFont="1" applyFill="1" applyBorder="1" applyAlignment="1">
      <alignment horizontal="center"/>
    </xf>
    <xf numFmtId="0" fontId="56" fillId="0" borderId="0" xfId="0" applyFont="1" applyAlignment="1">
      <alignment wrapText="1"/>
    </xf>
    <xf numFmtId="0" fontId="56" fillId="0" borderId="10" xfId="0" applyFont="1" applyFill="1" applyBorder="1" applyAlignment="1">
      <alignment wrapText="1"/>
    </xf>
    <xf numFmtId="3" fontId="56" fillId="38" borderId="10" xfId="0" applyNumberFormat="1" applyFont="1" applyFill="1" applyBorder="1" applyAlignment="1" applyProtection="1">
      <alignment horizontal="center" vertical="center" wrapText="1"/>
      <protection locked="0"/>
    </xf>
    <xf numFmtId="0" fontId="59" fillId="32" borderId="10" xfId="0" applyFont="1" applyFill="1" applyBorder="1" applyAlignment="1">
      <alignment horizontal="center" vertical="center" wrapText="1"/>
    </xf>
    <xf numFmtId="0" fontId="59" fillId="0" borderId="0" xfId="0" applyFont="1" applyFill="1" applyBorder="1" applyAlignment="1">
      <alignment horizontal="center" vertical="center" wrapText="1"/>
    </xf>
    <xf numFmtId="0" fontId="56" fillId="0" borderId="0" xfId="0" applyFont="1" applyFill="1" applyBorder="1" applyAlignment="1">
      <alignment horizontal="center" vertical="center" wrapText="1"/>
    </xf>
    <xf numFmtId="3" fontId="77" fillId="0" borderId="0" xfId="0" applyNumberFormat="1" applyFont="1" applyFill="1" applyBorder="1" applyAlignment="1">
      <alignment vertical="center"/>
    </xf>
    <xf numFmtId="3" fontId="56" fillId="38" borderId="10" xfId="0" applyNumberFormat="1" applyFont="1" applyFill="1" applyBorder="1" applyAlignment="1">
      <alignment horizontal="center" vertical="center" wrapText="1"/>
    </xf>
    <xf numFmtId="0" fontId="56" fillId="0" borderId="0" xfId="0" applyFont="1" applyFill="1" applyBorder="1" applyAlignment="1">
      <alignment horizontal="center" wrapText="1"/>
    </xf>
    <xf numFmtId="3" fontId="56" fillId="0" borderId="0" xfId="0" applyNumberFormat="1" applyFont="1" applyFill="1" applyBorder="1" applyAlignment="1">
      <alignment vertical="center"/>
    </xf>
    <xf numFmtId="3" fontId="59" fillId="0" borderId="0" xfId="0" applyNumberFormat="1" applyFont="1" applyFill="1" applyBorder="1" applyAlignment="1">
      <alignment wrapText="1"/>
    </xf>
    <xf numFmtId="0" fontId="56" fillId="38" borderId="10" xfId="0" applyFont="1" applyFill="1" applyBorder="1" applyAlignment="1" applyProtection="1">
      <alignment horizontal="center"/>
      <protection locked="0"/>
    </xf>
    <xf numFmtId="0" fontId="56" fillId="0" borderId="0" xfId="0" applyFont="1" applyAlignment="1">
      <alignment horizontal="left"/>
    </xf>
    <xf numFmtId="0" fontId="82" fillId="26" borderId="16" xfId="0" applyFont="1" applyFill="1" applyBorder="1"/>
    <xf numFmtId="0" fontId="56" fillId="0" borderId="17" xfId="0" applyFont="1" applyBorder="1"/>
    <xf numFmtId="0" fontId="56" fillId="0" borderId="20" xfId="0" applyFont="1" applyBorder="1"/>
    <xf numFmtId="0" fontId="56" fillId="0" borderId="19" xfId="0" applyFont="1" applyBorder="1"/>
    <xf numFmtId="0" fontId="82" fillId="26" borderId="15" xfId="0" applyFont="1" applyFill="1" applyBorder="1"/>
    <xf numFmtId="0" fontId="82" fillId="26" borderId="18" xfId="0" applyFont="1" applyFill="1" applyBorder="1" applyAlignment="1">
      <alignment horizontal="center"/>
    </xf>
    <xf numFmtId="0" fontId="82" fillId="26" borderId="20" xfId="0" applyFont="1" applyFill="1" applyBorder="1" applyAlignment="1">
      <alignment horizontal="center"/>
    </xf>
    <xf numFmtId="3" fontId="56" fillId="0" borderId="18" xfId="0" applyNumberFormat="1" applyFont="1" applyFill="1" applyBorder="1"/>
    <xf numFmtId="0" fontId="82" fillId="26" borderId="23" xfId="0" applyFont="1" applyFill="1" applyBorder="1" applyAlignment="1">
      <alignment horizontal="center"/>
    </xf>
    <xf numFmtId="3" fontId="56" fillId="0" borderId="16" xfId="0" applyNumberFormat="1" applyFont="1" applyFill="1" applyBorder="1"/>
    <xf numFmtId="0" fontId="56" fillId="34" borderId="0" xfId="0" applyFont="1" applyFill="1" applyBorder="1"/>
    <xf numFmtId="0" fontId="56" fillId="0" borderId="16" xfId="0" applyFont="1" applyBorder="1"/>
    <xf numFmtId="0" fontId="83" fillId="0" borderId="16" xfId="0" applyFont="1" applyFill="1" applyBorder="1"/>
    <xf numFmtId="2" fontId="56" fillId="0" borderId="10" xfId="0" applyNumberFormat="1" applyFont="1" applyFill="1" applyBorder="1"/>
    <xf numFmtId="0" fontId="56" fillId="0" borderId="10" xfId="0" applyFont="1" applyFill="1" applyBorder="1" applyAlignment="1">
      <alignment vertical="top" wrapText="1"/>
    </xf>
    <xf numFmtId="0" fontId="82" fillId="26" borderId="14" xfId="0" applyFont="1" applyFill="1" applyBorder="1"/>
    <xf numFmtId="0" fontId="56" fillId="0" borderId="14" xfId="0" applyFont="1" applyBorder="1"/>
    <xf numFmtId="3" fontId="56" fillId="0" borderId="15" xfId="0" applyNumberFormat="1" applyFont="1" applyFill="1" applyBorder="1"/>
    <xf numFmtId="3" fontId="56" fillId="0" borderId="31" xfId="0" applyNumberFormat="1" applyFont="1" applyFill="1" applyBorder="1"/>
    <xf numFmtId="0" fontId="56" fillId="0" borderId="16" xfId="0" applyFont="1" applyFill="1" applyBorder="1"/>
    <xf numFmtId="3" fontId="56" fillId="0" borderId="18" xfId="0" applyNumberFormat="1" applyFont="1" applyBorder="1"/>
    <xf numFmtId="180" fontId="56" fillId="34" borderId="15" xfId="0" applyNumberFormat="1" applyFont="1" applyFill="1" applyBorder="1" applyProtection="1">
      <protection locked="0"/>
    </xf>
    <xf numFmtId="8" fontId="56" fillId="34" borderId="15" xfId="0" applyNumberFormat="1" applyFont="1" applyFill="1" applyBorder="1" applyProtection="1">
      <protection locked="0"/>
    </xf>
    <xf numFmtId="0" fontId="82" fillId="26" borderId="22" xfId="0" applyFont="1" applyFill="1" applyBorder="1"/>
    <xf numFmtId="0" fontId="82" fillId="26" borderId="24" xfId="0" applyFont="1" applyFill="1" applyBorder="1" applyAlignment="1">
      <alignment horizontal="center"/>
    </xf>
    <xf numFmtId="3" fontId="56" fillId="0" borderId="18" xfId="0" applyNumberFormat="1" applyFont="1" applyFill="1" applyBorder="1" applyProtection="1">
      <protection locked="0"/>
    </xf>
    <xf numFmtId="3" fontId="56" fillId="0" borderId="20" xfId="0" applyNumberFormat="1" applyFont="1" applyFill="1" applyBorder="1" applyProtection="1">
      <protection locked="0"/>
    </xf>
    <xf numFmtId="164" fontId="56" fillId="0" borderId="18" xfId="0" applyNumberFormat="1" applyFont="1" applyBorder="1" applyProtection="1">
      <protection locked="0"/>
    </xf>
    <xf numFmtId="164" fontId="56" fillId="0" borderId="20" xfId="0" applyNumberFormat="1" applyFont="1" applyBorder="1" applyProtection="1">
      <protection locked="0"/>
    </xf>
    <xf numFmtId="10" fontId="56" fillId="0" borderId="18" xfId="0" applyNumberFormat="1" applyFont="1" applyBorder="1" applyProtection="1">
      <protection locked="0"/>
    </xf>
    <xf numFmtId="10" fontId="56" fillId="0" borderId="20" xfId="0" applyNumberFormat="1" applyFont="1" applyBorder="1" applyProtection="1">
      <protection locked="0"/>
    </xf>
    <xf numFmtId="164" fontId="56" fillId="0" borderId="18" xfId="0" applyNumberFormat="1" applyFont="1" applyFill="1" applyBorder="1" applyProtection="1">
      <protection locked="0"/>
    </xf>
    <xf numFmtId="174" fontId="56" fillId="0" borderId="18" xfId="28" applyNumberFormat="1" applyFont="1" applyFill="1" applyBorder="1" applyProtection="1">
      <protection locked="0"/>
    </xf>
    <xf numFmtId="164" fontId="56" fillId="0" borderId="20" xfId="0" applyNumberFormat="1" applyFont="1" applyFill="1" applyBorder="1" applyProtection="1">
      <protection locked="0"/>
    </xf>
    <xf numFmtId="10" fontId="76" fillId="0" borderId="20" xfId="0" applyNumberFormat="1" applyFont="1" applyBorder="1" applyProtection="1">
      <protection locked="0"/>
    </xf>
    <xf numFmtId="43" fontId="56" fillId="0" borderId="0" xfId="0" applyNumberFormat="1" applyFont="1"/>
    <xf numFmtId="2" fontId="56" fillId="38" borderId="18" xfId="0" applyNumberFormat="1" applyFont="1" applyFill="1" applyBorder="1" applyProtection="1">
      <protection locked="0"/>
    </xf>
    <xf numFmtId="3" fontId="56" fillId="34" borderId="10" xfId="0" applyNumberFormat="1" applyFont="1" applyFill="1" applyBorder="1" applyAlignment="1" applyProtection="1">
      <alignment horizontal="center" vertical="center" wrapText="1"/>
      <protection locked="0"/>
    </xf>
    <xf numFmtId="0" fontId="85" fillId="0" borderId="10" xfId="0" applyFont="1" applyFill="1" applyBorder="1"/>
    <xf numFmtId="3" fontId="85" fillId="34" borderId="10" xfId="0" applyNumberFormat="1" applyFont="1" applyFill="1" applyBorder="1" applyAlignment="1" applyProtection="1">
      <alignment horizontal="center" vertical="center" wrapText="1"/>
      <protection locked="0"/>
    </xf>
    <xf numFmtId="0" fontId="86" fillId="0" borderId="59" xfId="0" applyFont="1" applyBorder="1"/>
    <xf numFmtId="3" fontId="56" fillId="0" borderId="10" xfId="0" applyNumberFormat="1" applyFont="1" applyFill="1" applyBorder="1" applyProtection="1">
      <protection locked="0"/>
    </xf>
    <xf numFmtId="0" fontId="80" fillId="30" borderId="0" xfId="0" applyFont="1" applyFill="1" applyAlignment="1" applyProtection="1">
      <alignment wrapText="1"/>
    </xf>
    <xf numFmtId="0" fontId="56" fillId="30" borderId="0" xfId="0" applyFont="1" applyFill="1" applyAlignment="1" applyProtection="1"/>
    <xf numFmtId="0" fontId="56" fillId="30" borderId="0" xfId="0" applyFont="1" applyFill="1" applyAlignment="1" applyProtection="1">
      <alignment horizontal="right" vertical="top" wrapText="1"/>
    </xf>
    <xf numFmtId="0" fontId="56" fillId="30" borderId="27" xfId="0" applyFont="1" applyFill="1" applyBorder="1" applyAlignment="1" applyProtection="1">
      <alignment horizontal="justify" wrapText="1"/>
    </xf>
    <xf numFmtId="0" fontId="56" fillId="30" borderId="28" xfId="0" applyFont="1" applyFill="1" applyBorder="1" applyAlignment="1" applyProtection="1">
      <alignment horizontal="justify" wrapText="1"/>
    </xf>
    <xf numFmtId="0" fontId="56" fillId="30" borderId="27" xfId="0" applyFont="1" applyFill="1" applyBorder="1" applyAlignment="1" applyProtection="1"/>
    <xf numFmtId="0" fontId="56" fillId="30" borderId="28" xfId="0" applyFont="1" applyFill="1" applyBorder="1" applyAlignment="1" applyProtection="1">
      <alignment wrapText="1"/>
    </xf>
    <xf numFmtId="0" fontId="56" fillId="30" borderId="42" xfId="0" applyFont="1" applyFill="1" applyBorder="1" applyAlignment="1" applyProtection="1">
      <alignment wrapText="1"/>
    </xf>
    <xf numFmtId="0" fontId="56" fillId="0" borderId="0" xfId="0" applyFont="1" applyProtection="1"/>
    <xf numFmtId="0" fontId="56" fillId="30" borderId="28" xfId="0" applyFont="1" applyFill="1" applyBorder="1" applyAlignment="1" applyProtection="1">
      <alignment horizontal="right" vertical="top" wrapText="1"/>
    </xf>
    <xf numFmtId="0" fontId="56" fillId="30" borderId="17" xfId="0" applyFont="1" applyFill="1" applyBorder="1" applyAlignment="1" applyProtection="1"/>
    <xf numFmtId="0" fontId="56" fillId="30" borderId="21" xfId="0" applyFont="1" applyFill="1" applyBorder="1" applyAlignment="1" applyProtection="1">
      <alignment wrapText="1"/>
    </xf>
    <xf numFmtId="0" fontId="56" fillId="38" borderId="0" xfId="0" applyFont="1" applyFill="1"/>
    <xf numFmtId="0" fontId="56" fillId="42" borderId="0" xfId="0" applyFont="1" applyFill="1"/>
    <xf numFmtId="166" fontId="56" fillId="0" borderId="10" xfId="0" applyNumberFormat="1" applyFont="1" applyFill="1" applyBorder="1" applyAlignment="1">
      <alignment horizontal="center"/>
    </xf>
    <xf numFmtId="2" fontId="56" fillId="42" borderId="10" xfId="0" applyNumberFormat="1" applyFont="1" applyFill="1" applyBorder="1" applyAlignment="1">
      <alignment horizontal="center"/>
    </xf>
    <xf numFmtId="0" fontId="56" fillId="0" borderId="11" xfId="0" applyFont="1" applyFill="1" applyBorder="1"/>
    <xf numFmtId="0" fontId="56" fillId="0" borderId="0" xfId="0" applyFont="1" applyFill="1" applyAlignment="1">
      <alignment wrapText="1"/>
    </xf>
    <xf numFmtId="0" fontId="56" fillId="0" borderId="0" xfId="0" applyFont="1" applyAlignment="1">
      <alignment wrapText="1" shrinkToFit="1"/>
    </xf>
    <xf numFmtId="0" fontId="74" fillId="0" borderId="10" xfId="0" applyFont="1" applyBorder="1"/>
    <xf numFmtId="0" fontId="56" fillId="0" borderId="0" xfId="0" quotePrefix="1" applyFont="1"/>
    <xf numFmtId="0" fontId="56" fillId="0" borderId="11" xfId="0" applyFont="1" applyBorder="1" applyAlignment="1">
      <alignment vertical="top" wrapText="1"/>
    </xf>
    <xf numFmtId="0" fontId="56" fillId="0" borderId="10" xfId="0" applyFont="1" applyBorder="1" applyAlignment="1">
      <alignment vertical="top" wrapText="1"/>
    </xf>
    <xf numFmtId="0" fontId="56" fillId="0" borderId="39" xfId="0" applyFont="1" applyBorder="1" applyAlignment="1">
      <alignment vertical="top" wrapText="1"/>
    </xf>
    <xf numFmtId="1" fontId="56" fillId="0" borderId="39" xfId="0" applyNumberFormat="1" applyFont="1" applyBorder="1" applyAlignment="1">
      <alignment vertical="top" wrapText="1"/>
    </xf>
    <xf numFmtId="168" fontId="56" fillId="42" borderId="10" xfId="0" applyNumberFormat="1" applyFont="1" applyFill="1" applyBorder="1" applyAlignment="1">
      <alignment vertical="top" wrapText="1"/>
    </xf>
    <xf numFmtId="1" fontId="56" fillId="0" borderId="10" xfId="0" applyNumberFormat="1" applyFont="1" applyFill="1" applyBorder="1" applyAlignment="1">
      <alignment vertical="top" wrapText="1"/>
    </xf>
    <xf numFmtId="1" fontId="56" fillId="0" borderId="10" xfId="0" applyNumberFormat="1" applyFont="1" applyBorder="1" applyAlignment="1">
      <alignment vertical="top" wrapText="1"/>
    </xf>
    <xf numFmtId="2" fontId="56" fillId="42" borderId="10" xfId="0" applyNumberFormat="1" applyFont="1" applyFill="1" applyBorder="1" applyAlignment="1">
      <alignment vertical="top" wrapText="1"/>
    </xf>
    <xf numFmtId="2" fontId="56" fillId="0" borderId="10" xfId="0" applyNumberFormat="1" applyFont="1" applyBorder="1"/>
    <xf numFmtId="2" fontId="56" fillId="42" borderId="10" xfId="0" applyNumberFormat="1" applyFont="1" applyFill="1" applyBorder="1"/>
    <xf numFmtId="166" fontId="56" fillId="42" borderId="10" xfId="0" applyNumberFormat="1" applyFont="1" applyFill="1" applyBorder="1"/>
    <xf numFmtId="0" fontId="56" fillId="0" borderId="59" xfId="0" applyFont="1" applyFill="1" applyBorder="1"/>
    <xf numFmtId="0" fontId="56" fillId="42" borderId="10" xfId="0" applyFont="1" applyFill="1" applyBorder="1" applyAlignment="1">
      <alignment vertical="top" wrapText="1"/>
    </xf>
    <xf numFmtId="0" fontId="56" fillId="0" borderId="0" xfId="0" applyFont="1" applyFill="1" applyAlignment="1">
      <alignment horizontal="right"/>
    </xf>
    <xf numFmtId="166" fontId="56" fillId="0" borderId="0" xfId="0" applyNumberFormat="1" applyFont="1" applyFill="1"/>
    <xf numFmtId="0" fontId="56" fillId="0" borderId="0" xfId="0" applyFont="1" applyFill="1" applyAlignment="1"/>
    <xf numFmtId="0" fontId="56" fillId="42" borderId="11" xfId="0" applyFont="1" applyFill="1" applyBorder="1"/>
    <xf numFmtId="0" fontId="56" fillId="34" borderId="10" xfId="0" applyFont="1" applyFill="1" applyBorder="1" applyAlignment="1">
      <alignment vertical="top" wrapText="1"/>
    </xf>
    <xf numFmtId="0" fontId="56" fillId="0" borderId="0" xfId="0" applyFont="1" applyFill="1" applyAlignment="1">
      <alignment horizontal="left"/>
    </xf>
    <xf numFmtId="0" fontId="87" fillId="0" borderId="0" xfId="39" applyFont="1" applyAlignment="1">
      <alignment horizontal="left"/>
    </xf>
    <xf numFmtId="0" fontId="56" fillId="34" borderId="61" xfId="0" applyFont="1" applyFill="1" applyBorder="1"/>
    <xf numFmtId="0" fontId="56" fillId="34" borderId="54" xfId="0" applyFont="1" applyFill="1" applyBorder="1"/>
    <xf numFmtId="0" fontId="56" fillId="0" borderId="0" xfId="0" applyFont="1" applyAlignment="1">
      <alignment vertical="top"/>
    </xf>
    <xf numFmtId="0" fontId="56" fillId="0" borderId="0" xfId="0" applyFont="1" applyFill="1" applyAlignment="1">
      <alignment vertical="top"/>
    </xf>
    <xf numFmtId="0" fontId="79" fillId="0" borderId="0" xfId="0" applyFont="1" applyFill="1" applyBorder="1"/>
    <xf numFmtId="0" fontId="56" fillId="0" borderId="0" xfId="0" applyFont="1" applyFill="1" applyAlignment="1">
      <alignment horizontal="center"/>
    </xf>
    <xf numFmtId="0" fontId="56" fillId="30" borderId="0" xfId="0" applyFont="1" applyFill="1"/>
    <xf numFmtId="0" fontId="59" fillId="0" borderId="10" xfId="0" applyFont="1" applyBorder="1" applyAlignment="1">
      <alignment horizontal="center"/>
    </xf>
    <xf numFmtId="2" fontId="56" fillId="0" borderId="0" xfId="0" applyNumberFormat="1" applyFont="1" applyAlignment="1">
      <alignment horizontal="center"/>
    </xf>
    <xf numFmtId="0" fontId="56" fillId="0" borderId="0" xfId="0" applyFont="1" applyAlignment="1" applyProtection="1">
      <alignment horizontal="left"/>
    </xf>
    <xf numFmtId="0" fontId="56" fillId="36" borderId="0" xfId="0" applyFont="1" applyFill="1" applyProtection="1"/>
    <xf numFmtId="0" fontId="56" fillId="0" borderId="0" xfId="0" applyFont="1" applyFill="1" applyProtection="1"/>
    <xf numFmtId="0" fontId="56" fillId="24" borderId="0" xfId="0" applyFont="1" applyFill="1" applyProtection="1"/>
    <xf numFmtId="0" fontId="88" fillId="0" borderId="0" xfId="0" applyFont="1" applyBorder="1" applyAlignment="1">
      <alignment horizontal="left"/>
    </xf>
    <xf numFmtId="0" fontId="59" fillId="0" borderId="0" xfId="0" applyFont="1" applyFill="1" applyBorder="1" applyAlignment="1">
      <alignment wrapText="1"/>
    </xf>
    <xf numFmtId="167" fontId="56" fillId="0" borderId="10" xfId="0" applyNumberFormat="1" applyFont="1" applyFill="1" applyBorder="1" applyProtection="1"/>
    <xf numFmtId="167" fontId="56" fillId="0" borderId="10" xfId="0" applyNumberFormat="1" applyFont="1" applyFill="1" applyBorder="1" applyAlignment="1" applyProtection="1">
      <alignment horizontal="center"/>
    </xf>
    <xf numFmtId="2" fontId="56" fillId="0" borderId="0" xfId="0" applyNumberFormat="1" applyFont="1" applyFill="1" applyBorder="1"/>
    <xf numFmtId="166" fontId="56" fillId="0" borderId="0" xfId="0" applyNumberFormat="1" applyFont="1"/>
    <xf numFmtId="2" fontId="56" fillId="0" borderId="0" xfId="0" applyNumberFormat="1" applyFont="1"/>
    <xf numFmtId="165" fontId="56" fillId="0" borderId="0" xfId="0" applyNumberFormat="1" applyFont="1"/>
    <xf numFmtId="0" fontId="59" fillId="0" borderId="54" xfId="0" applyFont="1" applyBorder="1" applyAlignment="1">
      <alignment horizontal="centerContinuous"/>
    </xf>
    <xf numFmtId="0" fontId="56" fillId="0" borderId="0" xfId="0" applyFont="1" applyBorder="1" applyAlignment="1">
      <alignment horizontal="centerContinuous"/>
    </xf>
    <xf numFmtId="0" fontId="56" fillId="0" borderId="0" xfId="0" applyFont="1" applyBorder="1" applyAlignment="1"/>
    <xf numFmtId="0" fontId="59" fillId="25" borderId="10" xfId="0" applyFont="1" applyFill="1" applyBorder="1"/>
    <xf numFmtId="0" fontId="56" fillId="25" borderId="10" xfId="0" applyFont="1" applyFill="1" applyBorder="1"/>
    <xf numFmtId="0" fontId="56" fillId="38" borderId="10" xfId="0" applyFont="1" applyFill="1" applyBorder="1" applyProtection="1">
      <protection locked="0"/>
    </xf>
    <xf numFmtId="167" fontId="56" fillId="38" borderId="10" xfId="0" applyNumberFormat="1" applyFont="1" applyFill="1" applyBorder="1" applyProtection="1">
      <protection locked="0"/>
    </xf>
    <xf numFmtId="0" fontId="59" fillId="32" borderId="59" xfId="0" applyFont="1" applyFill="1" applyBorder="1" applyAlignment="1" applyProtection="1">
      <alignment horizontal="center" wrapText="1"/>
    </xf>
    <xf numFmtId="0" fontId="78" fillId="0" borderId="0" xfId="0" applyFont="1" applyFill="1" applyBorder="1"/>
    <xf numFmtId="166" fontId="56" fillId="0" borderId="39" xfId="0" applyNumberFormat="1" applyFont="1" applyFill="1" applyBorder="1" applyAlignment="1">
      <alignment horizontal="right"/>
    </xf>
    <xf numFmtId="167" fontId="56" fillId="0" borderId="10" xfId="0" applyNumberFormat="1" applyFont="1" applyFill="1" applyBorder="1"/>
    <xf numFmtId="0" fontId="56" fillId="38" borderId="0" xfId="0" applyFont="1" applyFill="1" applyProtection="1"/>
    <xf numFmtId="0" fontId="56" fillId="34" borderId="0" xfId="0" applyFont="1" applyFill="1" applyProtection="1"/>
    <xf numFmtId="0" fontId="77" fillId="34" borderId="0" xfId="0" applyFont="1" applyFill="1" applyProtection="1"/>
    <xf numFmtId="0" fontId="56" fillId="43" borderId="0" xfId="0" applyFont="1" applyFill="1" applyProtection="1"/>
    <xf numFmtId="0" fontId="59" fillId="0" borderId="0" xfId="0" applyFont="1" applyProtection="1"/>
    <xf numFmtId="0" fontId="79" fillId="0" borderId="0" xfId="0" applyFont="1" applyAlignment="1" applyProtection="1">
      <alignment horizontal="left"/>
    </xf>
    <xf numFmtId="0" fontId="79" fillId="0" borderId="0" xfId="0" applyFont="1" applyProtection="1"/>
    <xf numFmtId="0" fontId="56" fillId="0" borderId="0" xfId="0" applyFont="1" applyAlignment="1" applyProtection="1">
      <alignment horizontal="center"/>
    </xf>
    <xf numFmtId="0" fontId="56" fillId="0" borderId="10" xfId="0" applyFont="1" applyBorder="1" applyProtection="1"/>
    <xf numFmtId="0" fontId="56" fillId="0" borderId="0" xfId="0" applyFont="1" applyFill="1" applyAlignment="1" applyProtection="1">
      <alignment horizontal="center"/>
    </xf>
    <xf numFmtId="0" fontId="56" fillId="0" borderId="0" xfId="0" applyFont="1" applyFill="1" applyBorder="1" applyAlignment="1" applyProtection="1">
      <alignment horizontal="center"/>
    </xf>
    <xf numFmtId="0" fontId="56" fillId="0" borderId="0" xfId="0" applyFont="1" applyBorder="1" applyProtection="1"/>
    <xf numFmtId="0" fontId="56" fillId="0" borderId="10" xfId="0" applyFont="1" applyBorder="1" applyAlignment="1" applyProtection="1">
      <alignment horizontal="center"/>
    </xf>
    <xf numFmtId="0" fontId="56" fillId="0" borderId="10" xfId="0" applyFont="1" applyBorder="1" applyAlignment="1" applyProtection="1">
      <alignment horizontal="center" vertical="center" wrapText="1"/>
    </xf>
    <xf numFmtId="1" fontId="56" fillId="0" borderId="10" xfId="0" applyNumberFormat="1" applyFont="1" applyBorder="1" applyAlignment="1" applyProtection="1">
      <alignment horizontal="center"/>
    </xf>
    <xf numFmtId="0" fontId="79" fillId="0" borderId="0" xfId="0" applyFont="1" applyAlignment="1">
      <alignment horizontal="left"/>
    </xf>
    <xf numFmtId="0" fontId="56" fillId="0" borderId="10" xfId="0" applyFont="1" applyFill="1" applyBorder="1" applyProtection="1"/>
    <xf numFmtId="0" fontId="56" fillId="32" borderId="10" xfId="0" applyFont="1" applyFill="1" applyBorder="1" applyAlignment="1" applyProtection="1">
      <alignment horizontal="center"/>
    </xf>
    <xf numFmtId="0" fontId="56" fillId="32" borderId="10" xfId="0" applyFont="1" applyFill="1" applyBorder="1" applyAlignment="1" applyProtection="1">
      <alignment horizontal="center" vertical="center" wrapText="1"/>
    </xf>
    <xf numFmtId="0" fontId="56" fillId="32" borderId="10" xfId="0" applyFont="1" applyFill="1" applyBorder="1" applyAlignment="1" applyProtection="1">
      <alignment horizontal="center" wrapText="1"/>
    </xf>
    <xf numFmtId="0" fontId="56" fillId="34" borderId="55" xfId="0" applyFont="1" applyFill="1" applyBorder="1" applyAlignment="1" applyProtection="1">
      <alignment horizontal="center"/>
    </xf>
    <xf numFmtId="0" fontId="59" fillId="34" borderId="55" xfId="0" applyFont="1" applyFill="1" applyBorder="1" applyProtection="1">
      <protection locked="0"/>
    </xf>
    <xf numFmtId="0" fontId="59" fillId="34" borderId="0" xfId="0" applyFont="1" applyFill="1" applyBorder="1" applyProtection="1">
      <protection locked="0"/>
    </xf>
    <xf numFmtId="0" fontId="56" fillId="34" borderId="0" xfId="0" applyFont="1" applyFill="1" applyBorder="1" applyProtection="1">
      <protection locked="0"/>
    </xf>
    <xf numFmtId="0" fontId="56" fillId="34" borderId="55" xfId="0" applyFont="1" applyFill="1" applyBorder="1" applyProtection="1">
      <protection locked="0"/>
    </xf>
    <xf numFmtId="0" fontId="56" fillId="34" borderId="55" xfId="0" applyFont="1" applyFill="1" applyBorder="1" applyAlignment="1" applyProtection="1">
      <alignment horizontal="center"/>
      <protection locked="0"/>
    </xf>
    <xf numFmtId="0" fontId="56" fillId="38" borderId="10" xfId="0" applyFont="1" applyFill="1" applyBorder="1" applyAlignment="1" applyProtection="1">
      <alignment horizontal="center" vertical="center" wrapText="1"/>
      <protection locked="0"/>
    </xf>
    <xf numFmtId="0" fontId="56" fillId="38" borderId="10" xfId="0" applyFont="1" applyFill="1" applyBorder="1" applyAlignment="1" applyProtection="1">
      <alignment horizontal="left"/>
      <protection locked="0"/>
    </xf>
    <xf numFmtId="0" fontId="56" fillId="38" borderId="0" xfId="0" applyFont="1" applyFill="1" applyAlignment="1" applyProtection="1">
      <alignment horizontal="left"/>
      <protection locked="0"/>
    </xf>
    <xf numFmtId="2" fontId="56" fillId="42" borderId="10" xfId="0" applyNumberFormat="1" applyFont="1" applyFill="1" applyBorder="1" applyAlignment="1" applyProtection="1">
      <alignment horizontal="center" vertical="center" wrapText="1"/>
    </xf>
    <xf numFmtId="0" fontId="56" fillId="42" borderId="10" xfId="0" applyFont="1" applyFill="1" applyBorder="1" applyAlignment="1" applyProtection="1">
      <alignment horizontal="center" vertical="center"/>
    </xf>
    <xf numFmtId="2" fontId="56" fillId="42" borderId="39" xfId="0" applyNumberFormat="1" applyFont="1" applyFill="1" applyBorder="1"/>
    <xf numFmtId="168" fontId="56" fillId="42" borderId="10" xfId="0" applyNumberFormat="1" applyFont="1" applyFill="1" applyBorder="1" applyAlignment="1">
      <alignment horizontal="center"/>
    </xf>
    <xf numFmtId="166" fontId="56" fillId="42" borderId="10" xfId="0" applyNumberFormat="1" applyFont="1" applyFill="1" applyBorder="1" applyAlignment="1">
      <alignment horizontal="right"/>
    </xf>
    <xf numFmtId="0" fontId="59" fillId="0" borderId="10" xfId="0" applyFont="1" applyFill="1" applyBorder="1" applyAlignment="1">
      <alignment horizontal="center" wrapText="1"/>
    </xf>
    <xf numFmtId="0" fontId="81" fillId="0" borderId="10" xfId="0" applyFont="1" applyFill="1" applyBorder="1" applyAlignment="1">
      <alignment wrapText="1"/>
    </xf>
    <xf numFmtId="0" fontId="81" fillId="0" borderId="0" xfId="0" applyFont="1"/>
    <xf numFmtId="1" fontId="56" fillId="0" borderId="10" xfId="0" applyNumberFormat="1" applyFont="1" applyFill="1" applyBorder="1"/>
    <xf numFmtId="1" fontId="59" fillId="0" borderId="0" xfId="0" applyNumberFormat="1" applyFont="1" applyAlignment="1">
      <alignment horizontal="left"/>
    </xf>
    <xf numFmtId="0" fontId="88" fillId="0" borderId="0" xfId="0" applyFont="1"/>
    <xf numFmtId="0" fontId="56" fillId="38" borderId="10" xfId="0" applyFont="1" applyFill="1" applyBorder="1" applyAlignment="1">
      <alignment wrapText="1"/>
    </xf>
    <xf numFmtId="0" fontId="56" fillId="38" borderId="10" xfId="0" applyFont="1" applyFill="1" applyBorder="1" applyAlignment="1">
      <alignment horizontal="left" wrapText="1"/>
    </xf>
    <xf numFmtId="1" fontId="56" fillId="42" borderId="10" xfId="0" applyNumberFormat="1" applyFont="1" applyFill="1" applyBorder="1"/>
    <xf numFmtId="0" fontId="59" fillId="0" borderId="10" xfId="0" applyFont="1" applyFill="1" applyBorder="1" applyAlignment="1">
      <alignment wrapText="1"/>
    </xf>
    <xf numFmtId="0" fontId="77" fillId="37" borderId="0" xfId="0" applyFont="1" applyFill="1"/>
    <xf numFmtId="0" fontId="88" fillId="0" borderId="0" xfId="0" applyFont="1" applyFill="1"/>
    <xf numFmtId="0" fontId="56" fillId="0" borderId="11" xfId="0" applyFont="1" applyFill="1" applyBorder="1" applyProtection="1"/>
    <xf numFmtId="0" fontId="80" fillId="0" borderId="0" xfId="0" applyFont="1"/>
    <xf numFmtId="0" fontId="56" fillId="0" borderId="39" xfId="0" applyFont="1" applyFill="1" applyBorder="1"/>
    <xf numFmtId="0" fontId="56" fillId="0" borderId="10" xfId="0" applyFont="1" applyFill="1" applyBorder="1" applyAlignment="1" applyProtection="1">
      <alignment horizontal="right"/>
    </xf>
    <xf numFmtId="0" fontId="56" fillId="0" borderId="10" xfId="0" applyFont="1" applyBorder="1" applyAlignment="1" applyProtection="1">
      <alignment horizontal="right"/>
    </xf>
    <xf numFmtId="0" fontId="56" fillId="0" borderId="0" xfId="0" applyFont="1" applyFill="1" applyBorder="1" applyAlignment="1" applyProtection="1">
      <alignment horizontal="right"/>
    </xf>
    <xf numFmtId="1" fontId="56" fillId="0" borderId="0" xfId="0" applyNumberFormat="1" applyFont="1" applyAlignment="1" applyProtection="1">
      <alignment horizontal="center"/>
    </xf>
    <xf numFmtId="0" fontId="56" fillId="0" borderId="0" xfId="0" applyFont="1" applyAlignment="1" applyProtection="1">
      <alignment horizontal="right"/>
    </xf>
    <xf numFmtId="0" fontId="59" fillId="0" borderId="0" xfId="0" applyFont="1" applyAlignment="1" applyProtection="1">
      <alignment horizontal="right"/>
    </xf>
    <xf numFmtId="0" fontId="56" fillId="34" borderId="0" xfId="0" quotePrefix="1" applyFont="1" applyFill="1"/>
    <xf numFmtId="0" fontId="77" fillId="34" borderId="0" xfId="0" applyFont="1" applyFill="1"/>
    <xf numFmtId="0" fontId="56" fillId="42" borderId="39" xfId="0" applyFont="1" applyFill="1" applyBorder="1"/>
    <xf numFmtId="171" fontId="56" fillId="42" borderId="10" xfId="0" applyNumberFormat="1" applyFont="1" applyFill="1" applyBorder="1"/>
    <xf numFmtId="166" fontId="56" fillId="38" borderId="10" xfId="0" applyNumberFormat="1" applyFont="1" applyFill="1" applyBorder="1" applyProtection="1">
      <protection locked="0"/>
    </xf>
    <xf numFmtId="9" fontId="56" fillId="38" borderId="10" xfId="0" applyNumberFormat="1" applyFont="1" applyFill="1" applyBorder="1" applyProtection="1">
      <protection locked="0"/>
    </xf>
    <xf numFmtId="0" fontId="76" fillId="0" borderId="10" xfId="0" applyFont="1" applyFill="1" applyBorder="1" applyAlignment="1">
      <alignment horizontal="center" wrapText="1"/>
    </xf>
    <xf numFmtId="175" fontId="73" fillId="0" borderId="59" xfId="28" applyNumberFormat="1" applyFont="1" applyFill="1" applyBorder="1"/>
    <xf numFmtId="175" fontId="73" fillId="0" borderId="60" xfId="28" applyNumberFormat="1" applyFont="1" applyFill="1" applyBorder="1"/>
    <xf numFmtId="168" fontId="56" fillId="0" borderId="0" xfId="0" applyNumberFormat="1" applyFont="1"/>
    <xf numFmtId="0" fontId="74" fillId="0" borderId="11" xfId="0" applyFont="1" applyBorder="1"/>
    <xf numFmtId="0" fontId="74" fillId="0" borderId="10" xfId="0" applyFont="1" applyFill="1" applyBorder="1"/>
    <xf numFmtId="2" fontId="56" fillId="0" borderId="10" xfId="0" applyNumberFormat="1" applyFont="1" applyFill="1" applyBorder="1" applyAlignment="1">
      <alignment horizontal="center"/>
    </xf>
    <xf numFmtId="2" fontId="56" fillId="0" borderId="11" xfId="0" applyNumberFormat="1" applyFont="1" applyFill="1" applyBorder="1" applyAlignment="1">
      <alignment horizontal="center"/>
    </xf>
    <xf numFmtId="178" fontId="73" fillId="24" borderId="10" xfId="28" applyNumberFormat="1" applyFont="1" applyFill="1" applyBorder="1"/>
    <xf numFmtId="177" fontId="73" fillId="24" borderId="10" xfId="28" applyNumberFormat="1" applyFont="1" applyFill="1" applyBorder="1"/>
    <xf numFmtId="176" fontId="73" fillId="24" borderId="10" xfId="28" applyNumberFormat="1" applyFont="1" applyFill="1" applyBorder="1"/>
    <xf numFmtId="175" fontId="73" fillId="38" borderId="10" xfId="28" applyNumberFormat="1" applyFont="1" applyFill="1" applyBorder="1"/>
    <xf numFmtId="174" fontId="73" fillId="38" borderId="10" xfId="28" applyNumberFormat="1" applyFont="1" applyFill="1" applyBorder="1"/>
    <xf numFmtId="9" fontId="73" fillId="38" borderId="10" xfId="52" applyNumberFormat="1" applyFont="1" applyFill="1" applyBorder="1"/>
    <xf numFmtId="9" fontId="73" fillId="38" borderId="10" xfId="28" applyNumberFormat="1" applyFont="1" applyFill="1" applyBorder="1"/>
    <xf numFmtId="0" fontId="74" fillId="32" borderId="10" xfId="0" applyFont="1" applyFill="1" applyBorder="1" applyAlignment="1">
      <alignment horizontal="center" wrapText="1"/>
    </xf>
    <xf numFmtId="0" fontId="74" fillId="32" borderId="10" xfId="0" applyFont="1" applyFill="1" applyBorder="1"/>
    <xf numFmtId="1" fontId="56" fillId="42" borderId="10" xfId="0" applyNumberFormat="1" applyFont="1" applyFill="1" applyBorder="1" applyProtection="1"/>
    <xf numFmtId="0" fontId="56" fillId="42" borderId="10" xfId="0" applyFont="1" applyFill="1" applyBorder="1" applyProtection="1"/>
    <xf numFmtId="0" fontId="56" fillId="32" borderId="59" xfId="0" applyFont="1" applyFill="1" applyBorder="1"/>
    <xf numFmtId="0" fontId="56" fillId="32" borderId="10" xfId="0" applyFont="1" applyFill="1" applyBorder="1" applyAlignment="1">
      <alignment horizontal="center" vertical="center" wrapText="1"/>
    </xf>
    <xf numFmtId="3" fontId="56" fillId="0" borderId="10" xfId="0" applyNumberFormat="1" applyFont="1" applyFill="1" applyBorder="1" applyAlignment="1">
      <alignment horizontal="center" wrapText="1"/>
    </xf>
    <xf numFmtId="174" fontId="73" fillId="0" borderId="10" xfId="28" applyNumberFormat="1" applyFont="1" applyFill="1" applyBorder="1" applyAlignment="1">
      <alignment horizontal="center"/>
    </xf>
    <xf numFmtId="0" fontId="56" fillId="44" borderId="10" xfId="0" applyFont="1" applyFill="1" applyBorder="1" applyAlignment="1">
      <alignment wrapText="1"/>
    </xf>
    <xf numFmtId="0" fontId="56" fillId="44" borderId="10" xfId="0" applyFont="1" applyFill="1" applyBorder="1"/>
    <xf numFmtId="0" fontId="56" fillId="44" borderId="59" xfId="0" applyFont="1" applyFill="1" applyBorder="1"/>
    <xf numFmtId="0" fontId="56" fillId="45" borderId="0" xfId="0" applyFont="1" applyFill="1"/>
    <xf numFmtId="174" fontId="73" fillId="46" borderId="10" xfId="28" applyNumberFormat="1" applyFont="1" applyFill="1" applyBorder="1"/>
    <xf numFmtId="9" fontId="73" fillId="47" borderId="10" xfId="52" applyNumberFormat="1" applyFont="1" applyFill="1" applyBorder="1"/>
    <xf numFmtId="9" fontId="73" fillId="47" borderId="10" xfId="28" applyNumberFormat="1" applyFont="1" applyFill="1" applyBorder="1"/>
    <xf numFmtId="174" fontId="73" fillId="47" borderId="10" xfId="28" applyNumberFormat="1" applyFont="1" applyFill="1" applyBorder="1"/>
    <xf numFmtId="0" fontId="56" fillId="47" borderId="0" xfId="0" applyFont="1" applyFill="1"/>
    <xf numFmtId="0" fontId="56" fillId="34" borderId="0" xfId="0" applyFont="1" applyFill="1" applyAlignment="1" applyProtection="1">
      <alignment horizontal="left"/>
    </xf>
    <xf numFmtId="0" fontId="56" fillId="38" borderId="10" xfId="0" applyFont="1" applyFill="1" applyBorder="1" applyAlignment="1">
      <alignment horizontal="center"/>
    </xf>
    <xf numFmtId="0" fontId="56" fillId="30" borderId="14" xfId="0" applyFont="1" applyFill="1" applyBorder="1" applyAlignment="1" applyProtection="1">
      <alignment horizontal="justify" wrapText="1"/>
    </xf>
    <xf numFmtId="0" fontId="56" fillId="30" borderId="19" xfId="0" applyFont="1" applyFill="1" applyBorder="1" applyAlignment="1" applyProtection="1">
      <alignment horizontal="justify" wrapText="1"/>
    </xf>
    <xf numFmtId="0" fontId="56" fillId="38" borderId="27" xfId="0" applyFont="1" applyFill="1" applyBorder="1" applyAlignment="1" applyProtection="1">
      <alignment horizontal="left" vertical="center" wrapText="1"/>
    </xf>
    <xf numFmtId="0" fontId="56" fillId="38" borderId="28" xfId="0" applyFont="1" applyFill="1" applyBorder="1" applyAlignment="1" applyProtection="1">
      <alignment horizontal="left" vertical="center" wrapText="1"/>
    </xf>
    <xf numFmtId="0" fontId="82" fillId="26" borderId="15" xfId="0" applyFont="1" applyFill="1" applyBorder="1" applyAlignment="1">
      <alignment horizontal="center" wrapText="1"/>
    </xf>
    <xf numFmtId="0" fontId="82" fillId="26" borderId="30" xfId="0" applyFont="1" applyFill="1" applyBorder="1" applyAlignment="1">
      <alignment horizontal="center" wrapText="1"/>
    </xf>
    <xf numFmtId="0" fontId="56" fillId="0" borderId="0" xfId="0" applyFont="1" applyAlignment="1"/>
    <xf numFmtId="0" fontId="82" fillId="26" borderId="19" xfId="0" applyFont="1" applyFill="1" applyBorder="1" applyAlignment="1">
      <alignment horizontal="center" wrapText="1"/>
    </xf>
    <xf numFmtId="0" fontId="82" fillId="26" borderId="28" xfId="0" applyFont="1" applyFill="1" applyBorder="1" applyAlignment="1">
      <alignment horizontal="center" wrapText="1"/>
    </xf>
    <xf numFmtId="0" fontId="82" fillId="26" borderId="16" xfId="0" applyFont="1" applyFill="1" applyBorder="1" applyAlignment="1"/>
    <xf numFmtId="0" fontId="56" fillId="0" borderId="29" xfId="0" applyFont="1" applyBorder="1" applyAlignment="1"/>
    <xf numFmtId="0" fontId="56" fillId="0" borderId="68" xfId="0" applyFont="1" applyBorder="1" applyAlignment="1"/>
    <xf numFmtId="0" fontId="56" fillId="0" borderId="16" xfId="0" applyFont="1" applyBorder="1" applyAlignment="1"/>
    <xf numFmtId="0" fontId="82" fillId="26" borderId="67" xfId="0" applyFont="1" applyFill="1" applyBorder="1" applyAlignment="1">
      <alignment horizontal="center"/>
    </xf>
    <xf numFmtId="0" fontId="82" fillId="26" borderId="26" xfId="0" applyFont="1" applyFill="1" applyBorder="1" applyAlignment="1">
      <alignment horizontal="center"/>
    </xf>
    <xf numFmtId="0" fontId="82" fillId="26" borderId="66" xfId="0" applyFont="1" applyFill="1" applyBorder="1" applyAlignment="1">
      <alignment horizontal="center"/>
    </xf>
    <xf numFmtId="0" fontId="82" fillId="26" borderId="19" xfId="0" applyFont="1" applyFill="1" applyBorder="1" applyAlignment="1">
      <alignment horizontal="center"/>
    </xf>
    <xf numFmtId="0" fontId="73" fillId="32" borderId="10" xfId="47" applyFont="1" applyFill="1" applyBorder="1" applyAlignment="1">
      <alignment horizontal="center"/>
    </xf>
    <xf numFmtId="0" fontId="73" fillId="32" borderId="62" xfId="47" applyFont="1" applyFill="1" applyBorder="1" applyAlignment="1" applyProtection="1">
      <alignment horizontal="center"/>
    </xf>
    <xf numFmtId="0" fontId="73" fillId="32" borderId="64" xfId="47" applyFont="1" applyFill="1" applyBorder="1" applyAlignment="1" applyProtection="1">
      <alignment horizontal="center"/>
    </xf>
    <xf numFmtId="0" fontId="73" fillId="32" borderId="60" xfId="47" applyFont="1" applyFill="1" applyBorder="1" applyAlignment="1" applyProtection="1">
      <alignment horizontal="center"/>
    </xf>
    <xf numFmtId="0" fontId="78" fillId="0" borderId="0" xfId="0" applyFont="1" applyAlignment="1" applyProtection="1">
      <alignment horizontal="center"/>
    </xf>
    <xf numFmtId="0" fontId="78" fillId="0" borderId="55" xfId="0" applyFont="1" applyBorder="1" applyAlignment="1" applyProtection="1">
      <alignment horizontal="center"/>
    </xf>
    <xf numFmtId="0" fontId="59" fillId="0" borderId="10" xfId="0" applyFont="1" applyFill="1" applyBorder="1" applyAlignment="1">
      <alignment horizontal="center" wrapText="1"/>
    </xf>
    <xf numFmtId="0" fontId="56" fillId="0" borderId="0" xfId="0" applyFont="1" applyAlignment="1" applyProtection="1">
      <alignment horizontal="left" wrapText="1"/>
    </xf>
    <xf numFmtId="0" fontId="56" fillId="0" borderId="0" xfId="0" applyFont="1" applyAlignment="1" applyProtection="1">
      <alignment horizontal="left" vertical="top" wrapText="1"/>
    </xf>
    <xf numFmtId="0" fontId="56" fillId="42" borderId="10" xfId="0" applyFont="1" applyFill="1" applyBorder="1" applyAlignment="1"/>
    <xf numFmtId="0" fontId="56" fillId="0" borderId="10" xfId="0" applyFont="1" applyFill="1" applyBorder="1" applyAlignment="1"/>
    <xf numFmtId="0" fontId="56" fillId="0" borderId="11" xfId="0" applyFont="1" applyFill="1" applyBorder="1" applyAlignment="1"/>
    <xf numFmtId="0" fontId="59" fillId="32" borderId="11" xfId="0" applyFont="1" applyFill="1" applyBorder="1" applyAlignment="1">
      <alignment horizontal="left"/>
    </xf>
    <xf numFmtId="0" fontId="59" fillId="32" borderId="12" xfId="0" applyFont="1" applyFill="1" applyBorder="1" applyAlignment="1">
      <alignment horizontal="left"/>
    </xf>
    <xf numFmtId="0" fontId="59" fillId="32" borderId="13" xfId="0" applyFont="1" applyFill="1" applyBorder="1" applyAlignment="1">
      <alignment horizontal="left"/>
    </xf>
    <xf numFmtId="0" fontId="56" fillId="38" borderId="10" xfId="0" applyFont="1" applyFill="1" applyBorder="1" applyAlignment="1">
      <alignment horizontal="center"/>
    </xf>
    <xf numFmtId="0" fontId="56" fillId="0" borderId="10" xfId="0" applyFont="1" applyFill="1" applyBorder="1" applyAlignment="1">
      <alignment horizontal="center"/>
    </xf>
    <xf numFmtId="3" fontId="56" fillId="0" borderId="10" xfId="0" applyNumberFormat="1" applyFont="1" applyFill="1" applyBorder="1" applyAlignment="1">
      <alignment horizontal="center"/>
    </xf>
    <xf numFmtId="0" fontId="74" fillId="32" borderId="11" xfId="0" applyFont="1" applyFill="1" applyBorder="1" applyAlignment="1">
      <alignment horizontal="center"/>
    </xf>
    <xf numFmtId="0" fontId="74" fillId="32" borderId="13" xfId="0" applyFont="1" applyFill="1" applyBorder="1" applyAlignment="1">
      <alignment horizontal="center"/>
    </xf>
    <xf numFmtId="0" fontId="74" fillId="32" borderId="12" xfId="0" applyFont="1" applyFill="1" applyBorder="1" applyAlignment="1">
      <alignment horizontal="center"/>
    </xf>
    <xf numFmtId="0" fontId="56" fillId="0" borderId="0" xfId="44" applyFont="1" applyFill="1" applyBorder="1" applyAlignment="1">
      <alignment horizontal="left" wrapText="1"/>
    </xf>
    <xf numFmtId="0" fontId="56" fillId="0" borderId="0" xfId="44" applyFont="1" applyFill="1" applyAlignment="1">
      <alignment horizontal="left" wrapText="1"/>
    </xf>
    <xf numFmtId="0" fontId="47" fillId="25" borderId="16" xfId="48" applyFont="1" applyFill="1" applyBorder="1" applyAlignment="1">
      <alignment horizontal="center"/>
    </xf>
    <xf numFmtId="0" fontId="47" fillId="25" borderId="20" xfId="48" applyFont="1" applyFill="1" applyBorder="1" applyAlignment="1">
      <alignment horizontal="center"/>
    </xf>
    <xf numFmtId="0" fontId="47" fillId="25" borderId="29" xfId="48" applyFont="1" applyFill="1" applyBorder="1" applyAlignment="1">
      <alignment horizontal="center"/>
    </xf>
    <xf numFmtId="0" fontId="32" fillId="0" borderId="70" xfId="49" applyFont="1" applyBorder="1" applyAlignment="1">
      <alignment horizontal="center"/>
    </xf>
    <xf numFmtId="0" fontId="32" fillId="0" borderId="63" xfId="49" applyFont="1" applyBorder="1" applyAlignment="1">
      <alignment horizontal="center"/>
    </xf>
    <xf numFmtId="0" fontId="32" fillId="0" borderId="65" xfId="49" applyFont="1" applyBorder="1" applyAlignment="1">
      <alignment horizontal="center"/>
    </xf>
    <xf numFmtId="0" fontId="34" fillId="0" borderId="0" xfId="49" applyAlignment="1">
      <alignment horizontal="center"/>
    </xf>
    <xf numFmtId="0" fontId="42" fillId="0" borderId="63" xfId="49" applyFont="1" applyBorder="1" applyAlignment="1">
      <alignment horizontal="center"/>
    </xf>
    <xf numFmtId="0" fontId="42" fillId="0" borderId="65" xfId="49" applyFont="1" applyBorder="1" applyAlignment="1">
      <alignment horizontal="center"/>
    </xf>
    <xf numFmtId="0" fontId="43" fillId="0" borderId="16" xfId="49" applyFont="1" applyBorder="1" applyAlignment="1">
      <alignment horizontal="center"/>
    </xf>
    <xf numFmtId="0" fontId="43" fillId="0" borderId="29" xfId="49" applyFont="1" applyBorder="1" applyAlignment="1">
      <alignment horizontal="center"/>
    </xf>
    <xf numFmtId="0" fontId="43" fillId="0" borderId="20" xfId="49" applyFont="1" applyBorder="1" applyAlignment="1">
      <alignment horizontal="center"/>
    </xf>
    <xf numFmtId="1" fontId="38" fillId="0" borderId="11" xfId="45" applyNumberFormat="1" applyFont="1" applyBorder="1" applyAlignment="1">
      <alignment horizontal="center"/>
    </xf>
    <xf numFmtId="1" fontId="38" fillId="0" borderId="12" xfId="45" applyNumberFormat="1" applyFont="1" applyBorder="1" applyAlignment="1">
      <alignment horizontal="center"/>
    </xf>
    <xf numFmtId="1" fontId="38" fillId="0" borderId="13" xfId="45" applyNumberFormat="1" applyFont="1" applyBorder="1" applyAlignment="1">
      <alignment horizontal="center"/>
    </xf>
    <xf numFmtId="3" fontId="36" fillId="24" borderId="71" xfId="0" applyNumberFormat="1" applyFont="1" applyFill="1" applyBorder="1" applyAlignment="1" applyProtection="1">
      <alignment horizontal="center"/>
      <protection hidden="1"/>
    </xf>
    <xf numFmtId="3" fontId="36" fillId="24" borderId="72" xfId="0" applyNumberFormat="1" applyFont="1" applyFill="1" applyBorder="1" applyAlignment="1" applyProtection="1">
      <alignment horizontal="center"/>
      <protection hidden="1"/>
    </xf>
    <xf numFmtId="0" fontId="28" fillId="0" borderId="16" xfId="0" applyFont="1" applyBorder="1" applyAlignment="1">
      <alignment horizontal="center"/>
    </xf>
    <xf numFmtId="0" fontId="28" fillId="0" borderId="29" xfId="0" applyFont="1" applyBorder="1" applyAlignment="1">
      <alignment horizontal="center"/>
    </xf>
    <xf numFmtId="0" fontId="28" fillId="0" borderId="20" xfId="0" applyFont="1" applyBorder="1" applyAlignment="1">
      <alignment horizontal="center"/>
    </xf>
    <xf numFmtId="0" fontId="31" fillId="0" borderId="0" xfId="0" applyFont="1" applyAlignment="1">
      <alignment horizontal="center"/>
    </xf>
    <xf numFmtId="1" fontId="56" fillId="42" borderId="10" xfId="0" applyNumberFormat="1" applyFont="1" applyFill="1" applyBorder="1" applyAlignment="1">
      <alignment vertical="top" wrapText="1"/>
    </xf>
    <xf numFmtId="0" fontId="56" fillId="34" borderId="84" xfId="0" applyFont="1" applyFill="1" applyBorder="1"/>
    <xf numFmtId="3" fontId="56" fillId="38" borderId="10" xfId="0" applyNumberFormat="1" applyFont="1" applyFill="1" applyBorder="1"/>
    <xf numFmtId="3" fontId="56" fillId="38" borderId="10" xfId="0" applyNumberFormat="1" applyFont="1" applyFill="1" applyBorder="1" applyAlignment="1" applyProtection="1">
      <alignment horizontal="center" vertical="center" wrapText="1"/>
      <protection locked="0"/>
    </xf>
    <xf numFmtId="0" fontId="58" fillId="30" borderId="0" xfId="0" applyFont="1" applyFill="1" applyAlignment="1" applyProtection="1"/>
  </cellXfs>
  <cellStyles count="739">
    <cellStyle name="0.00%" xfId="628"/>
    <cellStyle name="20% - Accent1" xfId="1" builtinId="30" customBuiltin="1"/>
    <cellStyle name="20% - Accent1 10" xfId="456"/>
    <cellStyle name="20% - Accent1 11" xfId="500"/>
    <cellStyle name="20% - Accent1 12" xfId="544"/>
    <cellStyle name="20% - Accent1 13" xfId="588"/>
    <cellStyle name="20% - Accent1 2" xfId="100"/>
    <cellStyle name="20% - Accent1 3" xfId="148"/>
    <cellStyle name="20% - Accent1 4" xfId="192"/>
    <cellStyle name="20% - Accent1 5" xfId="236"/>
    <cellStyle name="20% - Accent1 6" xfId="280"/>
    <cellStyle name="20% - Accent1 7" xfId="324"/>
    <cellStyle name="20% - Accent1 8" xfId="368"/>
    <cellStyle name="20% - Accent1 9" xfId="412"/>
    <cellStyle name="20% - Accent2" xfId="2" builtinId="34" customBuiltin="1"/>
    <cellStyle name="20% - Accent2 10" xfId="455"/>
    <cellStyle name="20% - Accent2 11" xfId="499"/>
    <cellStyle name="20% - Accent2 12" xfId="543"/>
    <cellStyle name="20% - Accent2 13" xfId="587"/>
    <cellStyle name="20% - Accent2 2" xfId="101"/>
    <cellStyle name="20% - Accent2 3" xfId="147"/>
    <cellStyle name="20% - Accent2 4" xfId="191"/>
    <cellStyle name="20% - Accent2 5" xfId="235"/>
    <cellStyle name="20% - Accent2 6" xfId="279"/>
    <cellStyle name="20% - Accent2 7" xfId="323"/>
    <cellStyle name="20% - Accent2 8" xfId="367"/>
    <cellStyle name="20% - Accent2 9" xfId="411"/>
    <cellStyle name="20% - Accent3" xfId="3" builtinId="38" customBuiltin="1"/>
    <cellStyle name="20% - Accent3 10" xfId="454"/>
    <cellStyle name="20% - Accent3 11" xfId="498"/>
    <cellStyle name="20% - Accent3 12" xfId="542"/>
    <cellStyle name="20% - Accent3 13" xfId="586"/>
    <cellStyle name="20% - Accent3 2" xfId="102"/>
    <cellStyle name="20% - Accent3 3" xfId="146"/>
    <cellStyle name="20% - Accent3 4" xfId="190"/>
    <cellStyle name="20% - Accent3 5" xfId="234"/>
    <cellStyle name="20% - Accent3 6" xfId="278"/>
    <cellStyle name="20% - Accent3 7" xfId="322"/>
    <cellStyle name="20% - Accent3 8" xfId="366"/>
    <cellStyle name="20% - Accent3 9" xfId="410"/>
    <cellStyle name="20% - Accent4" xfId="4" builtinId="42" customBuiltin="1"/>
    <cellStyle name="20% - Accent4 10" xfId="453"/>
    <cellStyle name="20% - Accent4 11" xfId="497"/>
    <cellStyle name="20% - Accent4 12" xfId="541"/>
    <cellStyle name="20% - Accent4 13" xfId="585"/>
    <cellStyle name="20% - Accent4 2" xfId="103"/>
    <cellStyle name="20% - Accent4 3" xfId="145"/>
    <cellStyle name="20% - Accent4 4" xfId="189"/>
    <cellStyle name="20% - Accent4 5" xfId="233"/>
    <cellStyle name="20% - Accent4 6" xfId="277"/>
    <cellStyle name="20% - Accent4 7" xfId="321"/>
    <cellStyle name="20% - Accent4 8" xfId="365"/>
    <cellStyle name="20% - Accent4 9" xfId="409"/>
    <cellStyle name="20% - Accent5" xfId="5" builtinId="46" customBuiltin="1"/>
    <cellStyle name="20% - Accent5 10" xfId="452"/>
    <cellStyle name="20% - Accent5 11" xfId="496"/>
    <cellStyle name="20% - Accent5 12" xfId="540"/>
    <cellStyle name="20% - Accent5 13" xfId="584"/>
    <cellStyle name="20% - Accent5 2" xfId="104"/>
    <cellStyle name="20% - Accent5 3" xfId="144"/>
    <cellStyle name="20% - Accent5 4" xfId="188"/>
    <cellStyle name="20% - Accent5 5" xfId="232"/>
    <cellStyle name="20% - Accent5 6" xfId="276"/>
    <cellStyle name="20% - Accent5 7" xfId="320"/>
    <cellStyle name="20% - Accent5 8" xfId="364"/>
    <cellStyle name="20% - Accent5 9" xfId="408"/>
    <cellStyle name="20% - Accent6" xfId="6" builtinId="50" customBuiltin="1"/>
    <cellStyle name="20% - Accent6 10" xfId="451"/>
    <cellStyle name="20% - Accent6 11" xfId="495"/>
    <cellStyle name="20% - Accent6 12" xfId="539"/>
    <cellStyle name="20% - Accent6 13" xfId="583"/>
    <cellStyle name="20% - Accent6 2" xfId="105"/>
    <cellStyle name="20% - Accent6 3" xfId="143"/>
    <cellStyle name="20% - Accent6 4" xfId="187"/>
    <cellStyle name="20% - Accent6 5" xfId="231"/>
    <cellStyle name="20% - Accent6 6" xfId="275"/>
    <cellStyle name="20% - Accent6 7" xfId="319"/>
    <cellStyle name="20% - Accent6 8" xfId="363"/>
    <cellStyle name="20% - Accent6 9" xfId="407"/>
    <cellStyle name="40% - Accent1" xfId="7" builtinId="31" customBuiltin="1"/>
    <cellStyle name="40% - Accent1 10" xfId="415"/>
    <cellStyle name="40% - Accent1 11" xfId="459"/>
    <cellStyle name="40% - Accent1 12" xfId="503"/>
    <cellStyle name="40% - Accent1 13" xfId="547"/>
    <cellStyle name="40% - Accent1 2" xfId="106"/>
    <cellStyle name="40% - Accent1 3" xfId="99"/>
    <cellStyle name="40% - Accent1 4" xfId="151"/>
    <cellStyle name="40% - Accent1 5" xfId="195"/>
    <cellStyle name="40% - Accent1 6" xfId="239"/>
    <cellStyle name="40% - Accent1 7" xfId="283"/>
    <cellStyle name="40% - Accent1 8" xfId="327"/>
    <cellStyle name="40% - Accent1 9" xfId="371"/>
    <cellStyle name="40% - Accent2" xfId="8" builtinId="35" customBuiltin="1"/>
    <cellStyle name="40% - Accent2 10" xfId="446"/>
    <cellStyle name="40% - Accent2 11" xfId="490"/>
    <cellStyle name="40% - Accent2 12" xfId="534"/>
    <cellStyle name="40% - Accent2 13" xfId="578"/>
    <cellStyle name="40% - Accent2 2" xfId="107"/>
    <cellStyle name="40% - Accent2 3" xfId="138"/>
    <cellStyle name="40% - Accent2 4" xfId="182"/>
    <cellStyle name="40% - Accent2 5" xfId="226"/>
    <cellStyle name="40% - Accent2 6" xfId="270"/>
    <cellStyle name="40% - Accent2 7" xfId="314"/>
    <cellStyle name="40% - Accent2 8" xfId="358"/>
    <cellStyle name="40% - Accent2 9" xfId="402"/>
    <cellStyle name="40% - Accent3" xfId="9" builtinId="39" customBuiltin="1"/>
    <cellStyle name="40% - Accent3 10" xfId="445"/>
    <cellStyle name="40% - Accent3 11" xfId="489"/>
    <cellStyle name="40% - Accent3 12" xfId="533"/>
    <cellStyle name="40% - Accent3 13" xfId="577"/>
    <cellStyle name="40% - Accent3 2" xfId="108"/>
    <cellStyle name="40% - Accent3 3" xfId="137"/>
    <cellStyle name="40% - Accent3 4" xfId="181"/>
    <cellStyle name="40% - Accent3 5" xfId="225"/>
    <cellStyle name="40% - Accent3 6" xfId="269"/>
    <cellStyle name="40% - Accent3 7" xfId="313"/>
    <cellStyle name="40% - Accent3 8" xfId="357"/>
    <cellStyle name="40% - Accent3 9" xfId="401"/>
    <cellStyle name="40% - Accent4" xfId="10" builtinId="43" customBuiltin="1"/>
    <cellStyle name="40% - Accent4 10" xfId="444"/>
    <cellStyle name="40% - Accent4 11" xfId="488"/>
    <cellStyle name="40% - Accent4 12" xfId="532"/>
    <cellStyle name="40% - Accent4 13" xfId="576"/>
    <cellStyle name="40% - Accent4 2" xfId="109"/>
    <cellStyle name="40% - Accent4 3" xfId="136"/>
    <cellStyle name="40% - Accent4 4" xfId="180"/>
    <cellStyle name="40% - Accent4 5" xfId="224"/>
    <cellStyle name="40% - Accent4 6" xfId="268"/>
    <cellStyle name="40% - Accent4 7" xfId="312"/>
    <cellStyle name="40% - Accent4 8" xfId="356"/>
    <cellStyle name="40% - Accent4 9" xfId="400"/>
    <cellStyle name="40% - Accent5" xfId="11" builtinId="47" customBuiltin="1"/>
    <cellStyle name="40% - Accent5 10" xfId="437"/>
    <cellStyle name="40% - Accent5 11" xfId="481"/>
    <cellStyle name="40% - Accent5 12" xfId="525"/>
    <cellStyle name="40% - Accent5 13" xfId="569"/>
    <cellStyle name="40% - Accent5 2" xfId="110"/>
    <cellStyle name="40% - Accent5 3" xfId="129"/>
    <cellStyle name="40% - Accent5 4" xfId="173"/>
    <cellStyle name="40% - Accent5 5" xfId="217"/>
    <cellStyle name="40% - Accent5 6" xfId="261"/>
    <cellStyle name="40% - Accent5 7" xfId="305"/>
    <cellStyle name="40% - Accent5 8" xfId="349"/>
    <cellStyle name="40% - Accent5 9" xfId="393"/>
    <cellStyle name="40% - Accent6" xfId="12" builtinId="51" customBuiltin="1"/>
    <cellStyle name="40% - Accent6 10" xfId="435"/>
    <cellStyle name="40% - Accent6 11" xfId="479"/>
    <cellStyle name="40% - Accent6 12" xfId="523"/>
    <cellStyle name="40% - Accent6 13" xfId="567"/>
    <cellStyle name="40% - Accent6 2" xfId="111"/>
    <cellStyle name="40% - Accent6 3" xfId="127"/>
    <cellStyle name="40% - Accent6 4" xfId="171"/>
    <cellStyle name="40% - Accent6 5" xfId="215"/>
    <cellStyle name="40% - Accent6 6" xfId="259"/>
    <cellStyle name="40% - Accent6 7" xfId="303"/>
    <cellStyle name="40% - Accent6 8" xfId="347"/>
    <cellStyle name="40% - Accent6 9" xfId="391"/>
    <cellStyle name="60% - Accent1" xfId="13" builtinId="32" customBuiltin="1"/>
    <cellStyle name="60% - Accent1 10" xfId="464"/>
    <cellStyle name="60% - Accent1 11" xfId="508"/>
    <cellStyle name="60% - Accent1 12" xfId="552"/>
    <cellStyle name="60% - Accent1 13" xfId="595"/>
    <cellStyle name="60% - Accent1 2" xfId="112"/>
    <cellStyle name="60% - Accent1 3" xfId="156"/>
    <cellStyle name="60% - Accent1 4" xfId="200"/>
    <cellStyle name="60% - Accent1 5" xfId="244"/>
    <cellStyle name="60% - Accent1 6" xfId="288"/>
    <cellStyle name="60% - Accent1 7" xfId="332"/>
    <cellStyle name="60% - Accent1 8" xfId="376"/>
    <cellStyle name="60% - Accent1 9" xfId="420"/>
    <cellStyle name="60% - Accent2" xfId="14" builtinId="36" customBuiltin="1"/>
    <cellStyle name="60% - Accent2 10" xfId="465"/>
    <cellStyle name="60% - Accent2 11" xfId="509"/>
    <cellStyle name="60% - Accent2 12" xfId="553"/>
    <cellStyle name="60% - Accent2 13" xfId="596"/>
    <cellStyle name="60% - Accent2 2" xfId="113"/>
    <cellStyle name="60% - Accent2 3" xfId="157"/>
    <cellStyle name="60% - Accent2 4" xfId="201"/>
    <cellStyle name="60% - Accent2 5" xfId="245"/>
    <cellStyle name="60% - Accent2 6" xfId="289"/>
    <cellStyle name="60% - Accent2 7" xfId="333"/>
    <cellStyle name="60% - Accent2 8" xfId="377"/>
    <cellStyle name="60% - Accent2 9" xfId="421"/>
    <cellStyle name="60% - Accent3" xfId="15" builtinId="40" customBuiltin="1"/>
    <cellStyle name="60% - Accent3 10" xfId="466"/>
    <cellStyle name="60% - Accent3 11" xfId="510"/>
    <cellStyle name="60% - Accent3 12" xfId="554"/>
    <cellStyle name="60% - Accent3 13" xfId="597"/>
    <cellStyle name="60% - Accent3 2" xfId="114"/>
    <cellStyle name="60% - Accent3 3" xfId="158"/>
    <cellStyle name="60% - Accent3 4" xfId="202"/>
    <cellStyle name="60% - Accent3 5" xfId="246"/>
    <cellStyle name="60% - Accent3 6" xfId="290"/>
    <cellStyle name="60% - Accent3 7" xfId="334"/>
    <cellStyle name="60% - Accent3 8" xfId="378"/>
    <cellStyle name="60% - Accent3 9" xfId="422"/>
    <cellStyle name="60% - Accent4" xfId="16" builtinId="44" customBuiltin="1"/>
    <cellStyle name="60% - Accent4 10" xfId="467"/>
    <cellStyle name="60% - Accent4 11" xfId="511"/>
    <cellStyle name="60% - Accent4 12" xfId="555"/>
    <cellStyle name="60% - Accent4 13" xfId="598"/>
    <cellStyle name="60% - Accent4 2" xfId="115"/>
    <cellStyle name="60% - Accent4 3" xfId="159"/>
    <cellStyle name="60% - Accent4 4" xfId="203"/>
    <cellStyle name="60% - Accent4 5" xfId="247"/>
    <cellStyle name="60% - Accent4 6" xfId="291"/>
    <cellStyle name="60% - Accent4 7" xfId="335"/>
    <cellStyle name="60% - Accent4 8" xfId="379"/>
    <cellStyle name="60% - Accent4 9" xfId="423"/>
    <cellStyle name="60% - Accent5" xfId="17" builtinId="48" customBuiltin="1"/>
    <cellStyle name="60% - Accent5 10" xfId="468"/>
    <cellStyle name="60% - Accent5 11" xfId="512"/>
    <cellStyle name="60% - Accent5 12" xfId="556"/>
    <cellStyle name="60% - Accent5 13" xfId="599"/>
    <cellStyle name="60% - Accent5 2" xfId="116"/>
    <cellStyle name="60% - Accent5 3" xfId="160"/>
    <cellStyle name="60% - Accent5 4" xfId="204"/>
    <cellStyle name="60% - Accent5 5" xfId="248"/>
    <cellStyle name="60% - Accent5 6" xfId="292"/>
    <cellStyle name="60% - Accent5 7" xfId="336"/>
    <cellStyle name="60% - Accent5 8" xfId="380"/>
    <cellStyle name="60% - Accent5 9" xfId="424"/>
    <cellStyle name="60% - Accent6" xfId="18" builtinId="52" customBuiltin="1"/>
    <cellStyle name="60% - Accent6 10" xfId="469"/>
    <cellStyle name="60% - Accent6 11" xfId="513"/>
    <cellStyle name="60% - Accent6 12" xfId="557"/>
    <cellStyle name="60% - Accent6 13" xfId="600"/>
    <cellStyle name="60% - Accent6 2" xfId="117"/>
    <cellStyle name="60% - Accent6 3" xfId="161"/>
    <cellStyle name="60% - Accent6 4" xfId="205"/>
    <cellStyle name="60% - Accent6 5" xfId="249"/>
    <cellStyle name="60% - Accent6 6" xfId="293"/>
    <cellStyle name="60% - Accent6 7" xfId="337"/>
    <cellStyle name="60% - Accent6 8" xfId="381"/>
    <cellStyle name="60% - Accent6 9" xfId="425"/>
    <cellStyle name="Accent1" xfId="19" builtinId="29" customBuiltin="1"/>
    <cellStyle name="Accent1 10" xfId="470"/>
    <cellStyle name="Accent1 11" xfId="514"/>
    <cellStyle name="Accent1 12" xfId="558"/>
    <cellStyle name="Accent1 13" xfId="601"/>
    <cellStyle name="Accent1 2" xfId="118"/>
    <cellStyle name="Accent1 3" xfId="162"/>
    <cellStyle name="Accent1 4" xfId="206"/>
    <cellStyle name="Accent1 5" xfId="250"/>
    <cellStyle name="Accent1 6" xfId="294"/>
    <cellStyle name="Accent1 7" xfId="338"/>
    <cellStyle name="Accent1 8" xfId="382"/>
    <cellStyle name="Accent1 9" xfId="426"/>
    <cellStyle name="Accent2" xfId="20" builtinId="33" customBuiltin="1"/>
    <cellStyle name="Accent2 10" xfId="471"/>
    <cellStyle name="Accent2 11" xfId="515"/>
    <cellStyle name="Accent2 12" xfId="559"/>
    <cellStyle name="Accent2 13" xfId="602"/>
    <cellStyle name="Accent2 2" xfId="119"/>
    <cellStyle name="Accent2 3" xfId="163"/>
    <cellStyle name="Accent2 4" xfId="207"/>
    <cellStyle name="Accent2 5" xfId="251"/>
    <cellStyle name="Accent2 6" xfId="295"/>
    <cellStyle name="Accent2 7" xfId="339"/>
    <cellStyle name="Accent2 8" xfId="383"/>
    <cellStyle name="Accent2 9" xfId="427"/>
    <cellStyle name="Accent3" xfId="21" builtinId="37" customBuiltin="1"/>
    <cellStyle name="Accent3 10" xfId="472"/>
    <cellStyle name="Accent3 11" xfId="516"/>
    <cellStyle name="Accent3 12" xfId="560"/>
    <cellStyle name="Accent3 13" xfId="603"/>
    <cellStyle name="Accent3 2" xfId="120"/>
    <cellStyle name="Accent3 3" xfId="164"/>
    <cellStyle name="Accent3 4" xfId="208"/>
    <cellStyle name="Accent3 5" xfId="252"/>
    <cellStyle name="Accent3 6" xfId="296"/>
    <cellStyle name="Accent3 7" xfId="340"/>
    <cellStyle name="Accent3 8" xfId="384"/>
    <cellStyle name="Accent3 9" xfId="428"/>
    <cellStyle name="Accent4" xfId="22" builtinId="41" customBuiltin="1"/>
    <cellStyle name="Accent4 10" xfId="473"/>
    <cellStyle name="Accent4 11" xfId="517"/>
    <cellStyle name="Accent4 12" xfId="561"/>
    <cellStyle name="Accent4 13" xfId="604"/>
    <cellStyle name="Accent4 2" xfId="121"/>
    <cellStyle name="Accent4 3" xfId="165"/>
    <cellStyle name="Accent4 4" xfId="209"/>
    <cellStyle name="Accent4 5" xfId="253"/>
    <cellStyle name="Accent4 6" xfId="297"/>
    <cellStyle name="Accent4 7" xfId="341"/>
    <cellStyle name="Accent4 8" xfId="385"/>
    <cellStyle name="Accent4 9" xfId="429"/>
    <cellStyle name="Accent5" xfId="23" builtinId="45" customBuiltin="1"/>
    <cellStyle name="Accent5 10" xfId="474"/>
    <cellStyle name="Accent5 11" xfId="518"/>
    <cellStyle name="Accent5 12" xfId="562"/>
    <cellStyle name="Accent5 13" xfId="605"/>
    <cellStyle name="Accent5 2" xfId="122"/>
    <cellStyle name="Accent5 3" xfId="166"/>
    <cellStyle name="Accent5 4" xfId="210"/>
    <cellStyle name="Accent5 5" xfId="254"/>
    <cellStyle name="Accent5 6" xfId="298"/>
    <cellStyle name="Accent5 7" xfId="342"/>
    <cellStyle name="Accent5 8" xfId="386"/>
    <cellStyle name="Accent5 9" xfId="430"/>
    <cellStyle name="Accent6" xfId="24" builtinId="49" customBuiltin="1"/>
    <cellStyle name="Accent6 10" xfId="475"/>
    <cellStyle name="Accent6 11" xfId="519"/>
    <cellStyle name="Accent6 12" xfId="563"/>
    <cellStyle name="Accent6 13" xfId="606"/>
    <cellStyle name="Accent6 2" xfId="123"/>
    <cellStyle name="Accent6 3" xfId="167"/>
    <cellStyle name="Accent6 4" xfId="211"/>
    <cellStyle name="Accent6 5" xfId="255"/>
    <cellStyle name="Accent6 6" xfId="299"/>
    <cellStyle name="Accent6 7" xfId="343"/>
    <cellStyle name="Accent6 8" xfId="387"/>
    <cellStyle name="Accent6 9" xfId="431"/>
    <cellStyle name="Bad" xfId="25" builtinId="27" customBuiltin="1"/>
    <cellStyle name="Bad 10" xfId="476"/>
    <cellStyle name="Bad 11" xfId="520"/>
    <cellStyle name="Bad 12" xfId="564"/>
    <cellStyle name="Bad 13" xfId="607"/>
    <cellStyle name="Bad 2" xfId="124"/>
    <cellStyle name="Bad 3" xfId="168"/>
    <cellStyle name="Bad 4" xfId="212"/>
    <cellStyle name="Bad 5" xfId="256"/>
    <cellStyle name="Bad 6" xfId="300"/>
    <cellStyle name="Bad 7" xfId="344"/>
    <cellStyle name="Bad 8" xfId="388"/>
    <cellStyle name="Bad 9" xfId="432"/>
    <cellStyle name="Blue Font" xfId="629"/>
    <cellStyle name="Blue, Bold" xfId="630"/>
    <cellStyle name="Bottom Border, Unlocked" xfId="631"/>
    <cellStyle name="Calculation" xfId="26" builtinId="22" customBuiltin="1"/>
    <cellStyle name="Calculation 10" xfId="477"/>
    <cellStyle name="Calculation 11" xfId="521"/>
    <cellStyle name="Calculation 12" xfId="565"/>
    <cellStyle name="Calculation 13" xfId="608"/>
    <cellStyle name="Calculation 2" xfId="125"/>
    <cellStyle name="Calculation 3" xfId="169"/>
    <cellStyle name="Calculation 4" xfId="213"/>
    <cellStyle name="Calculation 5" xfId="257"/>
    <cellStyle name="Calculation 6" xfId="301"/>
    <cellStyle name="Calculation 7" xfId="345"/>
    <cellStyle name="Calculation 8" xfId="389"/>
    <cellStyle name="Calculation 9" xfId="433"/>
    <cellStyle name="Check Cell" xfId="27" builtinId="23" customBuiltin="1"/>
    <cellStyle name="Check Cell 10" xfId="478"/>
    <cellStyle name="Check Cell 11" xfId="522"/>
    <cellStyle name="Check Cell 12" xfId="566"/>
    <cellStyle name="Check Cell 13" xfId="609"/>
    <cellStyle name="Check Cell 2" xfId="126"/>
    <cellStyle name="Check Cell 3" xfId="170"/>
    <cellStyle name="Check Cell 4" xfId="214"/>
    <cellStyle name="Check Cell 5" xfId="258"/>
    <cellStyle name="Check Cell 6" xfId="302"/>
    <cellStyle name="Check Cell 7" xfId="346"/>
    <cellStyle name="Check Cell 8" xfId="390"/>
    <cellStyle name="Check Cell 9" xfId="434"/>
    <cellStyle name="Comma" xfId="28" builtinId="3"/>
    <cellStyle name="Comma 2" xfId="29"/>
    <cellStyle name="Comma 2 10" xfId="172"/>
    <cellStyle name="Comma 2 11" xfId="216"/>
    <cellStyle name="Comma 2 12" xfId="260"/>
    <cellStyle name="Comma 2 13" xfId="304"/>
    <cellStyle name="Comma 2 14" xfId="348"/>
    <cellStyle name="Comma 2 15" xfId="392"/>
    <cellStyle name="Comma 2 16" xfId="436"/>
    <cellStyle name="Comma 2 17" xfId="480"/>
    <cellStyle name="Comma 2 18" xfId="524"/>
    <cellStyle name="Comma 2 19" xfId="568"/>
    <cellStyle name="Comma 2 2" xfId="59"/>
    <cellStyle name="Comma 2 2 2" xfId="662"/>
    <cellStyle name="Comma 2 20" xfId="610"/>
    <cellStyle name="Comma 2 3" xfId="67"/>
    <cellStyle name="Comma 2 3 2" xfId="670"/>
    <cellStyle name="Comma 2 4" xfId="65"/>
    <cellStyle name="Comma 2 4 2" xfId="668"/>
    <cellStyle name="Comma 2 5" xfId="66"/>
    <cellStyle name="Comma 2 5 2" xfId="669"/>
    <cellStyle name="Comma 2 6" xfId="77"/>
    <cellStyle name="Comma 2 6 2" xfId="680"/>
    <cellStyle name="Comma 2 7" xfId="87"/>
    <cellStyle name="Comma 2 7 2" xfId="690"/>
    <cellStyle name="Comma 2 8" xfId="93"/>
    <cellStyle name="Comma 2 8 2" xfId="696"/>
    <cellStyle name="Comma 2 9" xfId="128"/>
    <cellStyle name="Comma 3" xfId="30"/>
    <cellStyle name="Comma 3 2" xfId="659"/>
    <cellStyle name="Comma 4" xfId="632"/>
    <cellStyle name="Comma 4 2" xfId="715"/>
    <cellStyle name="Comma 5" xfId="633"/>
    <cellStyle name="Currency" xfId="31" builtinId="4"/>
    <cellStyle name="Currency 2" xfId="32"/>
    <cellStyle name="Currency 2 2" xfId="634"/>
    <cellStyle name="Currency 2 2 2" xfId="716"/>
    <cellStyle name="Currency 2 3" xfId="660"/>
    <cellStyle name="Currency 3" xfId="635"/>
    <cellStyle name="Currency 3 2" xfId="717"/>
    <cellStyle name="Currency 4" xfId="636"/>
    <cellStyle name="Currency 4 2" xfId="718"/>
    <cellStyle name="Currency 5" xfId="734"/>
    <cellStyle name="DollarHideZero" xfId="637"/>
    <cellStyle name="DollarHideZero 2" xfId="638"/>
    <cellStyle name="DollarHideZero 2 2" xfId="720"/>
    <cellStyle name="DollarHideZero 3" xfId="719"/>
    <cellStyle name="Explanatory Text" xfId="33" builtinId="53" customBuiltin="1"/>
    <cellStyle name="Explanatory Text 10" xfId="482"/>
    <cellStyle name="Explanatory Text 11" xfId="526"/>
    <cellStyle name="Explanatory Text 12" xfId="570"/>
    <cellStyle name="Explanatory Text 13" xfId="611"/>
    <cellStyle name="Explanatory Text 2" xfId="130"/>
    <cellStyle name="Explanatory Text 3" xfId="174"/>
    <cellStyle name="Explanatory Text 4" xfId="218"/>
    <cellStyle name="Explanatory Text 5" xfId="262"/>
    <cellStyle name="Explanatory Text 6" xfId="306"/>
    <cellStyle name="Explanatory Text 7" xfId="350"/>
    <cellStyle name="Explanatory Text 8" xfId="394"/>
    <cellStyle name="Explanatory Text 9" xfId="438"/>
    <cellStyle name="Good" xfId="34" builtinId="26" customBuiltin="1"/>
    <cellStyle name="Good 10" xfId="483"/>
    <cellStyle name="Good 10 2" xfId="710"/>
    <cellStyle name="Good 11" xfId="527"/>
    <cellStyle name="Good 11 2" xfId="711"/>
    <cellStyle name="Good 12" xfId="571"/>
    <cellStyle name="Good 12 2" xfId="712"/>
    <cellStyle name="Good 13" xfId="612"/>
    <cellStyle name="Good 13 2" xfId="713"/>
    <cellStyle name="Good 2" xfId="131"/>
    <cellStyle name="Good 2 2" xfId="702"/>
    <cellStyle name="Good 3" xfId="175"/>
    <cellStyle name="Good 3 2" xfId="703"/>
    <cellStyle name="Good 4" xfId="219"/>
    <cellStyle name="Good 4 2" xfId="704"/>
    <cellStyle name="Good 5" xfId="263"/>
    <cellStyle name="Good 5 2" xfId="705"/>
    <cellStyle name="Good 6" xfId="307"/>
    <cellStyle name="Good 6 2" xfId="706"/>
    <cellStyle name="Good 7" xfId="351"/>
    <cellStyle name="Good 7 2" xfId="707"/>
    <cellStyle name="Good 8" xfId="395"/>
    <cellStyle name="Good 8 2" xfId="708"/>
    <cellStyle name="Good 9" xfId="439"/>
    <cellStyle name="Good 9 2" xfId="709"/>
    <cellStyle name="Heading 1" xfId="35" builtinId="16" customBuiltin="1"/>
    <cellStyle name="Heading 1 10" xfId="484"/>
    <cellStyle name="Heading 1 11" xfId="528"/>
    <cellStyle name="Heading 1 12" xfId="572"/>
    <cellStyle name="Heading 1 13" xfId="613"/>
    <cellStyle name="Heading 1 2" xfId="132"/>
    <cellStyle name="Heading 1 3" xfId="176"/>
    <cellStyle name="Heading 1 4" xfId="220"/>
    <cellStyle name="Heading 1 5" xfId="264"/>
    <cellStyle name="Heading 1 6" xfId="308"/>
    <cellStyle name="Heading 1 7" xfId="352"/>
    <cellStyle name="Heading 1 8" xfId="396"/>
    <cellStyle name="Heading 1 9" xfId="440"/>
    <cellStyle name="Heading 2" xfId="36" builtinId="17" customBuiltin="1"/>
    <cellStyle name="Heading 2 10" xfId="485"/>
    <cellStyle name="Heading 2 11" xfId="529"/>
    <cellStyle name="Heading 2 12" xfId="573"/>
    <cellStyle name="Heading 2 13" xfId="614"/>
    <cellStyle name="Heading 2 2" xfId="133"/>
    <cellStyle name="Heading 2 3" xfId="177"/>
    <cellStyle name="Heading 2 4" xfId="221"/>
    <cellStyle name="Heading 2 5" xfId="265"/>
    <cellStyle name="Heading 2 6" xfId="309"/>
    <cellStyle name="Heading 2 7" xfId="353"/>
    <cellStyle name="Heading 2 8" xfId="397"/>
    <cellStyle name="Heading 2 9" xfId="441"/>
    <cellStyle name="Heading 3" xfId="37" builtinId="18" customBuiltin="1"/>
    <cellStyle name="Heading 3 10" xfId="486"/>
    <cellStyle name="Heading 3 11" xfId="530"/>
    <cellStyle name="Heading 3 12" xfId="574"/>
    <cellStyle name="Heading 3 13" xfId="615"/>
    <cellStyle name="Heading 3 2" xfId="134"/>
    <cellStyle name="Heading 3 3" xfId="178"/>
    <cellStyle name="Heading 3 4" xfId="222"/>
    <cellStyle name="Heading 3 5" xfId="266"/>
    <cellStyle name="Heading 3 6" xfId="310"/>
    <cellStyle name="Heading 3 7" xfId="354"/>
    <cellStyle name="Heading 3 8" xfId="398"/>
    <cellStyle name="Heading 3 9" xfId="442"/>
    <cellStyle name="Heading 4" xfId="38" builtinId="19" customBuiltin="1"/>
    <cellStyle name="Heading 4 10" xfId="487"/>
    <cellStyle name="Heading 4 11" xfId="531"/>
    <cellStyle name="Heading 4 12" xfId="575"/>
    <cellStyle name="Heading 4 13" xfId="616"/>
    <cellStyle name="Heading 4 2" xfId="135"/>
    <cellStyle name="Heading 4 3" xfId="179"/>
    <cellStyle name="Heading 4 4" xfId="223"/>
    <cellStyle name="Heading 4 5" xfId="267"/>
    <cellStyle name="Heading 4 6" xfId="311"/>
    <cellStyle name="Heading 4 7" xfId="355"/>
    <cellStyle name="Heading 4 8" xfId="399"/>
    <cellStyle name="Heading 4 9" xfId="443"/>
    <cellStyle name="Hyperlink" xfId="39" builtinId="8"/>
    <cellStyle name="Hyperlink 2" xfId="639"/>
    <cellStyle name="Hyperlink 3" xfId="732"/>
    <cellStyle name="Input" xfId="40" builtinId="20" customBuiltin="1"/>
    <cellStyle name="Input 10" xfId="491"/>
    <cellStyle name="Input 11" xfId="535"/>
    <cellStyle name="Input 12" xfId="579"/>
    <cellStyle name="Input 13" xfId="617"/>
    <cellStyle name="Input 2" xfId="139"/>
    <cellStyle name="Input 3" xfId="183"/>
    <cellStyle name="Input 4" xfId="227"/>
    <cellStyle name="Input 5" xfId="271"/>
    <cellStyle name="Input 6" xfId="315"/>
    <cellStyle name="Input 7" xfId="359"/>
    <cellStyle name="Input 8" xfId="403"/>
    <cellStyle name="Input 9" xfId="447"/>
    <cellStyle name="Installed" xfId="640"/>
    <cellStyle name="Linked Cell" xfId="41" builtinId="24" customBuiltin="1"/>
    <cellStyle name="Linked Cell 10" xfId="492"/>
    <cellStyle name="Linked Cell 11" xfId="536"/>
    <cellStyle name="Linked Cell 12" xfId="580"/>
    <cellStyle name="Linked Cell 13" xfId="618"/>
    <cellStyle name="Linked Cell 2" xfId="140"/>
    <cellStyle name="Linked Cell 3" xfId="184"/>
    <cellStyle name="Linked Cell 4" xfId="228"/>
    <cellStyle name="Linked Cell 5" xfId="272"/>
    <cellStyle name="Linked Cell 6" xfId="316"/>
    <cellStyle name="Linked Cell 7" xfId="360"/>
    <cellStyle name="Linked Cell 8" xfId="404"/>
    <cellStyle name="Linked Cell 9" xfId="448"/>
    <cellStyle name="Neutral" xfId="42" builtinId="28" customBuiltin="1"/>
    <cellStyle name="Neutral 10" xfId="493"/>
    <cellStyle name="Neutral 11" xfId="537"/>
    <cellStyle name="Neutral 12" xfId="581"/>
    <cellStyle name="Neutral 13" xfId="619"/>
    <cellStyle name="Neutral 2" xfId="141"/>
    <cellStyle name="Neutral 3" xfId="185"/>
    <cellStyle name="Neutral 4" xfId="229"/>
    <cellStyle name="Neutral 5" xfId="273"/>
    <cellStyle name="Neutral 6" xfId="317"/>
    <cellStyle name="Neutral 7" xfId="361"/>
    <cellStyle name="Neutral 8" xfId="405"/>
    <cellStyle name="Neutral 9" xfId="449"/>
    <cellStyle name="Normal" xfId="0" builtinId="0"/>
    <cellStyle name="Normal 10" xfId="92"/>
    <cellStyle name="Normal 10 2" xfId="695"/>
    <cellStyle name="Normal 18" xfId="627"/>
    <cellStyle name="Normal 18 2" xfId="641"/>
    <cellStyle name="Normal 18 2 2" xfId="721"/>
    <cellStyle name="Normal 18 3" xfId="714"/>
    <cellStyle name="Normal 2" xfId="43"/>
    <cellStyle name="Normal 2 10" xfId="186"/>
    <cellStyle name="Normal 2 11" xfId="230"/>
    <cellStyle name="Normal 2 12" xfId="274"/>
    <cellStyle name="Normal 2 13" xfId="318"/>
    <cellStyle name="Normal 2 14" xfId="362"/>
    <cellStyle name="Normal 2 15" xfId="406"/>
    <cellStyle name="Normal 2 16" xfId="450"/>
    <cellStyle name="Normal 2 17" xfId="494"/>
    <cellStyle name="Normal 2 18" xfId="538"/>
    <cellStyle name="Normal 2 19" xfId="582"/>
    <cellStyle name="Normal 2 2" xfId="60"/>
    <cellStyle name="Normal 2 2 2" xfId="642"/>
    <cellStyle name="Normal 2 2 2 2" xfId="722"/>
    <cellStyle name="Normal 2 2 3" xfId="663"/>
    <cellStyle name="Normal 2 20" xfId="620"/>
    <cellStyle name="Normal 2 3" xfId="71"/>
    <cellStyle name="Normal 2 3 2" xfId="674"/>
    <cellStyle name="Normal 2 4" xfId="75"/>
    <cellStyle name="Normal 2 4 2" xfId="678"/>
    <cellStyle name="Normal 2 5" xfId="69"/>
    <cellStyle name="Normal 2 5 2" xfId="672"/>
    <cellStyle name="Normal 2 6" xfId="83"/>
    <cellStyle name="Normal 2 6 2" xfId="686"/>
    <cellStyle name="Normal 2 7" xfId="88"/>
    <cellStyle name="Normal 2 7 2" xfId="691"/>
    <cellStyle name="Normal 2 8" xfId="94"/>
    <cellStyle name="Normal 2 8 2" xfId="697"/>
    <cellStyle name="Normal 2 9" xfId="142"/>
    <cellStyle name="Normal 2_NC - Project Name - ERP Tables_rev0_SWA" xfId="44"/>
    <cellStyle name="Normal 3" xfId="98"/>
    <cellStyle name="Normal 3 10" xfId="701"/>
    <cellStyle name="Normal 3 2" xfId="61"/>
    <cellStyle name="Normal 3 2 2" xfId="664"/>
    <cellStyle name="Normal 3 3" xfId="72"/>
    <cellStyle name="Normal 3 3 2" xfId="675"/>
    <cellStyle name="Normal 3 4" xfId="76"/>
    <cellStyle name="Normal 3 4 2" xfId="679"/>
    <cellStyle name="Normal 3 5" xfId="70"/>
    <cellStyle name="Normal 3 5 2" xfId="673"/>
    <cellStyle name="Normal 3 6" xfId="84"/>
    <cellStyle name="Normal 3 6 2" xfId="687"/>
    <cellStyle name="Normal 3 7" xfId="89"/>
    <cellStyle name="Normal 3 7 2" xfId="692"/>
    <cellStyle name="Normal 3 8" xfId="95"/>
    <cellStyle name="Normal 3 8 2" xfId="698"/>
    <cellStyle name="Normal 3 9" xfId="733"/>
    <cellStyle name="Normal 4" xfId="57"/>
    <cellStyle name="Normal 4 2" xfId="643"/>
    <cellStyle name="Normal 4 2 2" xfId="723"/>
    <cellStyle name="Normal 4 3" xfId="661"/>
    <cellStyle name="Normal 5" xfId="64"/>
    <cellStyle name="Normal 5 2" xfId="644"/>
    <cellStyle name="Normal 5 2 2" xfId="724"/>
    <cellStyle name="Normal 5 3" xfId="667"/>
    <cellStyle name="Normal 6" xfId="645"/>
    <cellStyle name="Normal 6 2" xfId="646"/>
    <cellStyle name="Normal 6 2 2" xfId="726"/>
    <cellStyle name="Normal 6 3" xfId="725"/>
    <cellStyle name="Normal 7" xfId="647"/>
    <cellStyle name="Normal 7 2" xfId="727"/>
    <cellStyle name="Normal 8" xfId="68"/>
    <cellStyle name="Normal 8 2" xfId="671"/>
    <cellStyle name="Normal 9" xfId="79"/>
    <cellStyle name="Normal 9 2" xfId="682"/>
    <cellStyle name="Normal_Alpha" xfId="45"/>
    <cellStyle name="Normal_ALPHA_5" xfId="46"/>
    <cellStyle name="Normal_Sheet1" xfId="58"/>
    <cellStyle name="Normal_Supporting Info" xfId="47"/>
    <cellStyle name="Normal_WaterCalc 11 07 08" xfId="48"/>
    <cellStyle name="Normal_zip-tmy2" xfId="49"/>
    <cellStyle name="Note" xfId="50" builtinId="10" customBuiltin="1"/>
    <cellStyle name="Note 10" xfId="193"/>
    <cellStyle name="Note 11" xfId="237"/>
    <cellStyle name="Note 12" xfId="281"/>
    <cellStyle name="Note 13" xfId="325"/>
    <cellStyle name="Note 14" xfId="369"/>
    <cellStyle name="Note 15" xfId="413"/>
    <cellStyle name="Note 16" xfId="457"/>
    <cellStyle name="Note 17" xfId="501"/>
    <cellStyle name="Note 18" xfId="545"/>
    <cellStyle name="Note 19" xfId="589"/>
    <cellStyle name="Note 2" xfId="62"/>
    <cellStyle name="Note 2 2" xfId="665"/>
    <cellStyle name="Note 20" xfId="621"/>
    <cellStyle name="Note 3" xfId="73"/>
    <cellStyle name="Note 3 2" xfId="676"/>
    <cellStyle name="Note 4" xfId="78"/>
    <cellStyle name="Note 4 2" xfId="681"/>
    <cellStyle name="Note 5" xfId="81"/>
    <cellStyle name="Note 5 2" xfId="684"/>
    <cellStyle name="Note 6" xfId="85"/>
    <cellStyle name="Note 6 2" xfId="688"/>
    <cellStyle name="Note 7" xfId="90"/>
    <cellStyle name="Note 7 2" xfId="693"/>
    <cellStyle name="Note 8" xfId="96"/>
    <cellStyle name="Note 8 2" xfId="699"/>
    <cellStyle name="Note 9" xfId="149"/>
    <cellStyle name="NumberHideZero" xfId="648"/>
    <cellStyle name="NumberHideZero 2" xfId="649"/>
    <cellStyle name="NumberHideZero 2 2" xfId="729"/>
    <cellStyle name="NumberHideZero 2 3" xfId="736"/>
    <cellStyle name="NumberHideZero 3" xfId="728"/>
    <cellStyle name="NumberHideZero 4" xfId="735"/>
    <cellStyle name="Ordered" xfId="650"/>
    <cellStyle name="Output" xfId="51" builtinId="21" customBuiltin="1"/>
    <cellStyle name="Output 10" xfId="502"/>
    <cellStyle name="Output 11" xfId="546"/>
    <cellStyle name="Output 12" xfId="590"/>
    <cellStyle name="Output 13" xfId="622"/>
    <cellStyle name="Output 2" xfId="150"/>
    <cellStyle name="Output 3" xfId="194"/>
    <cellStyle name="Output 4" xfId="238"/>
    <cellStyle name="Output 5" xfId="282"/>
    <cellStyle name="Output 6" xfId="326"/>
    <cellStyle name="Output 7" xfId="370"/>
    <cellStyle name="Output 8" xfId="414"/>
    <cellStyle name="Output 9" xfId="458"/>
    <cellStyle name="Percent" xfId="52" builtinId="5"/>
    <cellStyle name="Percent 2" xfId="53"/>
    <cellStyle name="Percent 2 10" xfId="196"/>
    <cellStyle name="Percent 2 11" xfId="240"/>
    <cellStyle name="Percent 2 12" xfId="284"/>
    <cellStyle name="Percent 2 13" xfId="328"/>
    <cellStyle name="Percent 2 14" xfId="372"/>
    <cellStyle name="Percent 2 15" xfId="416"/>
    <cellStyle name="Percent 2 16" xfId="460"/>
    <cellStyle name="Percent 2 17" xfId="504"/>
    <cellStyle name="Percent 2 18" xfId="548"/>
    <cellStyle name="Percent 2 19" xfId="591"/>
    <cellStyle name="Percent 2 2" xfId="63"/>
    <cellStyle name="Percent 2 2 2" xfId="666"/>
    <cellStyle name="Percent 2 20" xfId="623"/>
    <cellStyle name="Percent 2 3" xfId="74"/>
    <cellStyle name="Percent 2 3 2" xfId="677"/>
    <cellStyle name="Percent 2 4" xfId="80"/>
    <cellStyle name="Percent 2 4 2" xfId="683"/>
    <cellStyle name="Percent 2 5" xfId="82"/>
    <cellStyle name="Percent 2 5 2" xfId="685"/>
    <cellStyle name="Percent 2 6" xfId="86"/>
    <cellStyle name="Percent 2 6 2" xfId="689"/>
    <cellStyle name="Percent 2 7" xfId="91"/>
    <cellStyle name="Percent 2 7 2" xfId="694"/>
    <cellStyle name="Percent 2 8" xfId="97"/>
    <cellStyle name="Percent 2 8 2" xfId="700"/>
    <cellStyle name="Percent 2 9" xfId="152"/>
    <cellStyle name="Percent 3" xfId="651"/>
    <cellStyle name="Percent 3 2" xfId="730"/>
    <cellStyle name="Percent 4" xfId="652"/>
    <cellStyle name="Percent 4 2" xfId="731"/>
    <cellStyle name="Percent 5" xfId="653"/>
    <cellStyle name="Received" xfId="654"/>
    <cellStyle name="Red Font" xfId="655"/>
    <cellStyle name="Subtotal" xfId="656"/>
    <cellStyle name="Subtotal 2" xfId="737"/>
    <cellStyle name="Title" xfId="54" builtinId="15" customBuiltin="1"/>
    <cellStyle name="Title 10" xfId="505"/>
    <cellStyle name="Title 11" xfId="549"/>
    <cellStyle name="Title 12" xfId="592"/>
    <cellStyle name="Title 13" xfId="624"/>
    <cellStyle name="Title 2" xfId="153"/>
    <cellStyle name="Title 3" xfId="197"/>
    <cellStyle name="Title 4" xfId="241"/>
    <cellStyle name="Title 5" xfId="285"/>
    <cellStyle name="Title 6" xfId="329"/>
    <cellStyle name="Title 7" xfId="373"/>
    <cellStyle name="Title 8" xfId="417"/>
    <cellStyle name="Title 9" xfId="461"/>
    <cellStyle name="Top Border. Aqua" xfId="657"/>
    <cellStyle name="Top Border. Aqua 2" xfId="738"/>
    <cellStyle name="Total" xfId="55" builtinId="25" customBuiltin="1"/>
    <cellStyle name="Total 10" xfId="506"/>
    <cellStyle name="Total 11" xfId="550"/>
    <cellStyle name="Total 12" xfId="593"/>
    <cellStyle name="Total 13" xfId="625"/>
    <cellStyle name="Total 2" xfId="154"/>
    <cellStyle name="Total 3" xfId="198"/>
    <cellStyle name="Total 4" xfId="242"/>
    <cellStyle name="Total 5" xfId="286"/>
    <cellStyle name="Total 6" xfId="330"/>
    <cellStyle name="Total 7" xfId="374"/>
    <cellStyle name="Total 8" xfId="418"/>
    <cellStyle name="Total 9" xfId="462"/>
    <cellStyle name="Unlocked" xfId="658"/>
    <cellStyle name="Warning Text" xfId="56" builtinId="11" customBuiltin="1"/>
    <cellStyle name="Warning Text 10" xfId="507"/>
    <cellStyle name="Warning Text 11" xfId="551"/>
    <cellStyle name="Warning Text 12" xfId="594"/>
    <cellStyle name="Warning Text 13" xfId="626"/>
    <cellStyle name="Warning Text 2" xfId="155"/>
    <cellStyle name="Warning Text 3" xfId="199"/>
    <cellStyle name="Warning Text 4" xfId="243"/>
    <cellStyle name="Warning Text 5" xfId="287"/>
    <cellStyle name="Warning Text 6" xfId="331"/>
    <cellStyle name="Warning Text 7" xfId="375"/>
    <cellStyle name="Warning Text 8" xfId="419"/>
    <cellStyle name="Warning Text 9" xfId="463"/>
  </cellStyles>
  <dxfs count="4">
    <dxf>
      <font>
        <color auto="1"/>
      </font>
      <fill>
        <patternFill>
          <bgColor rgb="FFFF0000"/>
        </patternFill>
      </fill>
    </dxf>
    <dxf>
      <font>
        <color auto="1"/>
      </font>
      <fill>
        <patternFill>
          <bgColor rgb="FFFF0000"/>
        </patternFill>
      </fill>
    </dxf>
    <dxf>
      <font>
        <condense val="0"/>
        <extend val="0"/>
        <color auto="1"/>
      </font>
      <fill>
        <patternFill>
          <bgColor rgb="FFFFFF99"/>
        </patternFill>
      </fill>
    </dxf>
    <dxf>
      <font>
        <color rgb="FF9C0006"/>
      </font>
      <fill>
        <patternFill>
          <bgColor rgb="FFFFC7CE"/>
        </patternFill>
      </fill>
    </dxf>
  </dxfs>
  <tableStyles count="0" defaultTableStyle="TableStyleMedium9"/>
  <colors>
    <mruColors>
      <color rgb="FFFFCC99"/>
      <color rgb="FFFFFF99"/>
      <color rgb="FFCCFFFF"/>
      <color rgb="FF000000"/>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781050</xdr:colOff>
      <xdr:row>15</xdr:row>
      <xdr:rowOff>114300</xdr:rowOff>
    </xdr:from>
    <xdr:to>
      <xdr:col>10</xdr:col>
      <xdr:colOff>38100</xdr:colOff>
      <xdr:row>17</xdr:row>
      <xdr:rowOff>133350</xdr:rowOff>
    </xdr:to>
    <xdr:sp macro="" textlink="">
      <xdr:nvSpPr>
        <xdr:cNvPr id="34862" name="Oval 1"/>
        <xdr:cNvSpPr>
          <a:spLocks noChangeArrowheads="1"/>
        </xdr:cNvSpPr>
      </xdr:nvSpPr>
      <xdr:spPr bwMode="auto">
        <a:xfrm>
          <a:off x="8791575" y="3629025"/>
          <a:ext cx="657225" cy="419100"/>
        </a:xfrm>
        <a:prstGeom prst="ellipse">
          <a:avLst/>
        </a:prstGeom>
        <a:noFill/>
        <a:ln w="38100">
          <a:solidFill>
            <a:srgbClr val="000000"/>
          </a:solidFill>
          <a:round/>
          <a:headEnd/>
          <a:tailEnd/>
        </a:ln>
      </xdr:spPr>
    </xdr:sp>
    <xdr:clientData/>
  </xdr:twoCellAnchor>
  <xdr:twoCellAnchor>
    <xdr:from>
      <xdr:col>9</xdr:col>
      <xdr:colOff>381000</xdr:colOff>
      <xdr:row>17</xdr:row>
      <xdr:rowOff>142875</xdr:rowOff>
    </xdr:from>
    <xdr:to>
      <xdr:col>10</xdr:col>
      <xdr:colOff>457200</xdr:colOff>
      <xdr:row>46</xdr:row>
      <xdr:rowOff>66675</xdr:rowOff>
    </xdr:to>
    <xdr:sp macro="" textlink="">
      <xdr:nvSpPr>
        <xdr:cNvPr id="34863" name="Line 2"/>
        <xdr:cNvSpPr>
          <a:spLocks noChangeShapeType="1"/>
        </xdr:cNvSpPr>
      </xdr:nvSpPr>
      <xdr:spPr bwMode="auto">
        <a:xfrm flipH="1" flipV="1">
          <a:off x="9182100" y="4057650"/>
          <a:ext cx="685800" cy="4429125"/>
        </a:xfrm>
        <a:prstGeom prst="line">
          <a:avLst/>
        </a:prstGeom>
        <a:noFill/>
        <a:ln w="19050">
          <a:solidFill>
            <a:srgbClr val="000000"/>
          </a:solidFill>
          <a:round/>
          <a:headEnd type="triangle" w="med" len="med"/>
          <a:tailEnd/>
        </a:ln>
      </xdr:spPr>
    </xdr:sp>
    <xdr:clientData/>
  </xdr:twoCellAnchor>
  <xdr:twoCellAnchor>
    <xdr:from>
      <xdr:col>5</xdr:col>
      <xdr:colOff>714375</xdr:colOff>
      <xdr:row>36</xdr:row>
      <xdr:rowOff>9525</xdr:rowOff>
    </xdr:from>
    <xdr:to>
      <xdr:col>7</xdr:col>
      <xdr:colOff>66675</xdr:colOff>
      <xdr:row>40</xdr:row>
      <xdr:rowOff>66675</xdr:rowOff>
    </xdr:to>
    <xdr:sp macro="" textlink="">
      <xdr:nvSpPr>
        <xdr:cNvPr id="34864" name="Oval 3"/>
        <xdr:cNvSpPr>
          <a:spLocks noChangeArrowheads="1"/>
        </xdr:cNvSpPr>
      </xdr:nvSpPr>
      <xdr:spPr bwMode="auto">
        <a:xfrm>
          <a:off x="6448425" y="6562725"/>
          <a:ext cx="1019175" cy="838200"/>
        </a:xfrm>
        <a:prstGeom prst="ellipse">
          <a:avLst/>
        </a:prstGeom>
        <a:noFill/>
        <a:ln w="38100">
          <a:solidFill>
            <a:srgbClr val="000000"/>
          </a:solidFill>
          <a:round/>
          <a:headEnd/>
          <a:tailEnd/>
        </a:ln>
      </xdr:spPr>
    </xdr:sp>
    <xdr:clientData/>
  </xdr:twoCellAnchor>
  <xdr:twoCellAnchor>
    <xdr:from>
      <xdr:col>6</xdr:col>
      <xdr:colOff>542925</xdr:colOff>
      <xdr:row>8</xdr:row>
      <xdr:rowOff>76200</xdr:rowOff>
    </xdr:from>
    <xdr:to>
      <xdr:col>9</xdr:col>
      <xdr:colOff>400050</xdr:colOff>
      <xdr:row>36</xdr:row>
      <xdr:rowOff>38100</xdr:rowOff>
    </xdr:to>
    <xdr:sp macro="" textlink="">
      <xdr:nvSpPr>
        <xdr:cNvPr id="34865" name="Line 4"/>
        <xdr:cNvSpPr>
          <a:spLocks noChangeShapeType="1"/>
        </xdr:cNvSpPr>
      </xdr:nvSpPr>
      <xdr:spPr bwMode="auto">
        <a:xfrm flipV="1">
          <a:off x="7191375" y="1724025"/>
          <a:ext cx="2009775" cy="4867275"/>
        </a:xfrm>
        <a:prstGeom prst="line">
          <a:avLst/>
        </a:prstGeom>
        <a:noFill/>
        <a:ln w="9525">
          <a:solidFill>
            <a:srgbClr val="000000"/>
          </a:solidFill>
          <a:round/>
          <a:headEnd/>
          <a:tailEnd type="triangle" w="med" len="med"/>
        </a:ln>
      </xdr:spPr>
    </xdr:sp>
    <xdr:clientData/>
  </xdr:twoCellAnchor>
  <xdr:twoCellAnchor>
    <xdr:from>
      <xdr:col>3</xdr:col>
      <xdr:colOff>9525</xdr:colOff>
      <xdr:row>38</xdr:row>
      <xdr:rowOff>85725</xdr:rowOff>
    </xdr:from>
    <xdr:to>
      <xdr:col>3</xdr:col>
      <xdr:colOff>1209675</xdr:colOff>
      <xdr:row>45</xdr:row>
      <xdr:rowOff>85725</xdr:rowOff>
    </xdr:to>
    <xdr:sp macro="" textlink="">
      <xdr:nvSpPr>
        <xdr:cNvPr id="34866" name="Oval 5"/>
        <xdr:cNvSpPr>
          <a:spLocks noChangeArrowheads="1"/>
        </xdr:cNvSpPr>
      </xdr:nvSpPr>
      <xdr:spPr bwMode="auto">
        <a:xfrm>
          <a:off x="3676650" y="7058025"/>
          <a:ext cx="1200150" cy="1276350"/>
        </a:xfrm>
        <a:prstGeom prst="ellipse">
          <a:avLst/>
        </a:prstGeom>
        <a:noFill/>
        <a:ln w="38100">
          <a:solidFill>
            <a:srgbClr val="000000"/>
          </a:solidFill>
          <a:round/>
          <a:headEnd/>
          <a:tailEnd/>
        </a:ln>
      </xdr:spPr>
    </xdr:sp>
    <xdr:clientData/>
  </xdr:twoCellAnchor>
  <xdr:twoCellAnchor>
    <xdr:from>
      <xdr:col>1</xdr:col>
      <xdr:colOff>76200</xdr:colOff>
      <xdr:row>7</xdr:row>
      <xdr:rowOff>28575</xdr:rowOff>
    </xdr:from>
    <xdr:to>
      <xdr:col>1</xdr:col>
      <xdr:colOff>1133475</xdr:colOff>
      <xdr:row>11</xdr:row>
      <xdr:rowOff>28575</xdr:rowOff>
    </xdr:to>
    <xdr:sp macro="" textlink="">
      <xdr:nvSpPr>
        <xdr:cNvPr id="34867" name="Oval 6"/>
        <xdr:cNvSpPr>
          <a:spLocks noChangeArrowheads="1"/>
        </xdr:cNvSpPr>
      </xdr:nvSpPr>
      <xdr:spPr bwMode="auto">
        <a:xfrm>
          <a:off x="1495425" y="1419225"/>
          <a:ext cx="1057275" cy="857250"/>
        </a:xfrm>
        <a:prstGeom prst="ellipse">
          <a:avLst/>
        </a:prstGeom>
        <a:noFill/>
        <a:ln w="38100">
          <a:solidFill>
            <a:srgbClr val="000000"/>
          </a:solidFill>
          <a:round/>
          <a:headEnd/>
          <a:tailEnd/>
        </a:ln>
      </xdr:spPr>
    </xdr:sp>
    <xdr:clientData/>
  </xdr:twoCellAnchor>
  <xdr:twoCellAnchor>
    <xdr:from>
      <xdr:col>3</xdr:col>
      <xdr:colOff>952500</xdr:colOff>
      <xdr:row>13</xdr:row>
      <xdr:rowOff>66675</xdr:rowOff>
    </xdr:from>
    <xdr:to>
      <xdr:col>9</xdr:col>
      <xdr:colOff>352425</xdr:colOff>
      <xdr:row>38</xdr:row>
      <xdr:rowOff>95250</xdr:rowOff>
    </xdr:to>
    <xdr:sp macro="" textlink="">
      <xdr:nvSpPr>
        <xdr:cNvPr id="34868" name="Line 7"/>
        <xdr:cNvSpPr>
          <a:spLocks noChangeShapeType="1"/>
        </xdr:cNvSpPr>
      </xdr:nvSpPr>
      <xdr:spPr bwMode="auto">
        <a:xfrm flipV="1">
          <a:off x="4619625" y="3181350"/>
          <a:ext cx="4533900" cy="3886200"/>
        </a:xfrm>
        <a:prstGeom prst="line">
          <a:avLst/>
        </a:prstGeom>
        <a:noFill/>
        <a:ln w="9525">
          <a:solidFill>
            <a:srgbClr val="000000"/>
          </a:solidFill>
          <a:round/>
          <a:headEnd/>
          <a:tailEnd type="triangle" w="med" len="med"/>
        </a:ln>
      </xdr:spPr>
    </xdr:sp>
    <xdr:clientData/>
  </xdr:twoCellAnchor>
  <xdr:twoCellAnchor>
    <xdr:from>
      <xdr:col>2</xdr:col>
      <xdr:colOff>28575</xdr:colOff>
      <xdr:row>9</xdr:row>
      <xdr:rowOff>171450</xdr:rowOff>
    </xdr:from>
    <xdr:to>
      <xdr:col>9</xdr:col>
      <xdr:colOff>266700</xdr:colOff>
      <xdr:row>12</xdr:row>
      <xdr:rowOff>523875</xdr:rowOff>
    </xdr:to>
    <xdr:sp macro="" textlink="">
      <xdr:nvSpPr>
        <xdr:cNvPr id="34869" name="Line 8"/>
        <xdr:cNvSpPr>
          <a:spLocks noChangeShapeType="1"/>
        </xdr:cNvSpPr>
      </xdr:nvSpPr>
      <xdr:spPr bwMode="auto">
        <a:xfrm>
          <a:off x="2667000" y="2019300"/>
          <a:ext cx="6400800" cy="962025"/>
        </a:xfrm>
        <a:prstGeom prst="line">
          <a:avLst/>
        </a:prstGeom>
        <a:noFill/>
        <a:ln w="9525">
          <a:solidFill>
            <a:srgbClr val="000000"/>
          </a:solidFill>
          <a:round/>
          <a:headEnd/>
          <a:tailEnd type="triangle" w="med" len="med"/>
        </a:ln>
      </xdr:spPr>
    </xdr:sp>
    <xdr:clientData/>
  </xdr:twoCellAnchor>
  <xdr:twoCellAnchor>
    <xdr:from>
      <xdr:col>2</xdr:col>
      <xdr:colOff>828675</xdr:colOff>
      <xdr:row>46</xdr:row>
      <xdr:rowOff>66675</xdr:rowOff>
    </xdr:from>
    <xdr:to>
      <xdr:col>10</xdr:col>
      <xdr:colOff>447675</xdr:colOff>
      <xdr:row>50</xdr:row>
      <xdr:rowOff>85725</xdr:rowOff>
    </xdr:to>
    <xdr:sp macro="" textlink="">
      <xdr:nvSpPr>
        <xdr:cNvPr id="34870" name="Line 9"/>
        <xdr:cNvSpPr>
          <a:spLocks noChangeShapeType="1"/>
        </xdr:cNvSpPr>
      </xdr:nvSpPr>
      <xdr:spPr bwMode="auto">
        <a:xfrm flipV="1">
          <a:off x="3467100" y="8486775"/>
          <a:ext cx="6391275" cy="857250"/>
        </a:xfrm>
        <a:prstGeom prst="line">
          <a:avLst/>
        </a:prstGeom>
        <a:noFill/>
        <a:ln w="19050">
          <a:solidFill>
            <a:srgbClr val="000000"/>
          </a:solidFill>
          <a:round/>
          <a:headEnd type="triangle" w="med" len="med"/>
          <a:tailEnd/>
        </a:ln>
      </xdr:spPr>
    </xdr:sp>
    <xdr:clientData/>
  </xdr:twoCellAnchor>
  <xdr:twoCellAnchor>
    <xdr:from>
      <xdr:col>8</xdr:col>
      <xdr:colOff>781050</xdr:colOff>
      <xdr:row>15</xdr:row>
      <xdr:rowOff>114300</xdr:rowOff>
    </xdr:from>
    <xdr:to>
      <xdr:col>10</xdr:col>
      <xdr:colOff>38100</xdr:colOff>
      <xdr:row>17</xdr:row>
      <xdr:rowOff>133350</xdr:rowOff>
    </xdr:to>
    <xdr:sp macro="" textlink="">
      <xdr:nvSpPr>
        <xdr:cNvPr id="11" name="Oval 1"/>
        <xdr:cNvSpPr>
          <a:spLocks noChangeArrowheads="1"/>
        </xdr:cNvSpPr>
      </xdr:nvSpPr>
      <xdr:spPr bwMode="auto">
        <a:xfrm>
          <a:off x="8791575" y="3629025"/>
          <a:ext cx="657225" cy="419100"/>
        </a:xfrm>
        <a:prstGeom prst="ellipse">
          <a:avLst/>
        </a:prstGeom>
        <a:noFill/>
        <a:ln w="38100">
          <a:solidFill>
            <a:srgbClr val="000000"/>
          </a:solidFill>
          <a:round/>
          <a:headEnd/>
          <a:tailEnd/>
        </a:ln>
      </xdr:spPr>
    </xdr:sp>
    <xdr:clientData/>
  </xdr:twoCellAnchor>
  <xdr:twoCellAnchor>
    <xdr:from>
      <xdr:col>9</xdr:col>
      <xdr:colOff>381000</xdr:colOff>
      <xdr:row>17</xdr:row>
      <xdr:rowOff>142875</xdr:rowOff>
    </xdr:from>
    <xdr:to>
      <xdr:col>10</xdr:col>
      <xdr:colOff>457200</xdr:colOff>
      <xdr:row>46</xdr:row>
      <xdr:rowOff>66675</xdr:rowOff>
    </xdr:to>
    <xdr:sp macro="" textlink="">
      <xdr:nvSpPr>
        <xdr:cNvPr id="12" name="Line 2"/>
        <xdr:cNvSpPr>
          <a:spLocks noChangeShapeType="1"/>
        </xdr:cNvSpPr>
      </xdr:nvSpPr>
      <xdr:spPr bwMode="auto">
        <a:xfrm flipH="1" flipV="1">
          <a:off x="9182100" y="4057650"/>
          <a:ext cx="685800" cy="4429125"/>
        </a:xfrm>
        <a:prstGeom prst="line">
          <a:avLst/>
        </a:prstGeom>
        <a:noFill/>
        <a:ln w="19050">
          <a:solidFill>
            <a:srgbClr val="000000"/>
          </a:solidFill>
          <a:round/>
          <a:headEnd type="triangle" w="med" len="med"/>
          <a:tailEnd/>
        </a:ln>
      </xdr:spPr>
    </xdr:sp>
    <xdr:clientData/>
  </xdr:twoCellAnchor>
  <xdr:twoCellAnchor>
    <xdr:from>
      <xdr:col>5</xdr:col>
      <xdr:colOff>714375</xdr:colOff>
      <xdr:row>36</xdr:row>
      <xdr:rowOff>9525</xdr:rowOff>
    </xdr:from>
    <xdr:to>
      <xdr:col>7</xdr:col>
      <xdr:colOff>66675</xdr:colOff>
      <xdr:row>40</xdr:row>
      <xdr:rowOff>66675</xdr:rowOff>
    </xdr:to>
    <xdr:sp macro="" textlink="">
      <xdr:nvSpPr>
        <xdr:cNvPr id="13" name="Oval 3"/>
        <xdr:cNvSpPr>
          <a:spLocks noChangeArrowheads="1"/>
        </xdr:cNvSpPr>
      </xdr:nvSpPr>
      <xdr:spPr bwMode="auto">
        <a:xfrm>
          <a:off x="6448425" y="6562725"/>
          <a:ext cx="1019175" cy="838200"/>
        </a:xfrm>
        <a:prstGeom prst="ellipse">
          <a:avLst/>
        </a:prstGeom>
        <a:noFill/>
        <a:ln w="38100">
          <a:solidFill>
            <a:srgbClr val="000000"/>
          </a:solidFill>
          <a:round/>
          <a:headEnd/>
          <a:tailEnd/>
        </a:ln>
      </xdr:spPr>
    </xdr:sp>
    <xdr:clientData/>
  </xdr:twoCellAnchor>
  <xdr:twoCellAnchor>
    <xdr:from>
      <xdr:col>6</xdr:col>
      <xdr:colOff>542925</xdr:colOff>
      <xdr:row>8</xdr:row>
      <xdr:rowOff>76200</xdr:rowOff>
    </xdr:from>
    <xdr:to>
      <xdr:col>9</xdr:col>
      <xdr:colOff>400050</xdr:colOff>
      <xdr:row>36</xdr:row>
      <xdr:rowOff>38100</xdr:rowOff>
    </xdr:to>
    <xdr:sp macro="" textlink="">
      <xdr:nvSpPr>
        <xdr:cNvPr id="14" name="Line 4"/>
        <xdr:cNvSpPr>
          <a:spLocks noChangeShapeType="1"/>
        </xdr:cNvSpPr>
      </xdr:nvSpPr>
      <xdr:spPr bwMode="auto">
        <a:xfrm flipV="1">
          <a:off x="7191375" y="1724025"/>
          <a:ext cx="2009775" cy="4867275"/>
        </a:xfrm>
        <a:prstGeom prst="line">
          <a:avLst/>
        </a:prstGeom>
        <a:noFill/>
        <a:ln w="9525">
          <a:solidFill>
            <a:srgbClr val="000000"/>
          </a:solidFill>
          <a:round/>
          <a:headEnd/>
          <a:tailEnd type="triangle" w="med" len="med"/>
        </a:ln>
      </xdr:spPr>
    </xdr:sp>
    <xdr:clientData/>
  </xdr:twoCellAnchor>
  <xdr:twoCellAnchor>
    <xdr:from>
      <xdr:col>3</xdr:col>
      <xdr:colOff>9525</xdr:colOff>
      <xdr:row>38</xdr:row>
      <xdr:rowOff>85725</xdr:rowOff>
    </xdr:from>
    <xdr:to>
      <xdr:col>3</xdr:col>
      <xdr:colOff>1209675</xdr:colOff>
      <xdr:row>45</xdr:row>
      <xdr:rowOff>85725</xdr:rowOff>
    </xdr:to>
    <xdr:sp macro="" textlink="">
      <xdr:nvSpPr>
        <xdr:cNvPr id="15" name="Oval 5"/>
        <xdr:cNvSpPr>
          <a:spLocks noChangeArrowheads="1"/>
        </xdr:cNvSpPr>
      </xdr:nvSpPr>
      <xdr:spPr bwMode="auto">
        <a:xfrm>
          <a:off x="3676650" y="7058025"/>
          <a:ext cx="1200150" cy="1276350"/>
        </a:xfrm>
        <a:prstGeom prst="ellipse">
          <a:avLst/>
        </a:prstGeom>
        <a:noFill/>
        <a:ln w="38100">
          <a:solidFill>
            <a:srgbClr val="000000"/>
          </a:solidFill>
          <a:round/>
          <a:headEnd/>
          <a:tailEnd/>
        </a:ln>
      </xdr:spPr>
    </xdr:sp>
    <xdr:clientData/>
  </xdr:twoCellAnchor>
  <xdr:twoCellAnchor>
    <xdr:from>
      <xdr:col>1</xdr:col>
      <xdr:colOff>76200</xdr:colOff>
      <xdr:row>7</xdr:row>
      <xdr:rowOff>28575</xdr:rowOff>
    </xdr:from>
    <xdr:to>
      <xdr:col>1</xdr:col>
      <xdr:colOff>1133475</xdr:colOff>
      <xdr:row>11</xdr:row>
      <xdr:rowOff>28575</xdr:rowOff>
    </xdr:to>
    <xdr:sp macro="" textlink="">
      <xdr:nvSpPr>
        <xdr:cNvPr id="16" name="Oval 6"/>
        <xdr:cNvSpPr>
          <a:spLocks noChangeArrowheads="1"/>
        </xdr:cNvSpPr>
      </xdr:nvSpPr>
      <xdr:spPr bwMode="auto">
        <a:xfrm>
          <a:off x="1495425" y="1419225"/>
          <a:ext cx="1057275" cy="857250"/>
        </a:xfrm>
        <a:prstGeom prst="ellipse">
          <a:avLst/>
        </a:prstGeom>
        <a:noFill/>
        <a:ln w="38100">
          <a:solidFill>
            <a:srgbClr val="000000"/>
          </a:solidFill>
          <a:round/>
          <a:headEnd/>
          <a:tailEnd/>
        </a:ln>
      </xdr:spPr>
    </xdr:sp>
    <xdr:clientData/>
  </xdr:twoCellAnchor>
  <xdr:twoCellAnchor>
    <xdr:from>
      <xdr:col>3</xdr:col>
      <xdr:colOff>952500</xdr:colOff>
      <xdr:row>13</xdr:row>
      <xdr:rowOff>66675</xdr:rowOff>
    </xdr:from>
    <xdr:to>
      <xdr:col>9</xdr:col>
      <xdr:colOff>352425</xdr:colOff>
      <xdr:row>38</xdr:row>
      <xdr:rowOff>95250</xdr:rowOff>
    </xdr:to>
    <xdr:sp macro="" textlink="">
      <xdr:nvSpPr>
        <xdr:cNvPr id="17" name="Line 7"/>
        <xdr:cNvSpPr>
          <a:spLocks noChangeShapeType="1"/>
        </xdr:cNvSpPr>
      </xdr:nvSpPr>
      <xdr:spPr bwMode="auto">
        <a:xfrm flipV="1">
          <a:off x="4619625" y="3181350"/>
          <a:ext cx="4533900" cy="3886200"/>
        </a:xfrm>
        <a:prstGeom prst="line">
          <a:avLst/>
        </a:prstGeom>
        <a:noFill/>
        <a:ln w="9525">
          <a:solidFill>
            <a:srgbClr val="000000"/>
          </a:solidFill>
          <a:round/>
          <a:headEnd/>
          <a:tailEnd type="triangle" w="med" len="med"/>
        </a:ln>
      </xdr:spPr>
    </xdr:sp>
    <xdr:clientData/>
  </xdr:twoCellAnchor>
  <xdr:twoCellAnchor>
    <xdr:from>
      <xdr:col>2</xdr:col>
      <xdr:colOff>28575</xdr:colOff>
      <xdr:row>9</xdr:row>
      <xdr:rowOff>171450</xdr:rowOff>
    </xdr:from>
    <xdr:to>
      <xdr:col>9</xdr:col>
      <xdr:colOff>266700</xdr:colOff>
      <xdr:row>12</xdr:row>
      <xdr:rowOff>523875</xdr:rowOff>
    </xdr:to>
    <xdr:sp macro="" textlink="">
      <xdr:nvSpPr>
        <xdr:cNvPr id="18" name="Line 8"/>
        <xdr:cNvSpPr>
          <a:spLocks noChangeShapeType="1"/>
        </xdr:cNvSpPr>
      </xdr:nvSpPr>
      <xdr:spPr bwMode="auto">
        <a:xfrm>
          <a:off x="2667000" y="2019300"/>
          <a:ext cx="6400800" cy="962025"/>
        </a:xfrm>
        <a:prstGeom prst="line">
          <a:avLst/>
        </a:prstGeom>
        <a:noFill/>
        <a:ln w="9525">
          <a:solidFill>
            <a:srgbClr val="000000"/>
          </a:solidFill>
          <a:round/>
          <a:headEnd/>
          <a:tailEnd type="triangle" w="med" len="med"/>
        </a:ln>
      </xdr:spPr>
    </xdr:sp>
    <xdr:clientData/>
  </xdr:twoCellAnchor>
  <xdr:twoCellAnchor>
    <xdr:from>
      <xdr:col>2</xdr:col>
      <xdr:colOff>828675</xdr:colOff>
      <xdr:row>46</xdr:row>
      <xdr:rowOff>66675</xdr:rowOff>
    </xdr:from>
    <xdr:to>
      <xdr:col>10</xdr:col>
      <xdr:colOff>447675</xdr:colOff>
      <xdr:row>50</xdr:row>
      <xdr:rowOff>85725</xdr:rowOff>
    </xdr:to>
    <xdr:sp macro="" textlink="">
      <xdr:nvSpPr>
        <xdr:cNvPr id="19" name="Line 9"/>
        <xdr:cNvSpPr>
          <a:spLocks noChangeShapeType="1"/>
        </xdr:cNvSpPr>
      </xdr:nvSpPr>
      <xdr:spPr bwMode="auto">
        <a:xfrm flipV="1">
          <a:off x="3467100" y="8486775"/>
          <a:ext cx="6391275" cy="857250"/>
        </a:xfrm>
        <a:prstGeom prst="line">
          <a:avLst/>
        </a:prstGeom>
        <a:noFill/>
        <a:ln w="19050">
          <a:solidFill>
            <a:srgbClr val="000000"/>
          </a:solidFill>
          <a:round/>
          <a:headEnd type="triangle" w="med" len="me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781050</xdr:colOff>
      <xdr:row>15</xdr:row>
      <xdr:rowOff>114300</xdr:rowOff>
    </xdr:from>
    <xdr:to>
      <xdr:col>10</xdr:col>
      <xdr:colOff>38100</xdr:colOff>
      <xdr:row>17</xdr:row>
      <xdr:rowOff>133350</xdr:rowOff>
    </xdr:to>
    <xdr:sp macro="" textlink="">
      <xdr:nvSpPr>
        <xdr:cNvPr id="36903" name="Oval 1"/>
        <xdr:cNvSpPr>
          <a:spLocks noChangeArrowheads="1"/>
        </xdr:cNvSpPr>
      </xdr:nvSpPr>
      <xdr:spPr bwMode="auto">
        <a:xfrm>
          <a:off x="8791575" y="3629025"/>
          <a:ext cx="657225" cy="419100"/>
        </a:xfrm>
        <a:prstGeom prst="ellipse">
          <a:avLst/>
        </a:prstGeom>
        <a:noFill/>
        <a:ln w="38100">
          <a:solidFill>
            <a:srgbClr val="000000"/>
          </a:solidFill>
          <a:round/>
          <a:headEnd/>
          <a:tailEnd/>
        </a:ln>
      </xdr:spPr>
    </xdr:sp>
    <xdr:clientData/>
  </xdr:twoCellAnchor>
  <xdr:twoCellAnchor>
    <xdr:from>
      <xdr:col>9</xdr:col>
      <xdr:colOff>381000</xdr:colOff>
      <xdr:row>17</xdr:row>
      <xdr:rowOff>142875</xdr:rowOff>
    </xdr:from>
    <xdr:to>
      <xdr:col>10</xdr:col>
      <xdr:colOff>457200</xdr:colOff>
      <xdr:row>46</xdr:row>
      <xdr:rowOff>66675</xdr:rowOff>
    </xdr:to>
    <xdr:sp macro="" textlink="">
      <xdr:nvSpPr>
        <xdr:cNvPr id="36904" name="Line 2"/>
        <xdr:cNvSpPr>
          <a:spLocks noChangeShapeType="1"/>
        </xdr:cNvSpPr>
      </xdr:nvSpPr>
      <xdr:spPr bwMode="auto">
        <a:xfrm flipH="1" flipV="1">
          <a:off x="9182100" y="4057650"/>
          <a:ext cx="685800" cy="4429125"/>
        </a:xfrm>
        <a:prstGeom prst="line">
          <a:avLst/>
        </a:prstGeom>
        <a:noFill/>
        <a:ln w="19050">
          <a:solidFill>
            <a:srgbClr val="000000"/>
          </a:solidFill>
          <a:round/>
          <a:headEnd type="triangle" w="med" len="med"/>
          <a:tailEnd/>
        </a:ln>
      </xdr:spPr>
    </xdr:sp>
    <xdr:clientData/>
  </xdr:twoCellAnchor>
  <xdr:twoCellAnchor>
    <xdr:from>
      <xdr:col>5</xdr:col>
      <xdr:colOff>714375</xdr:colOff>
      <xdr:row>36</xdr:row>
      <xdr:rowOff>9525</xdr:rowOff>
    </xdr:from>
    <xdr:to>
      <xdr:col>7</xdr:col>
      <xdr:colOff>66675</xdr:colOff>
      <xdr:row>40</xdr:row>
      <xdr:rowOff>66675</xdr:rowOff>
    </xdr:to>
    <xdr:sp macro="" textlink="">
      <xdr:nvSpPr>
        <xdr:cNvPr id="36905" name="Oval 3"/>
        <xdr:cNvSpPr>
          <a:spLocks noChangeArrowheads="1"/>
        </xdr:cNvSpPr>
      </xdr:nvSpPr>
      <xdr:spPr bwMode="auto">
        <a:xfrm>
          <a:off x="6448425" y="6562725"/>
          <a:ext cx="1019175" cy="838200"/>
        </a:xfrm>
        <a:prstGeom prst="ellipse">
          <a:avLst/>
        </a:prstGeom>
        <a:noFill/>
        <a:ln w="38100">
          <a:solidFill>
            <a:srgbClr val="000000"/>
          </a:solidFill>
          <a:round/>
          <a:headEnd/>
          <a:tailEnd/>
        </a:ln>
      </xdr:spPr>
    </xdr:sp>
    <xdr:clientData/>
  </xdr:twoCellAnchor>
  <xdr:twoCellAnchor>
    <xdr:from>
      <xdr:col>6</xdr:col>
      <xdr:colOff>542925</xdr:colOff>
      <xdr:row>8</xdr:row>
      <xdr:rowOff>76200</xdr:rowOff>
    </xdr:from>
    <xdr:to>
      <xdr:col>9</xdr:col>
      <xdr:colOff>400050</xdr:colOff>
      <xdr:row>36</xdr:row>
      <xdr:rowOff>38100</xdr:rowOff>
    </xdr:to>
    <xdr:sp macro="" textlink="">
      <xdr:nvSpPr>
        <xdr:cNvPr id="36906" name="Line 4"/>
        <xdr:cNvSpPr>
          <a:spLocks noChangeShapeType="1"/>
        </xdr:cNvSpPr>
      </xdr:nvSpPr>
      <xdr:spPr bwMode="auto">
        <a:xfrm flipV="1">
          <a:off x="7191375" y="1724025"/>
          <a:ext cx="2009775" cy="4867275"/>
        </a:xfrm>
        <a:prstGeom prst="line">
          <a:avLst/>
        </a:prstGeom>
        <a:noFill/>
        <a:ln w="9525">
          <a:solidFill>
            <a:srgbClr val="000000"/>
          </a:solidFill>
          <a:round/>
          <a:headEnd/>
          <a:tailEnd type="triangle" w="med" len="med"/>
        </a:ln>
      </xdr:spPr>
    </xdr:sp>
    <xdr:clientData/>
  </xdr:twoCellAnchor>
  <xdr:twoCellAnchor>
    <xdr:from>
      <xdr:col>3</xdr:col>
      <xdr:colOff>9525</xdr:colOff>
      <xdr:row>38</xdr:row>
      <xdr:rowOff>85725</xdr:rowOff>
    </xdr:from>
    <xdr:to>
      <xdr:col>3</xdr:col>
      <xdr:colOff>1209675</xdr:colOff>
      <xdr:row>45</xdr:row>
      <xdr:rowOff>85725</xdr:rowOff>
    </xdr:to>
    <xdr:sp macro="" textlink="">
      <xdr:nvSpPr>
        <xdr:cNvPr id="36907" name="Oval 5"/>
        <xdr:cNvSpPr>
          <a:spLocks noChangeArrowheads="1"/>
        </xdr:cNvSpPr>
      </xdr:nvSpPr>
      <xdr:spPr bwMode="auto">
        <a:xfrm>
          <a:off x="3676650" y="7058025"/>
          <a:ext cx="1200150" cy="1276350"/>
        </a:xfrm>
        <a:prstGeom prst="ellipse">
          <a:avLst/>
        </a:prstGeom>
        <a:noFill/>
        <a:ln w="38100">
          <a:solidFill>
            <a:srgbClr val="000000"/>
          </a:solidFill>
          <a:round/>
          <a:headEnd/>
          <a:tailEnd/>
        </a:ln>
      </xdr:spPr>
    </xdr:sp>
    <xdr:clientData/>
  </xdr:twoCellAnchor>
  <xdr:twoCellAnchor>
    <xdr:from>
      <xdr:col>1</xdr:col>
      <xdr:colOff>76200</xdr:colOff>
      <xdr:row>7</xdr:row>
      <xdr:rowOff>28575</xdr:rowOff>
    </xdr:from>
    <xdr:to>
      <xdr:col>1</xdr:col>
      <xdr:colOff>1133475</xdr:colOff>
      <xdr:row>11</xdr:row>
      <xdr:rowOff>28575</xdr:rowOff>
    </xdr:to>
    <xdr:sp macro="" textlink="">
      <xdr:nvSpPr>
        <xdr:cNvPr id="36908" name="Oval 6"/>
        <xdr:cNvSpPr>
          <a:spLocks noChangeArrowheads="1"/>
        </xdr:cNvSpPr>
      </xdr:nvSpPr>
      <xdr:spPr bwMode="auto">
        <a:xfrm>
          <a:off x="1495425" y="1419225"/>
          <a:ext cx="1057275" cy="857250"/>
        </a:xfrm>
        <a:prstGeom prst="ellipse">
          <a:avLst/>
        </a:prstGeom>
        <a:noFill/>
        <a:ln w="38100">
          <a:solidFill>
            <a:srgbClr val="000000"/>
          </a:solidFill>
          <a:round/>
          <a:headEnd/>
          <a:tailEnd/>
        </a:ln>
      </xdr:spPr>
    </xdr:sp>
    <xdr:clientData/>
  </xdr:twoCellAnchor>
  <xdr:twoCellAnchor>
    <xdr:from>
      <xdr:col>3</xdr:col>
      <xdr:colOff>952500</xdr:colOff>
      <xdr:row>13</xdr:row>
      <xdr:rowOff>66675</xdr:rowOff>
    </xdr:from>
    <xdr:to>
      <xdr:col>9</xdr:col>
      <xdr:colOff>352425</xdr:colOff>
      <xdr:row>38</xdr:row>
      <xdr:rowOff>95250</xdr:rowOff>
    </xdr:to>
    <xdr:sp macro="" textlink="">
      <xdr:nvSpPr>
        <xdr:cNvPr id="36909" name="Line 7"/>
        <xdr:cNvSpPr>
          <a:spLocks noChangeShapeType="1"/>
        </xdr:cNvSpPr>
      </xdr:nvSpPr>
      <xdr:spPr bwMode="auto">
        <a:xfrm flipV="1">
          <a:off x="4619625" y="3181350"/>
          <a:ext cx="4533900" cy="3886200"/>
        </a:xfrm>
        <a:prstGeom prst="line">
          <a:avLst/>
        </a:prstGeom>
        <a:noFill/>
        <a:ln w="9525">
          <a:solidFill>
            <a:srgbClr val="000000"/>
          </a:solidFill>
          <a:round/>
          <a:headEnd/>
          <a:tailEnd type="triangle" w="med" len="med"/>
        </a:ln>
      </xdr:spPr>
    </xdr:sp>
    <xdr:clientData/>
  </xdr:twoCellAnchor>
  <xdr:twoCellAnchor>
    <xdr:from>
      <xdr:col>2</xdr:col>
      <xdr:colOff>28575</xdr:colOff>
      <xdr:row>9</xdr:row>
      <xdr:rowOff>171450</xdr:rowOff>
    </xdr:from>
    <xdr:to>
      <xdr:col>9</xdr:col>
      <xdr:colOff>266700</xdr:colOff>
      <xdr:row>12</xdr:row>
      <xdr:rowOff>523875</xdr:rowOff>
    </xdr:to>
    <xdr:sp macro="" textlink="">
      <xdr:nvSpPr>
        <xdr:cNvPr id="36910" name="Line 8"/>
        <xdr:cNvSpPr>
          <a:spLocks noChangeShapeType="1"/>
        </xdr:cNvSpPr>
      </xdr:nvSpPr>
      <xdr:spPr bwMode="auto">
        <a:xfrm>
          <a:off x="2667000" y="2019300"/>
          <a:ext cx="6400800" cy="962025"/>
        </a:xfrm>
        <a:prstGeom prst="line">
          <a:avLst/>
        </a:prstGeom>
        <a:noFill/>
        <a:ln w="9525">
          <a:solidFill>
            <a:srgbClr val="000000"/>
          </a:solidFill>
          <a:round/>
          <a:headEnd/>
          <a:tailEnd type="triangle" w="med" len="med"/>
        </a:ln>
      </xdr:spPr>
    </xdr:sp>
    <xdr:clientData/>
  </xdr:twoCellAnchor>
  <xdr:twoCellAnchor>
    <xdr:from>
      <xdr:col>2</xdr:col>
      <xdr:colOff>828675</xdr:colOff>
      <xdr:row>46</xdr:row>
      <xdr:rowOff>66675</xdr:rowOff>
    </xdr:from>
    <xdr:to>
      <xdr:col>10</xdr:col>
      <xdr:colOff>447675</xdr:colOff>
      <xdr:row>50</xdr:row>
      <xdr:rowOff>85725</xdr:rowOff>
    </xdr:to>
    <xdr:sp macro="" textlink="">
      <xdr:nvSpPr>
        <xdr:cNvPr id="36911" name="Line 9"/>
        <xdr:cNvSpPr>
          <a:spLocks noChangeShapeType="1"/>
        </xdr:cNvSpPr>
      </xdr:nvSpPr>
      <xdr:spPr bwMode="auto">
        <a:xfrm flipV="1">
          <a:off x="3467100" y="8486775"/>
          <a:ext cx="6391275" cy="857250"/>
        </a:xfrm>
        <a:prstGeom prst="line">
          <a:avLst/>
        </a:prstGeom>
        <a:noFill/>
        <a:ln w="19050">
          <a:solidFill>
            <a:srgbClr val="000000"/>
          </a:solidFill>
          <a:round/>
          <a:headEnd type="triangle" w="med" len="med"/>
          <a:tailEnd/>
        </a:ln>
      </xdr:spPr>
    </xdr:sp>
    <xdr:clientData/>
  </xdr:twoCellAnchor>
  <xdr:twoCellAnchor>
    <xdr:from>
      <xdr:col>8</xdr:col>
      <xdr:colOff>781050</xdr:colOff>
      <xdr:row>15</xdr:row>
      <xdr:rowOff>114300</xdr:rowOff>
    </xdr:from>
    <xdr:to>
      <xdr:col>10</xdr:col>
      <xdr:colOff>38100</xdr:colOff>
      <xdr:row>17</xdr:row>
      <xdr:rowOff>133350</xdr:rowOff>
    </xdr:to>
    <xdr:sp macro="" textlink="">
      <xdr:nvSpPr>
        <xdr:cNvPr id="11" name="Oval 1"/>
        <xdr:cNvSpPr>
          <a:spLocks noChangeArrowheads="1"/>
        </xdr:cNvSpPr>
      </xdr:nvSpPr>
      <xdr:spPr bwMode="auto">
        <a:xfrm>
          <a:off x="8791575" y="3629025"/>
          <a:ext cx="657225" cy="419100"/>
        </a:xfrm>
        <a:prstGeom prst="ellipse">
          <a:avLst/>
        </a:prstGeom>
        <a:noFill/>
        <a:ln w="38100">
          <a:solidFill>
            <a:srgbClr val="000000"/>
          </a:solidFill>
          <a:round/>
          <a:headEnd/>
          <a:tailEnd/>
        </a:ln>
      </xdr:spPr>
    </xdr:sp>
    <xdr:clientData/>
  </xdr:twoCellAnchor>
  <xdr:twoCellAnchor>
    <xdr:from>
      <xdr:col>9</xdr:col>
      <xdr:colOff>381000</xdr:colOff>
      <xdr:row>17</xdr:row>
      <xdr:rowOff>142875</xdr:rowOff>
    </xdr:from>
    <xdr:to>
      <xdr:col>10</xdr:col>
      <xdr:colOff>457200</xdr:colOff>
      <xdr:row>46</xdr:row>
      <xdr:rowOff>66675</xdr:rowOff>
    </xdr:to>
    <xdr:sp macro="" textlink="">
      <xdr:nvSpPr>
        <xdr:cNvPr id="12" name="Line 2"/>
        <xdr:cNvSpPr>
          <a:spLocks noChangeShapeType="1"/>
        </xdr:cNvSpPr>
      </xdr:nvSpPr>
      <xdr:spPr bwMode="auto">
        <a:xfrm flipH="1" flipV="1">
          <a:off x="9182100" y="4057650"/>
          <a:ext cx="685800" cy="4429125"/>
        </a:xfrm>
        <a:prstGeom prst="line">
          <a:avLst/>
        </a:prstGeom>
        <a:noFill/>
        <a:ln w="19050">
          <a:solidFill>
            <a:srgbClr val="000000"/>
          </a:solidFill>
          <a:round/>
          <a:headEnd type="triangle" w="med" len="med"/>
          <a:tailEnd/>
        </a:ln>
      </xdr:spPr>
    </xdr:sp>
    <xdr:clientData/>
  </xdr:twoCellAnchor>
  <xdr:twoCellAnchor>
    <xdr:from>
      <xdr:col>5</xdr:col>
      <xdr:colOff>714375</xdr:colOff>
      <xdr:row>36</xdr:row>
      <xdr:rowOff>9525</xdr:rowOff>
    </xdr:from>
    <xdr:to>
      <xdr:col>7</xdr:col>
      <xdr:colOff>66675</xdr:colOff>
      <xdr:row>40</xdr:row>
      <xdr:rowOff>66675</xdr:rowOff>
    </xdr:to>
    <xdr:sp macro="" textlink="">
      <xdr:nvSpPr>
        <xdr:cNvPr id="13" name="Oval 3"/>
        <xdr:cNvSpPr>
          <a:spLocks noChangeArrowheads="1"/>
        </xdr:cNvSpPr>
      </xdr:nvSpPr>
      <xdr:spPr bwMode="auto">
        <a:xfrm>
          <a:off x="6448425" y="6562725"/>
          <a:ext cx="1019175" cy="838200"/>
        </a:xfrm>
        <a:prstGeom prst="ellipse">
          <a:avLst/>
        </a:prstGeom>
        <a:noFill/>
        <a:ln w="38100">
          <a:solidFill>
            <a:srgbClr val="000000"/>
          </a:solidFill>
          <a:round/>
          <a:headEnd/>
          <a:tailEnd/>
        </a:ln>
      </xdr:spPr>
    </xdr:sp>
    <xdr:clientData/>
  </xdr:twoCellAnchor>
  <xdr:twoCellAnchor>
    <xdr:from>
      <xdr:col>6</xdr:col>
      <xdr:colOff>542925</xdr:colOff>
      <xdr:row>8</xdr:row>
      <xdr:rowOff>76200</xdr:rowOff>
    </xdr:from>
    <xdr:to>
      <xdr:col>9</xdr:col>
      <xdr:colOff>400050</xdr:colOff>
      <xdr:row>36</xdr:row>
      <xdr:rowOff>38100</xdr:rowOff>
    </xdr:to>
    <xdr:sp macro="" textlink="">
      <xdr:nvSpPr>
        <xdr:cNvPr id="14" name="Line 4"/>
        <xdr:cNvSpPr>
          <a:spLocks noChangeShapeType="1"/>
        </xdr:cNvSpPr>
      </xdr:nvSpPr>
      <xdr:spPr bwMode="auto">
        <a:xfrm flipV="1">
          <a:off x="7191375" y="1724025"/>
          <a:ext cx="2009775" cy="4867275"/>
        </a:xfrm>
        <a:prstGeom prst="line">
          <a:avLst/>
        </a:prstGeom>
        <a:noFill/>
        <a:ln w="9525">
          <a:solidFill>
            <a:srgbClr val="000000"/>
          </a:solidFill>
          <a:round/>
          <a:headEnd/>
          <a:tailEnd type="triangle" w="med" len="med"/>
        </a:ln>
      </xdr:spPr>
    </xdr:sp>
    <xdr:clientData/>
  </xdr:twoCellAnchor>
  <xdr:twoCellAnchor>
    <xdr:from>
      <xdr:col>3</xdr:col>
      <xdr:colOff>9525</xdr:colOff>
      <xdr:row>38</xdr:row>
      <xdr:rowOff>85725</xdr:rowOff>
    </xdr:from>
    <xdr:to>
      <xdr:col>3</xdr:col>
      <xdr:colOff>1209675</xdr:colOff>
      <xdr:row>45</xdr:row>
      <xdr:rowOff>85725</xdr:rowOff>
    </xdr:to>
    <xdr:sp macro="" textlink="">
      <xdr:nvSpPr>
        <xdr:cNvPr id="15" name="Oval 5"/>
        <xdr:cNvSpPr>
          <a:spLocks noChangeArrowheads="1"/>
        </xdr:cNvSpPr>
      </xdr:nvSpPr>
      <xdr:spPr bwMode="auto">
        <a:xfrm>
          <a:off x="3676650" y="7058025"/>
          <a:ext cx="1200150" cy="1276350"/>
        </a:xfrm>
        <a:prstGeom prst="ellipse">
          <a:avLst/>
        </a:prstGeom>
        <a:noFill/>
        <a:ln w="38100">
          <a:solidFill>
            <a:srgbClr val="000000"/>
          </a:solidFill>
          <a:round/>
          <a:headEnd/>
          <a:tailEnd/>
        </a:ln>
      </xdr:spPr>
    </xdr:sp>
    <xdr:clientData/>
  </xdr:twoCellAnchor>
  <xdr:twoCellAnchor>
    <xdr:from>
      <xdr:col>1</xdr:col>
      <xdr:colOff>76200</xdr:colOff>
      <xdr:row>7</xdr:row>
      <xdr:rowOff>28575</xdr:rowOff>
    </xdr:from>
    <xdr:to>
      <xdr:col>1</xdr:col>
      <xdr:colOff>1133475</xdr:colOff>
      <xdr:row>11</xdr:row>
      <xdr:rowOff>28575</xdr:rowOff>
    </xdr:to>
    <xdr:sp macro="" textlink="">
      <xdr:nvSpPr>
        <xdr:cNvPr id="16" name="Oval 6"/>
        <xdr:cNvSpPr>
          <a:spLocks noChangeArrowheads="1"/>
        </xdr:cNvSpPr>
      </xdr:nvSpPr>
      <xdr:spPr bwMode="auto">
        <a:xfrm>
          <a:off x="1495425" y="1419225"/>
          <a:ext cx="1057275" cy="857250"/>
        </a:xfrm>
        <a:prstGeom prst="ellipse">
          <a:avLst/>
        </a:prstGeom>
        <a:noFill/>
        <a:ln w="38100">
          <a:solidFill>
            <a:srgbClr val="000000"/>
          </a:solidFill>
          <a:round/>
          <a:headEnd/>
          <a:tailEnd/>
        </a:ln>
      </xdr:spPr>
    </xdr:sp>
    <xdr:clientData/>
  </xdr:twoCellAnchor>
  <xdr:twoCellAnchor>
    <xdr:from>
      <xdr:col>3</xdr:col>
      <xdr:colOff>952500</xdr:colOff>
      <xdr:row>13</xdr:row>
      <xdr:rowOff>66675</xdr:rowOff>
    </xdr:from>
    <xdr:to>
      <xdr:col>9</xdr:col>
      <xdr:colOff>352425</xdr:colOff>
      <xdr:row>38</xdr:row>
      <xdr:rowOff>95250</xdr:rowOff>
    </xdr:to>
    <xdr:sp macro="" textlink="">
      <xdr:nvSpPr>
        <xdr:cNvPr id="17" name="Line 7"/>
        <xdr:cNvSpPr>
          <a:spLocks noChangeShapeType="1"/>
        </xdr:cNvSpPr>
      </xdr:nvSpPr>
      <xdr:spPr bwMode="auto">
        <a:xfrm flipV="1">
          <a:off x="4619625" y="3181350"/>
          <a:ext cx="4533900" cy="3886200"/>
        </a:xfrm>
        <a:prstGeom prst="line">
          <a:avLst/>
        </a:prstGeom>
        <a:noFill/>
        <a:ln w="9525">
          <a:solidFill>
            <a:srgbClr val="000000"/>
          </a:solidFill>
          <a:round/>
          <a:headEnd/>
          <a:tailEnd type="triangle" w="med" len="med"/>
        </a:ln>
      </xdr:spPr>
    </xdr:sp>
    <xdr:clientData/>
  </xdr:twoCellAnchor>
  <xdr:twoCellAnchor>
    <xdr:from>
      <xdr:col>2</xdr:col>
      <xdr:colOff>28575</xdr:colOff>
      <xdr:row>9</xdr:row>
      <xdr:rowOff>171450</xdr:rowOff>
    </xdr:from>
    <xdr:to>
      <xdr:col>9</xdr:col>
      <xdr:colOff>266700</xdr:colOff>
      <xdr:row>12</xdr:row>
      <xdr:rowOff>523875</xdr:rowOff>
    </xdr:to>
    <xdr:sp macro="" textlink="">
      <xdr:nvSpPr>
        <xdr:cNvPr id="18" name="Line 8"/>
        <xdr:cNvSpPr>
          <a:spLocks noChangeShapeType="1"/>
        </xdr:cNvSpPr>
      </xdr:nvSpPr>
      <xdr:spPr bwMode="auto">
        <a:xfrm>
          <a:off x="2667000" y="2019300"/>
          <a:ext cx="6400800" cy="962025"/>
        </a:xfrm>
        <a:prstGeom prst="line">
          <a:avLst/>
        </a:prstGeom>
        <a:noFill/>
        <a:ln w="9525">
          <a:solidFill>
            <a:srgbClr val="000000"/>
          </a:solidFill>
          <a:round/>
          <a:headEnd/>
          <a:tailEnd type="triangle" w="med" len="med"/>
        </a:ln>
      </xdr:spPr>
    </xdr:sp>
    <xdr:clientData/>
  </xdr:twoCellAnchor>
  <xdr:twoCellAnchor>
    <xdr:from>
      <xdr:col>2</xdr:col>
      <xdr:colOff>828675</xdr:colOff>
      <xdr:row>46</xdr:row>
      <xdr:rowOff>66675</xdr:rowOff>
    </xdr:from>
    <xdr:to>
      <xdr:col>10</xdr:col>
      <xdr:colOff>447675</xdr:colOff>
      <xdr:row>50</xdr:row>
      <xdr:rowOff>85725</xdr:rowOff>
    </xdr:to>
    <xdr:sp macro="" textlink="">
      <xdr:nvSpPr>
        <xdr:cNvPr id="19" name="Line 9"/>
        <xdr:cNvSpPr>
          <a:spLocks noChangeShapeType="1"/>
        </xdr:cNvSpPr>
      </xdr:nvSpPr>
      <xdr:spPr bwMode="auto">
        <a:xfrm flipV="1">
          <a:off x="3467100" y="8486775"/>
          <a:ext cx="6391275" cy="857250"/>
        </a:xfrm>
        <a:prstGeom prst="line">
          <a:avLst/>
        </a:prstGeom>
        <a:noFill/>
        <a:ln w="19050">
          <a:solidFill>
            <a:srgbClr val="000000"/>
          </a:solidFill>
          <a:round/>
          <a:headEnd type="triangle" w="med" len="me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Support_Docs\NYSRDA_MF_Performance_Prg\Modeling%20Partner%20Resources\New%20Construction\Official%20Project%20Name%20-%20Draft%20Proposed%20ERP%20Tables_rev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aria\AppData\Roaming\Microsoft\Excel\Copy%20of%20Benchmarking%20Tool%20%20-%20Final%20Draft%209-2-10a.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f and Vent TREAT"/>
      <sheetName val="Windows eQuest"/>
      <sheetName val="Lighting eQuest"/>
      <sheetName val="DHW eQuest"/>
      <sheetName val="Appliances eQuest"/>
      <sheetName val="Result Summary eQuest"/>
      <sheetName val="Basic Info"/>
      <sheetName val="Exterior Lighting"/>
      <sheetName val="In-unit Lighting"/>
      <sheetName val="Interior Lighting"/>
      <sheetName val="Lighting Schedule"/>
      <sheetName val="Inf and Vent NEW"/>
      <sheetName val="Cooling Eff and Fan Power"/>
      <sheetName val="Water Savings"/>
      <sheetName val="Simulation Summary"/>
      <sheetName val="Tables of Values"/>
      <sheetName val="RECS - Baseline"/>
      <sheetName val="Locator Map"/>
      <sheetName val="Side Calcs - Baseline"/>
      <sheetName val="ZipCode Map"/>
      <sheetName val="Worksheet - Design - Baseline"/>
      <sheetName val="RECS - Proposed"/>
      <sheetName val="Worksheet - Design - Proposed"/>
      <sheetName val="Side Calcs - Proposed"/>
      <sheetName val="ERP - Instructions"/>
      <sheetName val="ERP - Simulation Summary"/>
      <sheetName val="ERP - Recommendations Summary"/>
      <sheetName val="ERP - Financial Summary"/>
      <sheetName val="ERP - Contacts"/>
      <sheetName val="ERP - Areas"/>
      <sheetName val="ERP - Unit Count"/>
      <sheetName val="ERP - Components"/>
      <sheetName val="ERP - End Use Summary"/>
      <sheetName val="ERP - Schedule"/>
      <sheetName val="ERP - Financing Plan"/>
      <sheetName val="Zip Code Finder"/>
      <sheetName val="Help"/>
    </sheetNames>
    <sheetDataSet>
      <sheetData sheetId="0" refreshError="1"/>
      <sheetData sheetId="1" refreshError="1"/>
      <sheetData sheetId="2" refreshError="1"/>
      <sheetData sheetId="3"/>
      <sheetData sheetId="4" refreshError="1"/>
      <sheetData sheetId="5" refreshError="1"/>
      <sheetData sheetId="6"/>
      <sheetData sheetId="7" refreshError="1"/>
      <sheetData sheetId="8" refreshError="1"/>
      <sheetData sheetId="9" refreshError="1"/>
      <sheetData sheetId="10">
        <row r="3">
          <cell r="X3" t="str">
            <v>Yes</v>
          </cell>
        </row>
        <row r="4">
          <cell r="X4" t="str">
            <v>No</v>
          </cell>
        </row>
      </sheetData>
      <sheetData sheetId="11" refreshError="1"/>
      <sheetData sheetId="12" refreshError="1"/>
      <sheetData sheetId="13"/>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Benchmarking Instructions"/>
      <sheetName val="Table Instructions"/>
      <sheetName val="Benchmarking Tool"/>
      <sheetName val="Table 1 ERP Summary"/>
      <sheetName val="Avoided Costs"/>
      <sheetName val="Table 2 Detailed Measures"/>
      <sheetName val="Table 3 Gen'l Project Info"/>
      <sheetName val="Table 4 Required Measures"/>
      <sheetName val="Energy Use Variables"/>
      <sheetName val="Model QC"/>
      <sheetName val="Measure QC"/>
      <sheetName val="Paste TREAT .csv"/>
      <sheetName val="Paste eQUEST .csv"/>
      <sheetName val="QC Form"/>
      <sheetName val="50% Complete"/>
      <sheetName val="Substantial Completion"/>
      <sheetName val="MeasureQC Calcs"/>
      <sheetName val="Incentive Schedule"/>
      <sheetName val="DropDowns"/>
      <sheetName val="Equiv Unit Costs"/>
      <sheetName val="Color Legend"/>
      <sheetName val="Zip Code Finder"/>
      <sheetName val="Help"/>
      <sheetName val="DA Input"/>
      <sheetName val="Locator Map"/>
      <sheetName val="Side Calcs"/>
      <sheetName val="ZipCode Map"/>
      <sheetName val="Cities"/>
      <sheetName val="Side Calcs Yr 2"/>
      <sheetName val="Side Calcs Proj"/>
      <sheetName val="Worksheet - 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6">
          <cell r="A6" t="str">
            <v>Appliance - Clothes Washer</v>
          </cell>
          <cell r="B6" t="str">
            <v>each</v>
          </cell>
          <cell r="C6">
            <v>14</v>
          </cell>
          <cell r="D6" t="str">
            <v>y</v>
          </cell>
          <cell r="E6">
            <v>750</v>
          </cell>
          <cell r="F6">
            <v>1750</v>
          </cell>
          <cell r="G6">
            <v>1000</v>
          </cell>
          <cell r="H6">
            <v>2000</v>
          </cell>
          <cell r="I6" t="str">
            <v>Each</v>
          </cell>
          <cell r="J6">
            <v>2000000</v>
          </cell>
          <cell r="K6">
            <v>5000000</v>
          </cell>
          <cell r="L6">
            <v>7000000</v>
          </cell>
          <cell r="M6">
            <v>14000000</v>
          </cell>
          <cell r="N6" t="str">
            <v>Each</v>
          </cell>
          <cell r="O6">
            <v>0</v>
          </cell>
          <cell r="P6">
            <v>8.0000000000000002E-3</v>
          </cell>
          <cell r="R6">
            <v>365</v>
          </cell>
          <cell r="S6">
            <v>1.1000000000000001</v>
          </cell>
          <cell r="T6">
            <v>0.52300000000000002</v>
          </cell>
          <cell r="V6">
            <v>1.1400000000000001E-4</v>
          </cell>
          <cell r="W6">
            <v>1.8500000000000001E-3</v>
          </cell>
          <cell r="X6">
            <v>1.1400000000000001E-4</v>
          </cell>
          <cell r="Y6">
            <v>1.1299999999999999E-3</v>
          </cell>
        </row>
        <row r="7">
          <cell r="A7" t="str">
            <v>Appliance - Dishwasher</v>
          </cell>
          <cell r="B7" t="str">
            <v>each</v>
          </cell>
          <cell r="C7">
            <v>13</v>
          </cell>
          <cell r="D7" t="str">
            <v>y</v>
          </cell>
          <cell r="E7">
            <v>350</v>
          </cell>
          <cell r="F7">
            <v>500</v>
          </cell>
          <cell r="G7">
            <v>350</v>
          </cell>
          <cell r="H7">
            <v>500</v>
          </cell>
          <cell r="I7" t="str">
            <v>Each</v>
          </cell>
          <cell r="J7">
            <v>1400000</v>
          </cell>
          <cell r="K7">
            <v>3000000</v>
          </cell>
          <cell r="L7">
            <v>1400000</v>
          </cell>
          <cell r="M7">
            <v>3000000</v>
          </cell>
          <cell r="N7" t="str">
            <v>Each</v>
          </cell>
          <cell r="O7">
            <v>0</v>
          </cell>
          <cell r="P7">
            <v>5.0000000000000001E-3</v>
          </cell>
          <cell r="R7">
            <v>365</v>
          </cell>
          <cell r="S7">
            <v>0.8</v>
          </cell>
          <cell r="T7">
            <v>0.41</v>
          </cell>
          <cell r="V7">
            <v>1.1400000000000001E-4</v>
          </cell>
          <cell r="W7">
            <v>1.8500000000000001E-3</v>
          </cell>
          <cell r="X7">
            <v>1.1400000000000001E-4</v>
          </cell>
          <cell r="Y7">
            <v>1.1299999999999999E-3</v>
          </cell>
        </row>
        <row r="8">
          <cell r="A8" t="str">
            <v>Appliance - Refrigerator</v>
          </cell>
          <cell r="B8" t="str">
            <v>each</v>
          </cell>
          <cell r="C8">
            <v>15</v>
          </cell>
          <cell r="D8" t="str">
            <v>y</v>
          </cell>
          <cell r="E8">
            <v>400</v>
          </cell>
          <cell r="F8">
            <v>800</v>
          </cell>
          <cell r="G8">
            <v>400</v>
          </cell>
          <cell r="H8">
            <v>800</v>
          </cell>
          <cell r="I8" t="str">
            <v>Each</v>
          </cell>
          <cell r="J8">
            <v>341200</v>
          </cell>
          <cell r="K8">
            <v>1194200</v>
          </cell>
          <cell r="L8">
            <v>341200</v>
          </cell>
          <cell r="M8">
            <v>1194200</v>
          </cell>
          <cell r="N8" t="str">
            <v>Each</v>
          </cell>
          <cell r="O8">
            <v>0</v>
          </cell>
          <cell r="P8">
            <v>0.04</v>
          </cell>
          <cell r="R8">
            <v>365</v>
          </cell>
          <cell r="S8">
            <v>24</v>
          </cell>
          <cell r="T8">
            <v>0.86299999999999999</v>
          </cell>
          <cell r="V8">
            <v>1.1400000000000001E-4</v>
          </cell>
          <cell r="W8">
            <v>1.8500000000000001E-3</v>
          </cell>
          <cell r="X8">
            <v>1.1400000000000001E-4</v>
          </cell>
          <cell r="Y8">
            <v>1.1299999999999999E-3</v>
          </cell>
        </row>
        <row r="9">
          <cell r="A9" t="str">
            <v>DHW - Controls</v>
          </cell>
          <cell r="B9" t="str">
            <v>each</v>
          </cell>
          <cell r="D9" t="str">
            <v>y</v>
          </cell>
          <cell r="E9">
            <v>6</v>
          </cell>
          <cell r="F9">
            <v>16</v>
          </cell>
          <cell r="G9">
            <v>6</v>
          </cell>
          <cell r="H9">
            <v>16</v>
          </cell>
          <cell r="I9" t="str">
            <v>Unit</v>
          </cell>
          <cell r="J9">
            <v>100000</v>
          </cell>
          <cell r="K9">
            <v>600000</v>
          </cell>
          <cell r="L9">
            <v>100000</v>
          </cell>
          <cell r="M9">
            <v>600000</v>
          </cell>
          <cell r="N9" t="str">
            <v>Unit</v>
          </cell>
          <cell r="O9">
            <v>0</v>
          </cell>
          <cell r="P9">
            <v>8.0000000000000002E-3</v>
          </cell>
          <cell r="R9">
            <v>365</v>
          </cell>
          <cell r="S9">
            <v>24</v>
          </cell>
          <cell r="T9">
            <v>1</v>
          </cell>
          <cell r="V9">
            <v>1.1400000000000001E-4</v>
          </cell>
          <cell r="W9">
            <v>1.8500000000000001E-3</v>
          </cell>
          <cell r="X9">
            <v>1.1400000000000001E-4</v>
          </cell>
          <cell r="Y9">
            <v>1.1299999999999999E-3</v>
          </cell>
        </row>
        <row r="10">
          <cell r="A10" t="str">
            <v>DHW - Electric</v>
          </cell>
          <cell r="B10" t="str">
            <v>1000 Btu/hr</v>
          </cell>
          <cell r="C10">
            <v>15</v>
          </cell>
          <cell r="D10" t="str">
            <v>y</v>
          </cell>
          <cell r="E10">
            <v>0.3</v>
          </cell>
          <cell r="F10">
            <v>0.8</v>
          </cell>
          <cell r="G10">
            <v>0.3</v>
          </cell>
          <cell r="H10">
            <v>0.8</v>
          </cell>
          <cell r="I10" t="str">
            <v>Sqft</v>
          </cell>
          <cell r="J10">
            <v>1500</v>
          </cell>
          <cell r="K10">
            <v>5500</v>
          </cell>
          <cell r="L10">
            <v>1500</v>
          </cell>
          <cell r="M10">
            <v>7000</v>
          </cell>
          <cell r="N10" t="str">
            <v>Sqft</v>
          </cell>
          <cell r="O10">
            <v>0</v>
          </cell>
          <cell r="P10">
            <v>0.04</v>
          </cell>
          <cell r="R10">
            <v>365</v>
          </cell>
          <cell r="S10">
            <v>24</v>
          </cell>
          <cell r="T10">
            <v>0.98</v>
          </cell>
          <cell r="V10">
            <v>1.1400000000000001E-4</v>
          </cell>
          <cell r="W10">
            <v>1.8500000000000001E-3</v>
          </cell>
          <cell r="X10">
            <v>1.1400000000000001E-4</v>
          </cell>
          <cell r="Y10">
            <v>1.1299999999999999E-3</v>
          </cell>
        </row>
        <row r="11">
          <cell r="A11" t="str">
            <v>DHW - Gas Boiler</v>
          </cell>
          <cell r="B11" t="str">
            <v>1000 Btu/hr</v>
          </cell>
          <cell r="C11">
            <v>13</v>
          </cell>
          <cell r="D11" t="str">
            <v>y</v>
          </cell>
          <cell r="E11">
            <v>0.3</v>
          </cell>
          <cell r="F11">
            <v>0.8</v>
          </cell>
          <cell r="G11">
            <v>0.3</v>
          </cell>
          <cell r="H11">
            <v>0.8</v>
          </cell>
          <cell r="I11" t="str">
            <v>Sqft</v>
          </cell>
          <cell r="J11">
            <v>1500</v>
          </cell>
          <cell r="K11">
            <v>5500</v>
          </cell>
          <cell r="L11">
            <v>1500</v>
          </cell>
          <cell r="M11">
            <v>7000</v>
          </cell>
          <cell r="N11" t="str">
            <v>Sqft</v>
          </cell>
          <cell r="O11">
            <v>0</v>
          </cell>
          <cell r="P11">
            <v>0.04</v>
          </cell>
          <cell r="R11">
            <v>365</v>
          </cell>
          <cell r="S11">
            <v>24</v>
          </cell>
          <cell r="T11">
            <v>0.98</v>
          </cell>
          <cell r="V11">
            <v>1.1400000000000001E-4</v>
          </cell>
          <cell r="W11">
            <v>1.8500000000000001E-3</v>
          </cell>
          <cell r="X11">
            <v>1.1400000000000001E-4</v>
          </cell>
          <cell r="Y11">
            <v>1.1299999999999999E-3</v>
          </cell>
        </row>
        <row r="12">
          <cell r="A12" t="str">
            <v>DHW - Indirect</v>
          </cell>
          <cell r="B12" t="str">
            <v>1000 Btu/hr</v>
          </cell>
          <cell r="C12">
            <v>15</v>
          </cell>
          <cell r="D12" t="str">
            <v>y</v>
          </cell>
          <cell r="E12">
            <v>0.3</v>
          </cell>
          <cell r="F12">
            <v>0.8</v>
          </cell>
          <cell r="G12">
            <v>0.3</v>
          </cell>
          <cell r="H12">
            <v>0.8</v>
          </cell>
          <cell r="I12" t="str">
            <v>Sqft</v>
          </cell>
          <cell r="J12">
            <v>1500</v>
          </cell>
          <cell r="K12">
            <v>5500</v>
          </cell>
          <cell r="L12">
            <v>1500</v>
          </cell>
          <cell r="M12">
            <v>7000</v>
          </cell>
          <cell r="N12" t="str">
            <v>Sqft</v>
          </cell>
          <cell r="O12">
            <v>0</v>
          </cell>
          <cell r="P12">
            <v>0.04</v>
          </cell>
          <cell r="R12">
            <v>365</v>
          </cell>
          <cell r="S12">
            <v>24</v>
          </cell>
          <cell r="T12">
            <v>0.98</v>
          </cell>
          <cell r="V12">
            <v>1.1400000000000001E-4</v>
          </cell>
          <cell r="W12">
            <v>1.8500000000000001E-3</v>
          </cell>
          <cell r="X12">
            <v>1.1400000000000001E-4</v>
          </cell>
          <cell r="Y12">
            <v>1.1299999999999999E-3</v>
          </cell>
        </row>
        <row r="13">
          <cell r="A13" t="str">
            <v>DHW - Low-flow Devices</v>
          </cell>
          <cell r="B13" t="str">
            <v>each</v>
          </cell>
          <cell r="C13">
            <v>7</v>
          </cell>
          <cell r="D13" t="str">
            <v>y</v>
          </cell>
          <cell r="E13">
            <v>10</v>
          </cell>
          <cell r="F13">
            <v>45</v>
          </cell>
          <cell r="G13">
            <v>15</v>
          </cell>
          <cell r="H13">
            <v>100</v>
          </cell>
          <cell r="I13" t="str">
            <v>Unit</v>
          </cell>
          <cell r="J13">
            <v>500000</v>
          </cell>
          <cell r="K13">
            <v>3000000</v>
          </cell>
          <cell r="L13">
            <v>500000</v>
          </cell>
          <cell r="M13">
            <v>4000000</v>
          </cell>
          <cell r="N13" t="str">
            <v>Unit</v>
          </cell>
          <cell r="O13">
            <v>0</v>
          </cell>
          <cell r="P13">
            <v>0.03</v>
          </cell>
          <cell r="R13">
            <v>365</v>
          </cell>
          <cell r="S13">
            <v>24</v>
          </cell>
          <cell r="T13">
            <v>0.98</v>
          </cell>
          <cell r="V13">
            <v>1.1400000000000001E-4</v>
          </cell>
          <cell r="W13">
            <v>1.8500000000000001E-3</v>
          </cell>
          <cell r="X13">
            <v>1.1400000000000001E-4</v>
          </cell>
          <cell r="Y13">
            <v>1.1299999999999999E-3</v>
          </cell>
        </row>
        <row r="14">
          <cell r="A14" t="str">
            <v>Envelope - Air Sealing</v>
          </cell>
          <cell r="B14" t="str">
            <v>sqft</v>
          </cell>
          <cell r="C14">
            <v>13</v>
          </cell>
          <cell r="D14" t="str">
            <v>y</v>
          </cell>
          <cell r="E14">
            <v>0.03</v>
          </cell>
          <cell r="F14">
            <v>0.65584508701881306</v>
          </cell>
          <cell r="G14">
            <v>0.03</v>
          </cell>
          <cell r="H14">
            <v>0.5</v>
          </cell>
          <cell r="I14" t="str">
            <v>Sqft</v>
          </cell>
          <cell r="J14">
            <v>2000</v>
          </cell>
          <cell r="K14">
            <v>25000</v>
          </cell>
          <cell r="L14">
            <v>2000</v>
          </cell>
          <cell r="M14">
            <v>25000</v>
          </cell>
          <cell r="N14" t="str">
            <v>$</v>
          </cell>
          <cell r="O14">
            <v>0</v>
          </cell>
          <cell r="P14">
            <v>0.05</v>
          </cell>
          <cell r="R14">
            <v>62.5</v>
          </cell>
          <cell r="S14">
            <v>8</v>
          </cell>
          <cell r="T14">
            <v>0.84</v>
          </cell>
          <cell r="V14">
            <v>0</v>
          </cell>
          <cell r="W14">
            <v>1.8500000000000001E-3</v>
          </cell>
          <cell r="X14">
            <v>0</v>
          </cell>
          <cell r="Y14">
            <v>1.1299999999999999E-3</v>
          </cell>
        </row>
        <row r="15">
          <cell r="A15" t="str">
            <v>Envelope - Exterior Doors</v>
          </cell>
          <cell r="B15" t="str">
            <v>each</v>
          </cell>
          <cell r="C15">
            <v>20</v>
          </cell>
          <cell r="D15" t="str">
            <v>n</v>
          </cell>
          <cell r="R15">
            <v>62.5</v>
          </cell>
          <cell r="S15">
            <v>8</v>
          </cell>
          <cell r="T15">
            <v>0.84</v>
          </cell>
          <cell r="V15">
            <v>0</v>
          </cell>
          <cell r="W15">
            <v>1.8500000000000001E-3</v>
          </cell>
          <cell r="X15">
            <v>0</v>
          </cell>
          <cell r="Y15">
            <v>1.1299999999999999E-3</v>
          </cell>
        </row>
        <row r="16">
          <cell r="A16" t="str">
            <v>Envelope - Roof Insulation</v>
          </cell>
          <cell r="B16" t="str">
            <v>Ins. Sqft</v>
          </cell>
          <cell r="C16">
            <v>25</v>
          </cell>
          <cell r="D16" t="str">
            <v>y</v>
          </cell>
          <cell r="E16">
            <v>1</v>
          </cell>
          <cell r="F16">
            <v>3</v>
          </cell>
          <cell r="G16">
            <v>2</v>
          </cell>
          <cell r="H16">
            <v>4</v>
          </cell>
          <cell r="I16" t="str">
            <v>Ins. Sqft</v>
          </cell>
          <cell r="J16">
            <v>3000</v>
          </cell>
          <cell r="K16">
            <v>17500</v>
          </cell>
          <cell r="L16">
            <v>7500</v>
          </cell>
          <cell r="M16">
            <v>20000</v>
          </cell>
          <cell r="N16" t="str">
            <v>Ins. Sqft</v>
          </cell>
          <cell r="O16">
            <v>0</v>
          </cell>
          <cell r="P16">
            <v>0.05</v>
          </cell>
          <cell r="R16">
            <v>62.5</v>
          </cell>
          <cell r="S16">
            <v>8</v>
          </cell>
          <cell r="T16">
            <v>0.84</v>
          </cell>
          <cell r="V16">
            <v>0</v>
          </cell>
          <cell r="W16">
            <v>1.8500000000000001E-3</v>
          </cell>
          <cell r="X16">
            <v>0</v>
          </cell>
          <cell r="Y16">
            <v>1.1299999999999999E-3</v>
          </cell>
        </row>
        <row r="17">
          <cell r="A17" t="str">
            <v>Envelope - Roofing</v>
          </cell>
          <cell r="B17" t="str">
            <v>sqft</v>
          </cell>
          <cell r="C17">
            <v>30</v>
          </cell>
          <cell r="D17" t="str">
            <v>n</v>
          </cell>
          <cell r="R17">
            <v>62.5</v>
          </cell>
          <cell r="S17">
            <v>8</v>
          </cell>
          <cell r="T17">
            <v>0.84</v>
          </cell>
          <cell r="V17">
            <v>0</v>
          </cell>
          <cell r="W17">
            <v>1.8500000000000001E-3</v>
          </cell>
          <cell r="X17">
            <v>0</v>
          </cell>
          <cell r="Y17">
            <v>1.1299999999999999E-3</v>
          </cell>
        </row>
        <row r="18">
          <cell r="A18" t="str">
            <v>Envelope - Storm Windows/Doors</v>
          </cell>
          <cell r="B18" t="str">
            <v>each</v>
          </cell>
          <cell r="C18">
            <v>20</v>
          </cell>
          <cell r="D18" t="str">
            <v>n</v>
          </cell>
          <cell r="R18">
            <v>62.5</v>
          </cell>
          <cell r="S18">
            <v>8</v>
          </cell>
          <cell r="T18">
            <v>0.84</v>
          </cell>
          <cell r="V18">
            <v>0</v>
          </cell>
          <cell r="W18">
            <v>1.8500000000000001E-3</v>
          </cell>
          <cell r="X18">
            <v>0</v>
          </cell>
          <cell r="Y18">
            <v>1.1299999999999999E-3</v>
          </cell>
        </row>
        <row r="19">
          <cell r="A19" t="str">
            <v>Envelope - Wall Insulation</v>
          </cell>
          <cell r="B19" t="str">
            <v>Ins. sqft</v>
          </cell>
          <cell r="C19">
            <v>25</v>
          </cell>
          <cell r="D19" t="str">
            <v>y</v>
          </cell>
          <cell r="E19">
            <v>1.5</v>
          </cell>
          <cell r="F19">
            <v>3.5</v>
          </cell>
          <cell r="G19">
            <v>1.5</v>
          </cell>
          <cell r="H19">
            <v>3.5</v>
          </cell>
          <cell r="I19" t="str">
            <v>Ins. Sqft</v>
          </cell>
          <cell r="J19">
            <v>5000</v>
          </cell>
          <cell r="K19">
            <v>22500</v>
          </cell>
          <cell r="L19">
            <v>5000</v>
          </cell>
          <cell r="M19">
            <v>22500</v>
          </cell>
          <cell r="N19" t="str">
            <v>Ins. Sqft</v>
          </cell>
          <cell r="O19">
            <v>0</v>
          </cell>
          <cell r="P19">
            <v>0.03</v>
          </cell>
          <cell r="R19">
            <v>62.5</v>
          </cell>
          <cell r="S19">
            <v>8</v>
          </cell>
          <cell r="T19">
            <v>0.84</v>
          </cell>
          <cell r="V19">
            <v>0</v>
          </cell>
          <cell r="W19">
            <v>1.8500000000000001E-3</v>
          </cell>
          <cell r="X19">
            <v>0</v>
          </cell>
          <cell r="Y19">
            <v>1.1299999999999999E-3</v>
          </cell>
        </row>
        <row r="20">
          <cell r="A20" t="str">
            <v>Envelope - Windows</v>
          </cell>
          <cell r="B20" t="str">
            <v>each</v>
          </cell>
          <cell r="C20">
            <v>25</v>
          </cell>
          <cell r="D20" t="str">
            <v>y</v>
          </cell>
          <cell r="E20">
            <v>300</v>
          </cell>
          <cell r="F20">
            <v>500</v>
          </cell>
          <cell r="G20">
            <v>400</v>
          </cell>
          <cell r="H20">
            <v>1000</v>
          </cell>
          <cell r="I20" t="str">
            <v>Each</v>
          </cell>
          <cell r="J20">
            <v>400000</v>
          </cell>
          <cell r="K20">
            <v>1600000</v>
          </cell>
          <cell r="L20">
            <v>1000000</v>
          </cell>
          <cell r="M20">
            <v>3500000</v>
          </cell>
          <cell r="N20" t="str">
            <v>Each</v>
          </cell>
          <cell r="O20">
            <v>0</v>
          </cell>
          <cell r="P20">
            <v>7.0000000000000007E-2</v>
          </cell>
          <cell r="R20">
            <v>62.5</v>
          </cell>
          <cell r="S20">
            <v>8</v>
          </cell>
          <cell r="T20">
            <v>0.84</v>
          </cell>
          <cell r="V20">
            <v>0</v>
          </cell>
          <cell r="W20">
            <v>1.8500000000000001E-3</v>
          </cell>
          <cell r="X20">
            <v>0</v>
          </cell>
          <cell r="Y20">
            <v>1.1299999999999999E-3</v>
          </cell>
        </row>
        <row r="21">
          <cell r="A21" t="str">
            <v>HVAC - Boiler</v>
          </cell>
          <cell r="B21" t="str">
            <v>1000 Btu/hr</v>
          </cell>
          <cell r="C21">
            <v>25</v>
          </cell>
          <cell r="D21" t="str">
            <v>y</v>
          </cell>
          <cell r="E21">
            <v>45</v>
          </cell>
          <cell r="F21">
            <v>80</v>
          </cell>
          <cell r="G21">
            <v>30</v>
          </cell>
          <cell r="H21">
            <v>70</v>
          </cell>
          <cell r="I21" t="str">
            <v>MBH</v>
          </cell>
          <cell r="J21">
            <v>145000</v>
          </cell>
          <cell r="K21">
            <v>400000</v>
          </cell>
          <cell r="L21">
            <v>100000</v>
          </cell>
          <cell r="M21">
            <v>250000</v>
          </cell>
          <cell r="N21" t="str">
            <v>MBH</v>
          </cell>
          <cell r="O21">
            <v>0.04</v>
          </cell>
          <cell r="P21">
            <v>0.12</v>
          </cell>
          <cell r="R21">
            <v>0</v>
          </cell>
          <cell r="S21">
            <v>0</v>
          </cell>
          <cell r="T21">
            <v>0</v>
          </cell>
          <cell r="V21">
            <v>0</v>
          </cell>
          <cell r="W21">
            <v>1.8500000000000001E-3</v>
          </cell>
          <cell r="X21">
            <v>0</v>
          </cell>
          <cell r="Y21">
            <v>1.1299999999999999E-3</v>
          </cell>
        </row>
        <row r="22">
          <cell r="A22" t="str">
            <v>HVAC - Central AC/HP</v>
          </cell>
          <cell r="B22" t="str">
            <v>each</v>
          </cell>
          <cell r="C22">
            <v>15</v>
          </cell>
          <cell r="D22" t="str">
            <v>n</v>
          </cell>
          <cell r="V22">
            <v>0</v>
          </cell>
          <cell r="W22">
            <v>1.8500000000000001E-3</v>
          </cell>
          <cell r="X22">
            <v>0</v>
          </cell>
          <cell r="Y22">
            <v>1.1299999999999999E-3</v>
          </cell>
        </row>
        <row r="23">
          <cell r="A23" t="str">
            <v>HVAC - Chiller</v>
          </cell>
          <cell r="B23" t="str">
            <v>tons</v>
          </cell>
          <cell r="C23">
            <v>24</v>
          </cell>
          <cell r="D23" t="str">
            <v>n</v>
          </cell>
          <cell r="R23">
            <v>62.5</v>
          </cell>
          <cell r="S23">
            <v>8</v>
          </cell>
          <cell r="T23">
            <v>0.9</v>
          </cell>
          <cell r="V23">
            <v>0</v>
          </cell>
          <cell r="W23">
            <v>1.8500000000000001E-3</v>
          </cell>
          <cell r="X23">
            <v>0</v>
          </cell>
          <cell r="Y23">
            <v>1.1299999999999999E-3</v>
          </cell>
        </row>
        <row r="24">
          <cell r="A24" t="str">
            <v>HVAC - Duct Sealing</v>
          </cell>
          <cell r="B24" t="str">
            <v>sqft</v>
          </cell>
          <cell r="C24">
            <v>25</v>
          </cell>
          <cell r="D24" t="str">
            <v>n</v>
          </cell>
          <cell r="R24">
            <v>0</v>
          </cell>
          <cell r="S24">
            <v>0</v>
          </cell>
          <cell r="T24">
            <v>0</v>
          </cell>
          <cell r="V24">
            <v>0</v>
          </cell>
          <cell r="W24">
            <v>1.8500000000000001E-3</v>
          </cell>
          <cell r="X24">
            <v>0</v>
          </cell>
          <cell r="Y24">
            <v>1.1299999999999999E-3</v>
          </cell>
        </row>
        <row r="25">
          <cell r="A25" t="str">
            <v>HVAC - Economizer (dry bulb)</v>
          </cell>
          <cell r="B25" t="str">
            <v>each</v>
          </cell>
          <cell r="C25">
            <v>15</v>
          </cell>
          <cell r="D25" t="str">
            <v>n</v>
          </cell>
          <cell r="R25">
            <v>0</v>
          </cell>
          <cell r="S25">
            <v>0</v>
          </cell>
          <cell r="T25">
            <v>0</v>
          </cell>
          <cell r="V25">
            <v>0</v>
          </cell>
          <cell r="W25">
            <v>1.8500000000000001E-3</v>
          </cell>
          <cell r="X25">
            <v>0</v>
          </cell>
          <cell r="Y25">
            <v>1.1299999999999999E-3</v>
          </cell>
        </row>
        <row r="26">
          <cell r="A26" t="str">
            <v>HVAC - EMS</v>
          </cell>
          <cell r="B26" t="str">
            <v>sqft</v>
          </cell>
          <cell r="C26">
            <v>15</v>
          </cell>
          <cell r="D26" t="str">
            <v>y</v>
          </cell>
          <cell r="E26">
            <v>0.1</v>
          </cell>
          <cell r="F26">
            <v>0.45</v>
          </cell>
          <cell r="G26">
            <v>0.1</v>
          </cell>
          <cell r="H26">
            <v>0.45</v>
          </cell>
          <cell r="I26" t="str">
            <v>Sqft</v>
          </cell>
          <cell r="J26">
            <v>15000</v>
          </cell>
          <cell r="K26">
            <v>45000</v>
          </cell>
          <cell r="L26">
            <v>15000</v>
          </cell>
          <cell r="M26">
            <v>45000</v>
          </cell>
          <cell r="N26" t="str">
            <v>$</v>
          </cell>
          <cell r="O26">
            <v>0</v>
          </cell>
          <cell r="P26">
            <v>0.06</v>
          </cell>
          <cell r="R26">
            <v>0</v>
          </cell>
          <cell r="S26">
            <v>0</v>
          </cell>
          <cell r="T26">
            <v>0</v>
          </cell>
          <cell r="V26">
            <v>0</v>
          </cell>
          <cell r="W26">
            <v>1.8500000000000001E-3</v>
          </cell>
          <cell r="X26">
            <v>0</v>
          </cell>
          <cell r="Y26">
            <v>1.1299999999999999E-3</v>
          </cell>
        </row>
        <row r="27">
          <cell r="A27" t="str">
            <v>HVAC - Furnace</v>
          </cell>
          <cell r="B27" t="str">
            <v>1000 Btu/hr</v>
          </cell>
          <cell r="C27">
            <v>20</v>
          </cell>
          <cell r="D27" t="str">
            <v>y</v>
          </cell>
          <cell r="E27">
            <v>45</v>
          </cell>
          <cell r="F27">
            <v>80</v>
          </cell>
          <cell r="G27">
            <v>30</v>
          </cell>
          <cell r="H27">
            <v>70</v>
          </cell>
          <cell r="I27" t="str">
            <v>MBH</v>
          </cell>
          <cell r="J27">
            <v>145000</v>
          </cell>
          <cell r="K27">
            <v>400000</v>
          </cell>
          <cell r="L27">
            <v>100000</v>
          </cell>
          <cell r="M27">
            <v>250000</v>
          </cell>
          <cell r="N27" t="str">
            <v>MBH</v>
          </cell>
          <cell r="O27">
            <v>0.04</v>
          </cell>
          <cell r="P27">
            <v>0.12</v>
          </cell>
          <cell r="R27">
            <v>0</v>
          </cell>
          <cell r="S27">
            <v>0</v>
          </cell>
          <cell r="T27">
            <v>0</v>
          </cell>
          <cell r="V27">
            <v>0</v>
          </cell>
          <cell r="W27">
            <v>1.8500000000000001E-3</v>
          </cell>
          <cell r="X27">
            <v>0</v>
          </cell>
          <cell r="Y27">
            <v>1.1299999999999999E-3</v>
          </cell>
        </row>
        <row r="28">
          <cell r="A28" t="str">
            <v>HVAC - HRV</v>
          </cell>
          <cell r="B28" t="str">
            <v>1000 Btu/hr</v>
          </cell>
          <cell r="C28">
            <v>15</v>
          </cell>
          <cell r="D28" t="str">
            <v>n</v>
          </cell>
          <cell r="R28">
            <v>0</v>
          </cell>
          <cell r="S28">
            <v>0</v>
          </cell>
          <cell r="T28">
            <v>0</v>
          </cell>
          <cell r="V28">
            <v>0</v>
          </cell>
          <cell r="W28">
            <v>1.8500000000000001E-3</v>
          </cell>
          <cell r="X28">
            <v>0</v>
          </cell>
          <cell r="Y28">
            <v>1.1299999999999999E-3</v>
          </cell>
        </row>
        <row r="29">
          <cell r="A29" t="str">
            <v>HVAC - Oil Burner</v>
          </cell>
          <cell r="B29" t="str">
            <v>1000 Btu/hr</v>
          </cell>
          <cell r="C29">
            <v>25</v>
          </cell>
          <cell r="D29" t="str">
            <v>n</v>
          </cell>
          <cell r="R29">
            <v>0</v>
          </cell>
          <cell r="S29">
            <v>0</v>
          </cell>
          <cell r="T29">
            <v>0</v>
          </cell>
          <cell r="V29">
            <v>0</v>
          </cell>
          <cell r="W29">
            <v>1.8500000000000001E-3</v>
          </cell>
          <cell r="X29">
            <v>0</v>
          </cell>
          <cell r="Y29">
            <v>1.1299999999999999E-3</v>
          </cell>
        </row>
        <row r="30">
          <cell r="A30" t="str">
            <v>HVAC - Programmable Thermostat</v>
          </cell>
          <cell r="B30" t="str">
            <v>each</v>
          </cell>
          <cell r="C30">
            <v>10</v>
          </cell>
          <cell r="D30" t="str">
            <v>n</v>
          </cell>
          <cell r="R30">
            <v>0</v>
          </cell>
          <cell r="S30">
            <v>0</v>
          </cell>
          <cell r="T30">
            <v>0</v>
          </cell>
          <cell r="V30">
            <v>0</v>
          </cell>
          <cell r="W30">
            <v>1.8500000000000001E-3</v>
          </cell>
          <cell r="X30">
            <v>0</v>
          </cell>
          <cell r="Y30">
            <v>1.1299999999999999E-3</v>
          </cell>
        </row>
        <row r="31">
          <cell r="A31" t="str">
            <v>HVAC - Split System AC/HP</v>
          </cell>
          <cell r="B31" t="str">
            <v>each</v>
          </cell>
          <cell r="C31">
            <v>15</v>
          </cell>
          <cell r="D31" t="str">
            <v>n</v>
          </cell>
          <cell r="V31">
            <v>0</v>
          </cell>
          <cell r="W31">
            <v>1.8500000000000001E-3</v>
          </cell>
          <cell r="X31">
            <v>0</v>
          </cell>
          <cell r="Y31">
            <v>1.1299999999999999E-3</v>
          </cell>
        </row>
        <row r="32">
          <cell r="A32" t="str">
            <v>HVAC - TRVs</v>
          </cell>
          <cell r="B32" t="str">
            <v>each</v>
          </cell>
          <cell r="C32">
            <v>15</v>
          </cell>
          <cell r="D32" t="str">
            <v>y</v>
          </cell>
          <cell r="E32">
            <v>300</v>
          </cell>
          <cell r="F32">
            <v>700</v>
          </cell>
          <cell r="G32">
            <v>300</v>
          </cell>
          <cell r="H32">
            <v>1000</v>
          </cell>
          <cell r="I32" t="str">
            <v>Unit</v>
          </cell>
          <cell r="J32">
            <v>1000000</v>
          </cell>
          <cell r="K32">
            <v>6000000</v>
          </cell>
          <cell r="L32">
            <v>3000000</v>
          </cell>
          <cell r="M32">
            <v>9000000</v>
          </cell>
          <cell r="N32" t="str">
            <v>Unit</v>
          </cell>
          <cell r="O32">
            <v>0</v>
          </cell>
          <cell r="P32">
            <v>0.05</v>
          </cell>
          <cell r="R32">
            <v>0</v>
          </cell>
          <cell r="S32">
            <v>0</v>
          </cell>
          <cell r="T32">
            <v>0</v>
          </cell>
          <cell r="V32">
            <v>0</v>
          </cell>
          <cell r="W32">
            <v>1.8500000000000001E-3</v>
          </cell>
          <cell r="X32">
            <v>0</v>
          </cell>
          <cell r="Y32">
            <v>1.1299999999999999E-3</v>
          </cell>
        </row>
        <row r="33">
          <cell r="A33" t="str">
            <v>HVAC - Ventilation/Fans</v>
          </cell>
          <cell r="B33" t="str">
            <v>each</v>
          </cell>
          <cell r="C33">
            <v>10</v>
          </cell>
          <cell r="D33" t="str">
            <v>y</v>
          </cell>
          <cell r="E33">
            <v>0.25</v>
          </cell>
          <cell r="F33">
            <v>0.5</v>
          </cell>
          <cell r="G33">
            <v>0.02</v>
          </cell>
          <cell r="H33">
            <v>0.1</v>
          </cell>
          <cell r="I33" t="str">
            <v>Sqft</v>
          </cell>
          <cell r="J33">
            <v>500</v>
          </cell>
          <cell r="K33">
            <v>3500</v>
          </cell>
          <cell r="L33">
            <v>500</v>
          </cell>
          <cell r="M33">
            <v>3500</v>
          </cell>
          <cell r="N33" t="str">
            <v>Sqft</v>
          </cell>
          <cell r="O33">
            <v>0</v>
          </cell>
          <cell r="P33">
            <v>3.5000000000000003E-2</v>
          </cell>
          <cell r="R33">
            <v>365</v>
          </cell>
          <cell r="S33">
            <v>24</v>
          </cell>
          <cell r="T33">
            <v>1</v>
          </cell>
          <cell r="V33">
            <v>0</v>
          </cell>
          <cell r="W33">
            <v>1.8500000000000001E-3</v>
          </cell>
          <cell r="X33">
            <v>0</v>
          </cell>
          <cell r="Y33">
            <v>1.1299999999999999E-3</v>
          </cell>
        </row>
        <row r="34">
          <cell r="A34" t="str">
            <v>HVAC - Water Source AC/HP</v>
          </cell>
          <cell r="B34" t="str">
            <v>1000 Btu/hr</v>
          </cell>
          <cell r="C34">
            <v>15</v>
          </cell>
          <cell r="D34" t="str">
            <v>n</v>
          </cell>
          <cell r="V34">
            <v>0</v>
          </cell>
          <cell r="W34">
            <v>1.8500000000000001E-3</v>
          </cell>
          <cell r="X34">
            <v>0</v>
          </cell>
          <cell r="Y34">
            <v>1.1299999999999999E-3</v>
          </cell>
        </row>
        <row r="35">
          <cell r="A35" t="str">
            <v>HVAC - Window AC</v>
          </cell>
          <cell r="B35" t="str">
            <v>each</v>
          </cell>
          <cell r="C35">
            <v>13</v>
          </cell>
          <cell r="D35" t="str">
            <v>n</v>
          </cell>
          <cell r="R35">
            <v>62.5</v>
          </cell>
          <cell r="S35">
            <v>8</v>
          </cell>
          <cell r="T35">
            <v>0.84</v>
          </cell>
          <cell r="V35">
            <v>0</v>
          </cell>
          <cell r="W35">
            <v>1.8500000000000001E-3</v>
          </cell>
          <cell r="X35">
            <v>0</v>
          </cell>
          <cell r="Y35">
            <v>1.1299999999999999E-3</v>
          </cell>
        </row>
        <row r="36">
          <cell r="A36" t="str">
            <v>Lighting - Common Fixtures, Exit</v>
          </cell>
          <cell r="B36" t="str">
            <v>each</v>
          </cell>
          <cell r="C36">
            <v>15</v>
          </cell>
          <cell r="D36" t="str">
            <v>y</v>
          </cell>
          <cell r="E36">
            <v>20</v>
          </cell>
          <cell r="F36">
            <v>160</v>
          </cell>
          <cell r="G36">
            <v>60</v>
          </cell>
          <cell r="H36">
            <v>240</v>
          </cell>
          <cell r="I36" t="str">
            <v>Each</v>
          </cell>
          <cell r="J36">
            <v>50000</v>
          </cell>
          <cell r="K36">
            <v>300000</v>
          </cell>
          <cell r="L36">
            <v>100000</v>
          </cell>
          <cell r="M36">
            <v>450000</v>
          </cell>
          <cell r="N36" t="str">
            <v>Each</v>
          </cell>
          <cell r="O36">
            <v>0</v>
          </cell>
          <cell r="P36">
            <v>3.5000000000000003E-2</v>
          </cell>
          <cell r="R36">
            <v>365</v>
          </cell>
          <cell r="S36">
            <v>24</v>
          </cell>
          <cell r="T36">
            <v>0.9</v>
          </cell>
          <cell r="V36">
            <v>9.1324200913242012E-6</v>
          </cell>
          <cell r="W36">
            <v>1.8500000000000001E-3</v>
          </cell>
          <cell r="X36">
            <v>9.1324200913242012E-6</v>
          </cell>
          <cell r="Y36">
            <v>1.1299999999999999E-3</v>
          </cell>
        </row>
        <row r="37">
          <cell r="A37" t="str">
            <v>Lighting - Common Timers/Sensors</v>
          </cell>
          <cell r="B37" t="str">
            <v>each</v>
          </cell>
          <cell r="C37">
            <v>10</v>
          </cell>
          <cell r="D37" t="str">
            <v>y</v>
          </cell>
          <cell r="E37">
            <v>20</v>
          </cell>
          <cell r="F37">
            <v>160</v>
          </cell>
          <cell r="G37">
            <v>60</v>
          </cell>
          <cell r="H37">
            <v>240</v>
          </cell>
          <cell r="I37" t="str">
            <v>Each</v>
          </cell>
          <cell r="J37">
            <v>50000</v>
          </cell>
          <cell r="K37">
            <v>300000</v>
          </cell>
          <cell r="L37">
            <v>100000</v>
          </cell>
          <cell r="M37">
            <v>450000</v>
          </cell>
          <cell r="N37" t="str">
            <v>Each</v>
          </cell>
          <cell r="O37">
            <v>0</v>
          </cell>
          <cell r="P37">
            <v>3.5000000000000003E-2</v>
          </cell>
          <cell r="R37">
            <v>0</v>
          </cell>
          <cell r="S37">
            <v>0</v>
          </cell>
          <cell r="T37">
            <v>0</v>
          </cell>
          <cell r="V37">
            <v>0</v>
          </cell>
          <cell r="W37">
            <v>1.8500000000000001E-3</v>
          </cell>
          <cell r="X37">
            <v>0</v>
          </cell>
          <cell r="Y37">
            <v>1.1299999999999999E-3</v>
          </cell>
        </row>
        <row r="38">
          <cell r="A38" t="str">
            <v>Lighting - Exterior</v>
          </cell>
          <cell r="B38" t="str">
            <v>each</v>
          </cell>
          <cell r="C38">
            <v>15</v>
          </cell>
          <cell r="D38" t="str">
            <v>y</v>
          </cell>
          <cell r="E38">
            <v>10</v>
          </cell>
          <cell r="F38">
            <v>110</v>
          </cell>
          <cell r="G38">
            <v>25</v>
          </cell>
          <cell r="H38">
            <v>225</v>
          </cell>
          <cell r="I38" t="str">
            <v>Each</v>
          </cell>
          <cell r="J38">
            <v>200000</v>
          </cell>
          <cell r="K38">
            <v>1750000</v>
          </cell>
          <cell r="L38">
            <v>200000</v>
          </cell>
          <cell r="M38">
            <v>1750000</v>
          </cell>
          <cell r="N38" t="str">
            <v>Each</v>
          </cell>
          <cell r="O38">
            <v>0</v>
          </cell>
          <cell r="P38">
            <v>1.2999999999999999E-2</v>
          </cell>
          <cell r="R38">
            <v>0</v>
          </cell>
          <cell r="S38">
            <v>0</v>
          </cell>
          <cell r="T38">
            <v>0</v>
          </cell>
          <cell r="V38">
            <v>0</v>
          </cell>
          <cell r="W38">
            <v>1.8500000000000001E-3</v>
          </cell>
          <cell r="X38">
            <v>0</v>
          </cell>
          <cell r="Y38">
            <v>1.1299999999999999E-3</v>
          </cell>
        </row>
        <row r="39">
          <cell r="A39" t="str">
            <v xml:space="preserve">Lighting - In-Unit CFL </v>
          </cell>
          <cell r="B39" t="str">
            <v>each</v>
          </cell>
          <cell r="C39">
            <v>8</v>
          </cell>
          <cell r="D39" t="str">
            <v>y</v>
          </cell>
          <cell r="E39">
            <v>3</v>
          </cell>
          <cell r="F39">
            <v>35</v>
          </cell>
          <cell r="G39">
            <v>10</v>
          </cell>
          <cell r="H39">
            <v>100</v>
          </cell>
          <cell r="I39" t="str">
            <v>Each</v>
          </cell>
          <cell r="J39">
            <v>30000</v>
          </cell>
          <cell r="K39">
            <v>120000</v>
          </cell>
          <cell r="L39">
            <v>30000</v>
          </cell>
          <cell r="M39">
            <v>140000</v>
          </cell>
          <cell r="N39" t="str">
            <v>Each</v>
          </cell>
          <cell r="O39">
            <v>0</v>
          </cell>
          <cell r="P39">
            <v>3.5000000000000003E-2</v>
          </cell>
          <cell r="R39">
            <v>365</v>
          </cell>
          <cell r="S39">
            <v>3</v>
          </cell>
          <cell r="T39">
            <v>0.10299999999999999</v>
          </cell>
          <cell r="V39">
            <v>7.3059360730593609E-5</v>
          </cell>
          <cell r="W39">
            <v>1.8500000000000001E-3</v>
          </cell>
          <cell r="X39">
            <v>7.3059360730593609E-5</v>
          </cell>
          <cell r="Y39">
            <v>1.1299999999999999E-3</v>
          </cell>
        </row>
        <row r="40">
          <cell r="A40" t="str">
            <v>Lighting - In-Unit Fixture</v>
          </cell>
          <cell r="B40" t="str">
            <v>each</v>
          </cell>
          <cell r="C40">
            <v>12</v>
          </cell>
          <cell r="D40" t="str">
            <v>y</v>
          </cell>
          <cell r="E40">
            <v>3</v>
          </cell>
          <cell r="F40">
            <v>35</v>
          </cell>
          <cell r="G40">
            <v>10</v>
          </cell>
          <cell r="H40">
            <v>100</v>
          </cell>
          <cell r="I40" t="str">
            <v>Each</v>
          </cell>
          <cell r="J40">
            <v>30000</v>
          </cell>
          <cell r="K40">
            <v>120000</v>
          </cell>
          <cell r="L40">
            <v>30000</v>
          </cell>
          <cell r="M40">
            <v>140000</v>
          </cell>
          <cell r="N40" t="str">
            <v>Each</v>
          </cell>
          <cell r="O40">
            <v>0</v>
          </cell>
          <cell r="P40">
            <v>3.5000000000000003E-2</v>
          </cell>
          <cell r="R40">
            <v>365</v>
          </cell>
          <cell r="S40">
            <v>3</v>
          </cell>
          <cell r="T40">
            <v>0.10299999999999999</v>
          </cell>
          <cell r="V40">
            <v>7.3059360730593609E-5</v>
          </cell>
          <cell r="W40">
            <v>1.8500000000000001E-3</v>
          </cell>
          <cell r="X40">
            <v>7.3059360730593609E-5</v>
          </cell>
          <cell r="Y40">
            <v>1.1299999999999999E-3</v>
          </cell>
        </row>
        <row r="41">
          <cell r="A41" t="str">
            <v>Other - Motors/Pumps</v>
          </cell>
          <cell r="B41" t="str">
            <v>each</v>
          </cell>
          <cell r="C41">
            <v>20</v>
          </cell>
          <cell r="D41" t="str">
            <v>y</v>
          </cell>
          <cell r="E41">
            <v>500</v>
          </cell>
          <cell r="F41">
            <v>4000</v>
          </cell>
          <cell r="G41">
            <v>500</v>
          </cell>
          <cell r="H41">
            <v>4000</v>
          </cell>
          <cell r="I41" t="str">
            <v>Each</v>
          </cell>
          <cell r="J41">
            <v>1000000</v>
          </cell>
          <cell r="K41">
            <v>11000000</v>
          </cell>
          <cell r="L41">
            <v>1000000</v>
          </cell>
          <cell r="M41">
            <v>11000000</v>
          </cell>
          <cell r="N41" t="str">
            <v>Each</v>
          </cell>
          <cell r="O41">
            <v>0</v>
          </cell>
          <cell r="P41">
            <v>8.9999999999999993E-3</v>
          </cell>
          <cell r="R41">
            <v>365</v>
          </cell>
          <cell r="S41">
            <v>24</v>
          </cell>
          <cell r="T41">
            <v>0.78</v>
          </cell>
          <cell r="V41">
            <v>1.1400000000000001E-4</v>
          </cell>
          <cell r="W41">
            <v>1.8500000000000001E-3</v>
          </cell>
          <cell r="X41">
            <v>1.1400000000000001E-4</v>
          </cell>
          <cell r="Y41">
            <v>1.1299999999999999E-3</v>
          </cell>
        </row>
        <row r="42">
          <cell r="A42" t="str">
            <v>Other - Pipe Insulation</v>
          </cell>
          <cell r="B42" t="str">
            <v>Ins. Sqft</v>
          </cell>
          <cell r="C42">
            <v>10</v>
          </cell>
          <cell r="D42" t="str">
            <v>y</v>
          </cell>
          <cell r="E42">
            <v>1</v>
          </cell>
          <cell r="F42">
            <v>8</v>
          </cell>
          <cell r="G42">
            <v>2</v>
          </cell>
          <cell r="H42">
            <v>10</v>
          </cell>
          <cell r="I42" t="str">
            <v>Ins. Sqft</v>
          </cell>
          <cell r="J42">
            <v>7500</v>
          </cell>
          <cell r="K42">
            <v>35000</v>
          </cell>
          <cell r="L42">
            <v>7500</v>
          </cell>
          <cell r="M42">
            <v>45000</v>
          </cell>
          <cell r="N42" t="str">
            <v>$</v>
          </cell>
          <cell r="O42">
            <v>0</v>
          </cell>
          <cell r="P42">
            <v>1.4999999999999999E-2</v>
          </cell>
          <cell r="R42">
            <v>365</v>
          </cell>
          <cell r="S42">
            <v>24</v>
          </cell>
          <cell r="T42">
            <v>0.98</v>
          </cell>
          <cell r="V42">
            <v>1.1400000000000001E-4</v>
          </cell>
          <cell r="W42">
            <v>1.8500000000000001E-3</v>
          </cell>
          <cell r="X42">
            <v>1.1400000000000001E-4</v>
          </cell>
          <cell r="Y42">
            <v>1.1299999999999999E-3</v>
          </cell>
        </row>
        <row r="43">
          <cell r="A43" t="str">
            <v>Other - Submetering</v>
          </cell>
          <cell r="B43" t="str">
            <v>each</v>
          </cell>
          <cell r="C43">
            <v>14</v>
          </cell>
          <cell r="D43" t="str">
            <v>n</v>
          </cell>
          <cell r="V43">
            <v>2.154E-4</v>
          </cell>
          <cell r="W43">
            <v>2.154E-4</v>
          </cell>
          <cell r="X43">
            <v>2.154E-4</v>
          </cell>
          <cell r="Y43">
            <v>2.154E-4</v>
          </cell>
        </row>
        <row r="44">
          <cell r="A44" t="str">
            <v>Other - Var. Speed Drive</v>
          </cell>
          <cell r="B44" t="str">
            <v>each</v>
          </cell>
          <cell r="C44">
            <v>15</v>
          </cell>
          <cell r="D44" t="str">
            <v>n</v>
          </cell>
          <cell r="R44">
            <v>365</v>
          </cell>
          <cell r="S44">
            <v>24</v>
          </cell>
          <cell r="T44">
            <v>0.78</v>
          </cell>
          <cell r="V44">
            <v>1.1400000000000001E-4</v>
          </cell>
          <cell r="W44">
            <v>1.8500000000000001E-3</v>
          </cell>
          <cell r="X44">
            <v>1.1400000000000001E-4</v>
          </cell>
          <cell r="Y44">
            <v>1.1299999999999999E-3</v>
          </cell>
        </row>
        <row r="45">
          <cell r="A45" t="str">
            <v>Other - Vending Miser</v>
          </cell>
          <cell r="B45" t="str">
            <v>each</v>
          </cell>
          <cell r="C45">
            <v>10</v>
          </cell>
          <cell r="D45" t="str">
            <v>n</v>
          </cell>
          <cell r="V45">
            <v>1.1400000000000001E-4</v>
          </cell>
          <cell r="W45">
            <v>1.8500000000000001E-3</v>
          </cell>
          <cell r="X45">
            <v>1.1400000000000001E-4</v>
          </cell>
          <cell r="Y45">
            <v>1.1299999999999999E-3</v>
          </cell>
        </row>
        <row r="46">
          <cell r="A46" t="str">
            <v>Other</v>
          </cell>
        </row>
        <row r="52">
          <cell r="B52" t="e">
            <v>#N/A</v>
          </cell>
        </row>
        <row r="53">
          <cell r="B53">
            <v>0</v>
          </cell>
        </row>
        <row r="54">
          <cell r="B54">
            <v>0</v>
          </cell>
        </row>
        <row r="55">
          <cell r="B55">
            <v>0</v>
          </cell>
        </row>
        <row r="56">
          <cell r="B56">
            <v>0</v>
          </cell>
        </row>
      </sheetData>
      <sheetData sheetId="17"/>
      <sheetData sheetId="18">
        <row r="3">
          <cell r="A3" t="str">
            <v>gas - firm</v>
          </cell>
          <cell r="C3" t="str">
            <v>yes</v>
          </cell>
          <cell r="E3" t="str">
            <v>&lt;Select One&gt;</v>
          </cell>
          <cell r="G3" t="str">
            <v>Evaluated &amp; Recommended</v>
          </cell>
          <cell r="I3" t="str">
            <v>EEPS-Gas</v>
          </cell>
        </row>
        <row r="4">
          <cell r="A4" t="str">
            <v>gas - non-firm</v>
          </cell>
          <cell r="C4" t="str">
            <v>no</v>
          </cell>
          <cell r="E4" t="str">
            <v>Market-Rate Housing</v>
          </cell>
          <cell r="G4" t="str">
            <v>Evaluated &amp; Not Recommended</v>
          </cell>
          <cell r="I4" t="str">
            <v>EEPS-Electric</v>
          </cell>
        </row>
        <row r="5">
          <cell r="A5" t="str">
            <v>oil</v>
          </cell>
          <cell r="E5" t="str">
            <v>Affordable Housing</v>
          </cell>
          <cell r="G5" t="str">
            <v>Not Evaluated</v>
          </cell>
          <cell r="I5" t="str">
            <v>RGGI</v>
          </cell>
        </row>
        <row r="6">
          <cell r="A6" t="str">
            <v>steam</v>
          </cell>
          <cell r="I6" t="str">
            <v>GJGNY</v>
          </cell>
        </row>
        <row r="7">
          <cell r="A7" t="str">
            <v>propane</v>
          </cell>
          <cell r="I7" t="str">
            <v>OHGAH</v>
          </cell>
        </row>
        <row r="8">
          <cell r="I8" t="str">
            <v>SBC - EB</v>
          </cell>
        </row>
      </sheetData>
      <sheetData sheetId="19"/>
      <sheetData sheetId="20"/>
      <sheetData sheetId="21"/>
      <sheetData sheetId="22"/>
      <sheetData sheetId="23"/>
      <sheetData sheetId="24"/>
      <sheetData sheetId="25"/>
      <sheetData sheetId="26">
        <row r="5">
          <cell r="F5" t="e">
            <v>#N/A</v>
          </cell>
        </row>
      </sheetData>
      <sheetData sheetId="27"/>
      <sheetData sheetId="28"/>
      <sheetData sheetId="29"/>
      <sheetData sheetId="3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prstShdw prst="shdw17" dist="17961" dir="2700000">
            <a:srgbClr val="000000">
              <a:gamma/>
              <a:shade val="60000"/>
              <a:invGamma/>
            </a:srgbClr>
          </a:prstShdw>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prstShdw prst="shdw17" dist="17961" dir="2700000">
            <a:srgbClr val="000000">
              <a:gamma/>
              <a:shade val="60000"/>
              <a:invGamma/>
            </a:srgbClr>
          </a:prst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B2:C38"/>
  <sheetViews>
    <sheetView topLeftCell="A14" workbookViewId="0">
      <selection activeCell="E26" sqref="E26"/>
    </sheetView>
  </sheetViews>
  <sheetFormatPr defaultRowHeight="12.75"/>
  <cols>
    <col min="1" max="1" width="2.42578125" style="297" customWidth="1"/>
    <col min="2" max="2" width="29.42578125" style="297" bestFit="1" customWidth="1"/>
    <col min="3" max="3" width="43.42578125" style="297" bestFit="1" customWidth="1"/>
    <col min="4" max="16384" width="9.140625" style="297"/>
  </cols>
  <sheetData>
    <row r="2" spans="2:3" ht="15.75">
      <c r="B2" s="299" t="s">
        <v>2709</v>
      </c>
      <c r="C2" s="299" t="e">
        <f>#REF!</f>
        <v>#REF!</v>
      </c>
    </row>
    <row r="3" spans="2:3" ht="15.75">
      <c r="B3" s="299" t="s">
        <v>2799</v>
      </c>
      <c r="C3" s="306" t="e">
        <f>C2</f>
        <v>#REF!</v>
      </c>
    </row>
    <row r="4" spans="2:3" ht="15.75">
      <c r="B4" s="299" t="s">
        <v>2710</v>
      </c>
      <c r="C4" s="299" t="e">
        <f>UPPER(C2)</f>
        <v>#REF!</v>
      </c>
    </row>
    <row r="5" spans="2:3" ht="15.75">
      <c r="B5" s="299" t="s">
        <v>2711</v>
      </c>
      <c r="C5" s="299" t="e">
        <f>#REF!</f>
        <v>#REF!</v>
      </c>
    </row>
    <row r="6" spans="2:3" ht="15.75">
      <c r="B6" s="299" t="s">
        <v>2712</v>
      </c>
      <c r="C6" s="299" t="e">
        <f>#REF!</f>
        <v>#REF!</v>
      </c>
    </row>
    <row r="7" spans="2:3" ht="15.75">
      <c r="B7" s="299" t="s">
        <v>2713</v>
      </c>
      <c r="C7" s="299" t="e">
        <f>#REF!</f>
        <v>#REF!</v>
      </c>
    </row>
    <row r="8" spans="2:3" ht="15.75">
      <c r="B8" s="299" t="s">
        <v>2801</v>
      </c>
      <c r="C8" s="299" t="e">
        <f>#REF!</f>
        <v>#REF!</v>
      </c>
    </row>
    <row r="9" spans="2:3" ht="15.75">
      <c r="B9" s="299" t="s">
        <v>2802</v>
      </c>
      <c r="C9" s="299" t="e">
        <f>#REF!</f>
        <v>#REF!</v>
      </c>
    </row>
    <row r="10" spans="2:3" ht="15.75">
      <c r="B10" s="299" t="s">
        <v>2714</v>
      </c>
      <c r="C10" s="299" t="e">
        <f>#REF!</f>
        <v>#REF!</v>
      </c>
    </row>
    <row r="11" spans="2:3" ht="15.75">
      <c r="B11" s="299" t="s">
        <v>2721</v>
      </c>
      <c r="C11" s="303" t="e">
        <f>'Project Size'!#REF!</f>
        <v>#REF!</v>
      </c>
    </row>
    <row r="12" spans="2:3" ht="15.75">
      <c r="B12" s="299" t="s">
        <v>2788</v>
      </c>
      <c r="C12" s="300" t="e">
        <f>#REF!</f>
        <v>#REF!</v>
      </c>
    </row>
    <row r="13" spans="2:3" ht="15.75">
      <c r="B13" s="299" t="s">
        <v>2789</v>
      </c>
      <c r="C13" s="300" t="e">
        <f>'Project Size'!#REF!</f>
        <v>#REF!</v>
      </c>
    </row>
    <row r="14" spans="2:3" ht="15.75">
      <c r="B14" s="299" t="s">
        <v>2790</v>
      </c>
      <c r="C14" s="300" t="e">
        <f>'Project Size'!#REF!</f>
        <v>#REF!</v>
      </c>
    </row>
    <row r="15" spans="2:3" ht="15.75">
      <c r="B15" s="299" t="s">
        <v>2718</v>
      </c>
      <c r="C15" s="301">
        <f>'Project Size'!C25</f>
        <v>0</v>
      </c>
    </row>
    <row r="16" spans="2:3" ht="15.75">
      <c r="B16" s="299" t="s">
        <v>2718</v>
      </c>
      <c r="C16" s="309">
        <f>C15</f>
        <v>0</v>
      </c>
    </row>
    <row r="17" spans="2:3" ht="15.75">
      <c r="B17" s="299" t="s">
        <v>2791</v>
      </c>
      <c r="C17" s="301">
        <f>'Project Size'!C23</f>
        <v>0</v>
      </c>
    </row>
    <row r="18" spans="2:3" ht="15.75">
      <c r="B18" s="299" t="s">
        <v>2791</v>
      </c>
      <c r="C18" s="308">
        <f>C17</f>
        <v>0</v>
      </c>
    </row>
    <row r="19" spans="2:3" ht="15.75">
      <c r="B19" s="299" t="s">
        <v>2800</v>
      </c>
      <c r="C19" s="308">
        <f>'Project Size'!C24</f>
        <v>0</v>
      </c>
    </row>
    <row r="20" spans="2:3" ht="15.75">
      <c r="B20" s="299" t="s">
        <v>2722</v>
      </c>
      <c r="C20" s="299" t="e">
        <f>#REF!</f>
        <v>#REF!</v>
      </c>
    </row>
    <row r="21" spans="2:3" ht="15.75">
      <c r="B21" s="299" t="s">
        <v>2727</v>
      </c>
      <c r="C21" s="299" t="e">
        <f>#REF!</f>
        <v>#REF!</v>
      </c>
    </row>
    <row r="22" spans="2:3" ht="15.75">
      <c r="B22" s="299" t="s">
        <v>2729</v>
      </c>
      <c r="C22" s="299" t="e">
        <f>#REF!</f>
        <v>#REF!</v>
      </c>
    </row>
    <row r="23" spans="2:3" ht="15.75">
      <c r="B23" s="299" t="s">
        <v>2730</v>
      </c>
      <c r="C23" s="299" t="e">
        <f>#REF!</f>
        <v>#REF!</v>
      </c>
    </row>
    <row r="24" spans="2:3" ht="15.75">
      <c r="B24" s="299" t="s">
        <v>2797</v>
      </c>
      <c r="C24" s="306" t="e">
        <f>C23</f>
        <v>#REF!</v>
      </c>
    </row>
    <row r="25" spans="2:3" ht="15.75">
      <c r="B25" s="299" t="s">
        <v>2731</v>
      </c>
      <c r="C25" s="299" t="e">
        <f>#REF!</f>
        <v>#REF!</v>
      </c>
    </row>
    <row r="26" spans="2:3" ht="15.75">
      <c r="B26" s="299" t="s">
        <v>2732</v>
      </c>
      <c r="C26" s="299" t="e">
        <f>#REF!</f>
        <v>#REF!</v>
      </c>
    </row>
    <row r="27" spans="2:3" ht="15.75">
      <c r="B27" s="299" t="s">
        <v>2739</v>
      </c>
      <c r="C27" s="299" t="e">
        <f>'Project Size'!#REF!</f>
        <v>#REF!</v>
      </c>
    </row>
    <row r="28" spans="2:3" ht="15.75">
      <c r="B28" s="299" t="s">
        <v>2741</v>
      </c>
      <c r="C28" s="299" t="e">
        <f>'Project Size'!#REF!</f>
        <v>#REF!</v>
      </c>
    </row>
    <row r="29" spans="2:3" ht="15.75">
      <c r="B29" s="299" t="s">
        <v>2740</v>
      </c>
      <c r="C29" s="299" t="e">
        <f>'Project Size'!#REF!</f>
        <v>#REF!</v>
      </c>
    </row>
    <row r="30" spans="2:3" ht="15.75">
      <c r="B30" s="299" t="s">
        <v>2747</v>
      </c>
      <c r="C30" s="299" t="e">
        <f>'Project Size'!#REF!</f>
        <v>#REF!</v>
      </c>
    </row>
    <row r="31" spans="2:3" ht="15.75">
      <c r="B31" s="299" t="s">
        <v>1545</v>
      </c>
      <c r="C31" s="305" t="e">
        <f>'Project Size'!#REF!</f>
        <v>#REF!</v>
      </c>
    </row>
    <row r="32" spans="2:3" ht="15.75">
      <c r="B32" s="299" t="s">
        <v>2715</v>
      </c>
      <c r="C32" s="299" t="e">
        <f>'Project Size'!#REF!</f>
        <v>#REF!</v>
      </c>
    </row>
    <row r="33" spans="2:3" ht="15.75">
      <c r="B33" s="299" t="s">
        <v>2786</v>
      </c>
      <c r="C33" s="299" t="e">
        <f>UPPER(C32)</f>
        <v>#REF!</v>
      </c>
    </row>
    <row r="34" spans="2:3">
      <c r="B34" s="297" t="s">
        <v>2787</v>
      </c>
      <c r="C34" s="302" t="e">
        <f>'Project Size'!#REF!</f>
        <v>#REF!</v>
      </c>
    </row>
    <row r="35" spans="2:3" ht="15.75">
      <c r="B35" s="297" t="s">
        <v>2798</v>
      </c>
      <c r="C35" s="307" t="e">
        <f>C34</f>
        <v>#REF!</v>
      </c>
    </row>
    <row r="36" spans="2:3">
      <c r="B36" s="297" t="s">
        <v>519</v>
      </c>
      <c r="C36" s="304">
        <f>SUM('Project Size'!C4:C8)</f>
        <v>0</v>
      </c>
    </row>
    <row r="37" spans="2:3">
      <c r="B37" s="297" t="s">
        <v>2759</v>
      </c>
      <c r="C37" s="298" t="e">
        <f>'Project Size'!#REF!</f>
        <v>#REF!</v>
      </c>
    </row>
    <row r="38" spans="2:3" ht="15.75">
      <c r="B38" s="297" t="s">
        <v>2805</v>
      </c>
      <c r="C38" s="311">
        <f>C19-C18-C16</f>
        <v>0</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sheetPr codeName="Sheet3" enableFormatConditionsCalculation="0">
    <tabColor theme="6" tint="0.39997558519241921"/>
  </sheetPr>
  <dimension ref="A1:M37"/>
  <sheetViews>
    <sheetView showGridLines="0" workbookViewId="0">
      <selection activeCell="A7" sqref="A7"/>
    </sheetView>
  </sheetViews>
  <sheetFormatPr defaultRowHeight="12.75"/>
  <cols>
    <col min="1" max="1" width="2" style="257" bestFit="1" customWidth="1"/>
    <col min="2" max="2" width="31.5703125" style="257" customWidth="1"/>
    <col min="3" max="16384" width="9.140625" style="257"/>
  </cols>
  <sheetData>
    <row r="1" spans="1:13" s="286" customFormat="1" ht="18.75">
      <c r="B1" s="395" t="s">
        <v>2931</v>
      </c>
    </row>
    <row r="2" spans="1:13" s="286" customFormat="1" ht="16.5" customHeight="1">
      <c r="B2" s="395"/>
    </row>
    <row r="3" spans="1:13">
      <c r="A3" s="370"/>
      <c r="B3" s="393" t="s">
        <v>2345</v>
      </c>
    </row>
    <row r="4" spans="1:13">
      <c r="A4" s="370">
        <v>1</v>
      </c>
      <c r="B4" s="394" t="s">
        <v>2930</v>
      </c>
      <c r="C4" s="312"/>
      <c r="D4" s="312"/>
      <c r="E4" s="312"/>
      <c r="F4" s="312"/>
      <c r="G4" s="312"/>
      <c r="H4" s="312"/>
      <c r="I4" s="312"/>
      <c r="J4" s="312"/>
      <c r="K4" s="312"/>
      <c r="L4" s="312"/>
      <c r="M4" s="259"/>
    </row>
    <row r="5" spans="1:13">
      <c r="A5" s="370">
        <v>2</v>
      </c>
      <c r="B5" s="394" t="s">
        <v>895</v>
      </c>
      <c r="C5" s="312"/>
      <c r="D5" s="312"/>
      <c r="E5" s="312"/>
      <c r="F5" s="312"/>
      <c r="G5" s="312"/>
      <c r="H5" s="312"/>
      <c r="I5" s="312"/>
      <c r="J5" s="312"/>
      <c r="K5" s="312"/>
      <c r="L5" s="312"/>
      <c r="M5" s="259"/>
    </row>
    <row r="6" spans="1:13">
      <c r="A6" s="370">
        <v>3</v>
      </c>
      <c r="B6" s="394" t="s">
        <v>1080</v>
      </c>
      <c r="C6" s="312"/>
      <c r="D6" s="312"/>
      <c r="E6" s="312"/>
      <c r="F6" s="312"/>
      <c r="G6" s="312"/>
      <c r="H6" s="312"/>
      <c r="I6" s="312"/>
      <c r="J6" s="312"/>
      <c r="K6" s="312"/>
      <c r="L6" s="312"/>
    </row>
    <row r="7" spans="1:13" s="259" customFormat="1"/>
    <row r="8" spans="1:13">
      <c r="B8" s="369"/>
      <c r="C8" s="713" t="s">
        <v>906</v>
      </c>
      <c r="D8" s="713"/>
      <c r="E8" s="713" t="s">
        <v>863</v>
      </c>
      <c r="F8" s="713"/>
      <c r="G8" s="370"/>
      <c r="H8" s="370"/>
    </row>
    <row r="9" spans="1:13">
      <c r="B9" s="369"/>
      <c r="C9" s="369" t="s">
        <v>999</v>
      </c>
      <c r="D9" s="369" t="s">
        <v>1000</v>
      </c>
      <c r="E9" s="369" t="s">
        <v>999</v>
      </c>
      <c r="F9" s="369" t="s">
        <v>1000</v>
      </c>
      <c r="G9" s="370" t="s">
        <v>668</v>
      </c>
      <c r="H9" s="370"/>
    </row>
    <row r="10" spans="1:13">
      <c r="B10" s="371" t="s">
        <v>1263</v>
      </c>
      <c r="C10" s="372">
        <v>0.4</v>
      </c>
      <c r="D10" s="372"/>
      <c r="E10" s="372">
        <v>0.4</v>
      </c>
      <c r="F10" s="372"/>
      <c r="G10" s="370"/>
      <c r="H10" s="370"/>
    </row>
    <row r="11" spans="1:13">
      <c r="B11" s="371" t="s">
        <v>1262</v>
      </c>
      <c r="C11" s="372"/>
      <c r="D11" s="372"/>
      <c r="E11" s="372"/>
      <c r="F11" s="372"/>
      <c r="G11" s="370"/>
      <c r="H11" s="370"/>
    </row>
    <row r="12" spans="1:13">
      <c r="B12" s="373"/>
      <c r="C12" s="374"/>
      <c r="D12" s="374"/>
      <c r="E12" s="374"/>
      <c r="F12" s="374"/>
      <c r="G12" s="370"/>
      <c r="H12" s="370"/>
    </row>
    <row r="13" spans="1:13">
      <c r="B13" s="373" t="s">
        <v>12</v>
      </c>
      <c r="C13" s="375">
        <f>C10/0.86</f>
        <v>0.46511627906976749</v>
      </c>
      <c r="D13" s="375" t="str">
        <f>IF(D10="","",D10/0.86)</f>
        <v/>
      </c>
      <c r="E13" s="375">
        <f>E10/0.86</f>
        <v>0.46511627906976749</v>
      </c>
      <c r="F13" s="375" t="str">
        <f>IF(F10="","",F10/0.86)</f>
        <v/>
      </c>
      <c r="G13" s="370"/>
      <c r="H13" s="370"/>
    </row>
    <row r="14" spans="1:13">
      <c r="B14" s="373" t="s">
        <v>2742</v>
      </c>
      <c r="C14" s="375" t="str">
        <f>IF(C11="","",1/(1/C11-0.17))</f>
        <v/>
      </c>
      <c r="D14" s="375" t="str">
        <f>IF(D11="","",1/(1/D11-0.17))</f>
        <v/>
      </c>
      <c r="E14" s="375" t="str">
        <f>IF(E11="","",1/(1/E11-0.17))</f>
        <v/>
      </c>
      <c r="F14" s="375" t="str">
        <f>IF(F11="","",1/(1/F11-0.17))</f>
        <v/>
      </c>
      <c r="G14" s="370"/>
      <c r="H14" s="370"/>
    </row>
    <row r="15" spans="1:13">
      <c r="B15" s="370"/>
      <c r="C15" s="370"/>
      <c r="D15" s="370"/>
      <c r="E15" s="370"/>
      <c r="F15" s="370"/>
      <c r="G15" s="370"/>
      <c r="H15" s="370"/>
    </row>
    <row r="16" spans="1:13">
      <c r="B16" s="376" t="s">
        <v>2929</v>
      </c>
      <c r="C16" s="370"/>
      <c r="D16" s="370"/>
      <c r="E16" s="370"/>
      <c r="F16" s="370"/>
      <c r="G16" s="370"/>
      <c r="H16" s="370"/>
    </row>
    <row r="17" spans="2:9">
      <c r="B17" s="377" t="s">
        <v>2927</v>
      </c>
      <c r="C17" s="716" t="s">
        <v>2825</v>
      </c>
      <c r="D17" s="715"/>
      <c r="E17" s="716" t="s">
        <v>2826</v>
      </c>
      <c r="F17" s="715"/>
      <c r="G17" s="714" t="s">
        <v>2827</v>
      </c>
      <c r="H17" s="715"/>
    </row>
    <row r="18" spans="2:9">
      <c r="B18" s="378"/>
      <c r="C18" s="379" t="s">
        <v>2828</v>
      </c>
      <c r="D18" s="379" t="s">
        <v>2621</v>
      </c>
      <c r="E18" s="379" t="s">
        <v>2828</v>
      </c>
      <c r="F18" s="379" t="s">
        <v>2621</v>
      </c>
      <c r="G18" s="379" t="s">
        <v>2828</v>
      </c>
      <c r="H18" s="379" t="s">
        <v>2621</v>
      </c>
    </row>
    <row r="19" spans="2:9">
      <c r="B19" s="380" t="s">
        <v>2829</v>
      </c>
      <c r="C19" s="381">
        <v>0.4</v>
      </c>
      <c r="D19" s="382">
        <v>0.4</v>
      </c>
      <c r="E19" s="383">
        <v>0.35</v>
      </c>
      <c r="F19" s="382">
        <v>0.4</v>
      </c>
      <c r="G19" s="384">
        <v>0.35</v>
      </c>
      <c r="H19" s="382">
        <v>0.4</v>
      </c>
    </row>
    <row r="20" spans="2:9">
      <c r="B20" s="380" t="s">
        <v>2830</v>
      </c>
      <c r="C20" s="381">
        <v>0.5</v>
      </c>
      <c r="D20" s="382">
        <v>0.4</v>
      </c>
      <c r="E20" s="383">
        <v>0.45</v>
      </c>
      <c r="F20" s="382">
        <v>0.4</v>
      </c>
      <c r="G20" s="384">
        <v>0.45</v>
      </c>
      <c r="H20" s="382">
        <v>0.4</v>
      </c>
    </row>
    <row r="21" spans="2:9">
      <c r="B21" s="380" t="s">
        <v>2831</v>
      </c>
      <c r="C21" s="383">
        <v>0.85</v>
      </c>
      <c r="D21" s="382">
        <v>0.4</v>
      </c>
      <c r="E21" s="381">
        <v>0.8</v>
      </c>
      <c r="F21" s="382">
        <v>0.4</v>
      </c>
      <c r="G21" s="385">
        <v>0.8</v>
      </c>
      <c r="H21" s="382">
        <v>0.4</v>
      </c>
    </row>
    <row r="22" spans="2:9">
      <c r="B22" s="386" t="s">
        <v>2832</v>
      </c>
      <c r="C22" s="387">
        <v>0.55000000000000004</v>
      </c>
      <c r="D22" s="388">
        <v>0.4</v>
      </c>
      <c r="E22" s="387">
        <v>0.55000000000000004</v>
      </c>
      <c r="F22" s="388">
        <v>0.4</v>
      </c>
      <c r="G22" s="389">
        <v>0.55000000000000004</v>
      </c>
      <c r="H22" s="388">
        <v>0.4</v>
      </c>
    </row>
    <row r="23" spans="2:9">
      <c r="B23" s="390"/>
      <c r="C23" s="391"/>
      <c r="D23" s="391"/>
      <c r="E23" s="391"/>
      <c r="F23" s="391"/>
      <c r="G23" s="391"/>
      <c r="H23" s="391"/>
      <c r="I23" s="258"/>
    </row>
    <row r="24" spans="2:9">
      <c r="B24" s="392"/>
      <c r="C24" s="391"/>
      <c r="D24" s="391"/>
      <c r="E24" s="391"/>
      <c r="F24" s="391"/>
      <c r="G24" s="391"/>
      <c r="H24" s="391"/>
      <c r="I24" s="258"/>
    </row>
    <row r="25" spans="2:9">
      <c r="B25" s="377" t="s">
        <v>2928</v>
      </c>
      <c r="C25" s="716" t="s">
        <v>2825</v>
      </c>
      <c r="D25" s="715"/>
      <c r="E25" s="716" t="s">
        <v>2826</v>
      </c>
      <c r="F25" s="715"/>
      <c r="G25" s="714" t="s">
        <v>2827</v>
      </c>
      <c r="H25" s="715"/>
    </row>
    <row r="26" spans="2:9">
      <c r="B26" s="378"/>
      <c r="C26" s="379" t="s">
        <v>2828</v>
      </c>
      <c r="D26" s="379" t="s">
        <v>2621</v>
      </c>
      <c r="E26" s="379" t="s">
        <v>2828</v>
      </c>
      <c r="F26" s="379" t="s">
        <v>2621</v>
      </c>
      <c r="G26" s="379" t="s">
        <v>2828</v>
      </c>
      <c r="H26" s="379" t="s">
        <v>2621</v>
      </c>
    </row>
    <row r="27" spans="2:9">
      <c r="B27" s="380" t="s">
        <v>2829</v>
      </c>
      <c r="C27" s="381">
        <v>0.4</v>
      </c>
      <c r="D27" s="382">
        <v>0.4</v>
      </c>
      <c r="E27" s="384">
        <v>0.35</v>
      </c>
      <c r="F27" s="382">
        <v>0.4</v>
      </c>
      <c r="G27" s="384">
        <v>0.35</v>
      </c>
      <c r="H27" s="382">
        <v>0.4</v>
      </c>
    </row>
    <row r="28" spans="2:9">
      <c r="B28" s="380" t="s">
        <v>2830</v>
      </c>
      <c r="C28" s="381">
        <v>0.5</v>
      </c>
      <c r="D28" s="382">
        <v>0.4</v>
      </c>
      <c r="E28" s="384">
        <v>0.45</v>
      </c>
      <c r="F28" s="382">
        <v>0.4</v>
      </c>
      <c r="G28" s="384">
        <v>0.45</v>
      </c>
      <c r="H28" s="382">
        <v>0.4</v>
      </c>
    </row>
    <row r="29" spans="2:9">
      <c r="B29" s="380" t="s">
        <v>2831</v>
      </c>
      <c r="C29" s="383">
        <v>0.85</v>
      </c>
      <c r="D29" s="382">
        <v>0.4</v>
      </c>
      <c r="E29" s="385">
        <v>0.8</v>
      </c>
      <c r="F29" s="382">
        <v>0.4</v>
      </c>
      <c r="G29" s="385">
        <v>0.8</v>
      </c>
      <c r="H29" s="382">
        <v>0.4</v>
      </c>
    </row>
    <row r="30" spans="2:9">
      <c r="B30" s="386" t="s">
        <v>2832</v>
      </c>
      <c r="C30" s="387">
        <v>0.55000000000000004</v>
      </c>
      <c r="D30" s="388">
        <v>0.4</v>
      </c>
      <c r="E30" s="389">
        <v>0.55000000000000004</v>
      </c>
      <c r="F30" s="388">
        <v>0.4</v>
      </c>
      <c r="G30" s="389">
        <v>0.55000000000000004</v>
      </c>
      <c r="H30" s="388">
        <v>0.4</v>
      </c>
    </row>
    <row r="31" spans="2:9">
      <c r="B31" s="261"/>
    </row>
    <row r="32" spans="2:9">
      <c r="B32" s="261"/>
      <c r="C32" s="261"/>
      <c r="D32" s="261"/>
      <c r="E32" s="261"/>
      <c r="F32" s="261"/>
      <c r="G32" s="261"/>
    </row>
    <row r="33" spans="2:7">
      <c r="B33" s="261"/>
      <c r="C33" s="262"/>
      <c r="D33" s="261"/>
      <c r="E33" s="262"/>
      <c r="F33" s="261"/>
      <c r="G33" s="261"/>
    </row>
    <row r="34" spans="2:7">
      <c r="B34" s="261"/>
      <c r="C34" s="261"/>
      <c r="D34" s="261"/>
      <c r="E34" s="261"/>
      <c r="F34" s="261"/>
      <c r="G34" s="261"/>
    </row>
    <row r="35" spans="2:7">
      <c r="B35" s="261"/>
      <c r="C35" s="263"/>
      <c r="D35" s="263"/>
      <c r="E35" s="263"/>
      <c r="F35" s="263"/>
      <c r="G35" s="261"/>
    </row>
    <row r="36" spans="2:7">
      <c r="B36" s="261"/>
      <c r="C36" s="263"/>
      <c r="D36" s="263"/>
      <c r="E36" s="263"/>
      <c r="F36" s="263"/>
      <c r="G36" s="261"/>
    </row>
    <row r="37" spans="2:7">
      <c r="B37" s="261"/>
      <c r="C37" s="261"/>
      <c r="D37" s="261"/>
      <c r="E37" s="261"/>
      <c r="F37" s="261"/>
      <c r="G37" s="261"/>
    </row>
  </sheetData>
  <mergeCells count="8">
    <mergeCell ref="C8:D8"/>
    <mergeCell ref="E8:F8"/>
    <mergeCell ref="G25:H25"/>
    <mergeCell ref="E25:F25"/>
    <mergeCell ref="C25:D25"/>
    <mergeCell ref="G17:H17"/>
    <mergeCell ref="E17:F17"/>
    <mergeCell ref="C17:D17"/>
  </mergeCells>
  <phoneticPr fontId="29" type="noConversion"/>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sheetPr codeName="Sheet5" enableFormatConditionsCalculation="0">
    <tabColor theme="6" tint="0.39997558519241921"/>
  </sheetPr>
  <dimension ref="A1:Z45"/>
  <sheetViews>
    <sheetView showGridLines="0" workbookViewId="0">
      <selection activeCell="F31" sqref="F31"/>
    </sheetView>
  </sheetViews>
  <sheetFormatPr defaultRowHeight="12"/>
  <cols>
    <col min="1" max="1" width="2" style="429" bestFit="1" customWidth="1"/>
    <col min="2" max="2" width="29.85546875" style="429" customWidth="1"/>
    <col min="3" max="3" width="16.140625" style="429" customWidth="1"/>
    <col min="4" max="4" width="10.85546875" style="429" customWidth="1"/>
    <col min="5" max="5" width="11.85546875" style="429" customWidth="1"/>
    <col min="6" max="6" width="20.28515625" style="429" bestFit="1" customWidth="1"/>
    <col min="7" max="7" width="13.85546875" style="429" customWidth="1"/>
    <col min="8" max="8" width="9.140625" style="429"/>
    <col min="9" max="9" width="10.42578125" style="429" customWidth="1"/>
    <col min="10" max="10" width="4.28515625" style="429" customWidth="1"/>
    <col min="11" max="14" width="9.140625" style="429"/>
    <col min="15" max="15" width="10.5703125" style="429" customWidth="1"/>
    <col min="16" max="25" width="9.140625" style="429"/>
    <col min="26" max="26" width="0" style="429" hidden="1" customWidth="1"/>
    <col min="27" max="16384" width="9.140625" style="429"/>
  </cols>
  <sheetData>
    <row r="1" spans="1:26" ht="18.75">
      <c r="B1" s="452" t="s">
        <v>2934</v>
      </c>
    </row>
    <row r="3" spans="1:26">
      <c r="B3" s="429" t="s">
        <v>2345</v>
      </c>
    </row>
    <row r="4" spans="1:26">
      <c r="A4" s="429">
        <v>1</v>
      </c>
      <c r="B4" s="429" t="s">
        <v>3006</v>
      </c>
      <c r="F4" s="431"/>
      <c r="Z4" s="429" t="s">
        <v>2646</v>
      </c>
    </row>
    <row r="5" spans="1:26">
      <c r="A5" s="429">
        <v>2</v>
      </c>
      <c r="B5" s="429" t="s">
        <v>2950</v>
      </c>
      <c r="F5" s="431"/>
      <c r="Z5" s="429" t="s">
        <v>2647</v>
      </c>
    </row>
    <row r="6" spans="1:26">
      <c r="A6" s="429">
        <v>3</v>
      </c>
      <c r="B6" s="541" t="s">
        <v>3010</v>
      </c>
      <c r="C6" s="453"/>
      <c r="D6" s="453"/>
      <c r="Z6" s="429" t="s">
        <v>2648</v>
      </c>
    </row>
    <row r="7" spans="1:26">
      <c r="B7" s="453"/>
      <c r="C7" s="453"/>
      <c r="D7" s="453"/>
      <c r="F7" s="459" t="s">
        <v>2645</v>
      </c>
      <c r="G7" s="454" t="s">
        <v>2648</v>
      </c>
      <c r="H7" s="429" t="s">
        <v>2943</v>
      </c>
    </row>
    <row r="8" spans="1:26">
      <c r="B8" s="459"/>
      <c r="C8" s="467" t="s">
        <v>1000</v>
      </c>
      <c r="D8" s="467" t="s">
        <v>999</v>
      </c>
      <c r="F8" s="459" t="s">
        <v>2944</v>
      </c>
      <c r="G8" s="433">
        <f>IF(G7="Low",12,IF(G7="Medium",25,44))</f>
        <v>44</v>
      </c>
      <c r="H8" s="429" t="s">
        <v>2649</v>
      </c>
      <c r="K8" s="431"/>
    </row>
    <row r="9" spans="1:26">
      <c r="B9" s="433" t="s">
        <v>2935</v>
      </c>
      <c r="C9" s="434" t="e">
        <f>($G$10*$G$26+$G$11*$G$27)/($G$26+$G$27)</f>
        <v>#DIV/0!</v>
      </c>
      <c r="D9" s="433">
        <v>2.5</v>
      </c>
      <c r="F9" s="459" t="s">
        <v>2945</v>
      </c>
      <c r="G9" s="469"/>
      <c r="H9" s="429" t="s">
        <v>209</v>
      </c>
    </row>
    <row r="10" spans="1:26">
      <c r="B10" s="468" t="s">
        <v>1146</v>
      </c>
      <c r="C10" s="435">
        <f>'Water Savings'!C27</f>
        <v>0</v>
      </c>
      <c r="D10" s="436">
        <v>2.5</v>
      </c>
      <c r="F10" s="459" t="s">
        <v>2946</v>
      </c>
      <c r="G10" s="469"/>
      <c r="H10" s="429" t="s">
        <v>209</v>
      </c>
    </row>
    <row r="11" spans="1:26">
      <c r="B11" s="437" t="s">
        <v>2650</v>
      </c>
      <c r="C11" s="438" t="e">
        <f>D11*(0.36+0.54*C10/2.5+0.1*C9/2.5)</f>
        <v>#DIV/0!</v>
      </c>
      <c r="D11" s="471">
        <f>G8*G24</f>
        <v>0</v>
      </c>
      <c r="E11" s="439"/>
      <c r="F11" s="459" t="s">
        <v>2947</v>
      </c>
      <c r="G11" s="469"/>
      <c r="H11" s="429" t="s">
        <v>209</v>
      </c>
    </row>
    <row r="12" spans="1:26">
      <c r="B12" s="437" t="s">
        <v>2936</v>
      </c>
      <c r="C12" s="438" t="e">
        <f>$C$11+$J$15+J13*G21</f>
        <v>#DIV/0!</v>
      </c>
      <c r="D12" s="471">
        <f>$D$11+$J$14+J12*G21</f>
        <v>0</v>
      </c>
      <c r="E12" s="439"/>
      <c r="F12" s="459" t="s">
        <v>900</v>
      </c>
      <c r="G12" s="433">
        <f>IF(G19="Y",1290,0)</f>
        <v>1290</v>
      </c>
      <c r="H12" s="429" t="s">
        <v>2746</v>
      </c>
      <c r="J12" s="440">
        <f>G12/365</f>
        <v>3.5342465753424657</v>
      </c>
      <c r="K12" s="429" t="s">
        <v>901</v>
      </c>
    </row>
    <row r="13" spans="1:26">
      <c r="B13" s="437" t="s">
        <v>2949</v>
      </c>
      <c r="C13" s="632" t="e">
        <f>C12/$B$42/60</f>
        <v>#DIV/0!</v>
      </c>
      <c r="D13" s="558">
        <f>D12/$B$42/60</f>
        <v>0</v>
      </c>
      <c r="E13" s="441"/>
      <c r="F13" s="459" t="s">
        <v>902</v>
      </c>
      <c r="G13" s="433">
        <f>IF(G19="N",0,IF(G20="Y",860,1290))</f>
        <v>860</v>
      </c>
      <c r="H13" s="429" t="s">
        <v>2746</v>
      </c>
      <c r="J13" s="440">
        <f>G13/365</f>
        <v>2.3561643835616439</v>
      </c>
      <c r="K13" s="429" t="s">
        <v>901</v>
      </c>
      <c r="N13" s="439"/>
    </row>
    <row r="14" spans="1:26">
      <c r="B14" s="464"/>
      <c r="C14" s="464"/>
      <c r="D14" s="464"/>
      <c r="F14" s="459" t="s">
        <v>1249</v>
      </c>
      <c r="G14" s="443">
        <f>IF($G$30=0,0,IF($G$32="Common",0.2*30943,0.2*12768))</f>
        <v>0</v>
      </c>
      <c r="H14" s="429" t="s">
        <v>1250</v>
      </c>
      <c r="J14" s="440">
        <f>G14*G30/365</f>
        <v>0</v>
      </c>
      <c r="K14" s="429" t="s">
        <v>2651</v>
      </c>
    </row>
    <row r="15" spans="1:26">
      <c r="B15" s="313"/>
      <c r="C15" s="313"/>
      <c r="D15" s="313"/>
      <c r="F15" s="459" t="s">
        <v>1251</v>
      </c>
      <c r="G15" s="443">
        <f>IF($G$30=0,0,IF($G$31="N", $G$14, IF($G$32="Common",0.2*14032,0.2*5790)))</f>
        <v>0</v>
      </c>
      <c r="H15" s="429" t="s">
        <v>1250</v>
      </c>
      <c r="J15" s="440">
        <f>G15*G30/365</f>
        <v>0</v>
      </c>
      <c r="K15" s="429" t="s">
        <v>2651</v>
      </c>
    </row>
    <row r="17" spans="2:11">
      <c r="B17" s="459" t="s">
        <v>2948</v>
      </c>
      <c r="C17" s="459" t="s">
        <v>1148</v>
      </c>
      <c r="D17" s="457" t="s">
        <v>1000</v>
      </c>
      <c r="E17" s="458" t="s">
        <v>999</v>
      </c>
    </row>
    <row r="18" spans="2:11">
      <c r="B18" s="469">
        <v>0.05</v>
      </c>
      <c r="C18" s="433">
        <v>0</v>
      </c>
      <c r="D18" s="444" t="e">
        <f>B18*$C$13*60</f>
        <v>#DIV/0!</v>
      </c>
      <c r="E18" s="444">
        <f>B18*$D$13*60</f>
        <v>0</v>
      </c>
      <c r="G18" s="472" t="s">
        <v>2674</v>
      </c>
    </row>
    <row r="19" spans="2:11">
      <c r="B19" s="469">
        <v>0.05</v>
      </c>
      <c r="C19" s="433">
        <f>C18+1</f>
        <v>1</v>
      </c>
      <c r="D19" s="444" t="e">
        <f t="shared" ref="D19:D41" si="0">B19*$C$13*60</f>
        <v>#DIV/0!</v>
      </c>
      <c r="E19" s="444">
        <f t="shared" ref="E19:E41" si="1">B19*$D$13*60</f>
        <v>0</v>
      </c>
      <c r="G19" s="454" t="s">
        <v>2686</v>
      </c>
      <c r="H19" s="429" t="s">
        <v>59</v>
      </c>
    </row>
    <row r="20" spans="2:11">
      <c r="B20" s="469">
        <v>0.05</v>
      </c>
      <c r="C20" s="433">
        <f t="shared" ref="C20:C40" si="2">C19+1</f>
        <v>2</v>
      </c>
      <c r="D20" s="444" t="e">
        <f t="shared" si="0"/>
        <v>#DIV/0!</v>
      </c>
      <c r="E20" s="444">
        <f t="shared" si="1"/>
        <v>0</v>
      </c>
      <c r="G20" s="454" t="s">
        <v>2686</v>
      </c>
      <c r="H20" s="429" t="s">
        <v>2937</v>
      </c>
    </row>
    <row r="21" spans="2:11">
      <c r="B21" s="469">
        <v>0.05</v>
      </c>
      <c r="C21" s="433">
        <f t="shared" si="2"/>
        <v>3</v>
      </c>
      <c r="D21" s="444" t="e">
        <f t="shared" si="0"/>
        <v>#DIV/0!</v>
      </c>
      <c r="E21" s="444">
        <f t="shared" si="1"/>
        <v>0</v>
      </c>
      <c r="G21" s="454"/>
      <c r="H21" s="429" t="s">
        <v>661</v>
      </c>
    </row>
    <row r="22" spans="2:11">
      <c r="B22" s="469">
        <v>0.05</v>
      </c>
      <c r="C22" s="433">
        <f t="shared" si="2"/>
        <v>4</v>
      </c>
      <c r="D22" s="444" t="e">
        <f t="shared" si="0"/>
        <v>#DIV/0!</v>
      </c>
      <c r="E22" s="444">
        <f t="shared" si="1"/>
        <v>0</v>
      </c>
      <c r="G22" s="450"/>
      <c r="K22" s="445"/>
    </row>
    <row r="23" spans="2:11">
      <c r="B23" s="469">
        <v>0.05</v>
      </c>
      <c r="C23" s="433">
        <f t="shared" si="2"/>
        <v>5</v>
      </c>
      <c r="D23" s="444" t="e">
        <f t="shared" si="0"/>
        <v>#DIV/0!</v>
      </c>
      <c r="E23" s="444">
        <f t="shared" si="1"/>
        <v>0</v>
      </c>
      <c r="G23" s="472" t="s">
        <v>2941</v>
      </c>
    </row>
    <row r="24" spans="2:11">
      <c r="B24" s="469">
        <v>0.3</v>
      </c>
      <c r="C24" s="433">
        <f t="shared" si="2"/>
        <v>6</v>
      </c>
      <c r="D24" s="444" t="e">
        <f t="shared" si="0"/>
        <v>#DIV/0!</v>
      </c>
      <c r="E24" s="444">
        <f t="shared" si="1"/>
        <v>0</v>
      </c>
      <c r="G24" s="460">
        <f>'Project Size'!C4+'Project Size'!C5+2*'Project Size'!C6+3*'Project Size'!C7+4*'Project Size'!C8</f>
        <v>0</v>
      </c>
      <c r="H24" s="429" t="s">
        <v>206</v>
      </c>
    </row>
    <row r="25" spans="2:11">
      <c r="B25" s="469">
        <v>0.5</v>
      </c>
      <c r="C25" s="433">
        <f t="shared" si="2"/>
        <v>7</v>
      </c>
      <c r="D25" s="444" t="e">
        <f t="shared" si="0"/>
        <v>#DIV/0!</v>
      </c>
      <c r="E25" s="444">
        <f t="shared" si="1"/>
        <v>0</v>
      </c>
      <c r="G25" s="460">
        <f>SUM('Project Size'!C4:C8)</f>
        <v>0</v>
      </c>
      <c r="H25" s="429" t="s">
        <v>207</v>
      </c>
    </row>
    <row r="26" spans="2:11">
      <c r="B26" s="469">
        <v>0.4</v>
      </c>
      <c r="C26" s="433">
        <f t="shared" si="2"/>
        <v>8</v>
      </c>
      <c r="D26" s="444" t="e">
        <f t="shared" si="0"/>
        <v>#DIV/0!</v>
      </c>
      <c r="E26" s="444">
        <f t="shared" si="1"/>
        <v>0</v>
      </c>
      <c r="F26" s="446"/>
      <c r="G26" s="454"/>
      <c r="H26" s="429" t="s">
        <v>210</v>
      </c>
      <c r="J26" s="439"/>
    </row>
    <row r="27" spans="2:11">
      <c r="B27" s="469">
        <v>0.3</v>
      </c>
      <c r="C27" s="433">
        <f t="shared" si="2"/>
        <v>9</v>
      </c>
      <c r="D27" s="444" t="e">
        <f t="shared" si="0"/>
        <v>#DIV/0!</v>
      </c>
      <c r="E27" s="444">
        <f t="shared" si="1"/>
        <v>0</v>
      </c>
      <c r="F27" s="446"/>
      <c r="G27" s="454"/>
      <c r="H27" s="429" t="s">
        <v>211</v>
      </c>
    </row>
    <row r="28" spans="2:11">
      <c r="B28" s="469">
        <v>0.3</v>
      </c>
      <c r="C28" s="433">
        <f t="shared" si="2"/>
        <v>10</v>
      </c>
      <c r="D28" s="444" t="e">
        <f t="shared" si="0"/>
        <v>#DIV/0!</v>
      </c>
      <c r="E28" s="444">
        <f t="shared" si="1"/>
        <v>0</v>
      </c>
      <c r="G28" s="450"/>
    </row>
    <row r="29" spans="2:11">
      <c r="B29" s="469">
        <v>0.35</v>
      </c>
      <c r="C29" s="433">
        <f t="shared" si="2"/>
        <v>11</v>
      </c>
      <c r="D29" s="444" t="e">
        <f t="shared" si="0"/>
        <v>#DIV/0!</v>
      </c>
      <c r="E29" s="444">
        <f t="shared" si="1"/>
        <v>0</v>
      </c>
      <c r="G29" s="472" t="s">
        <v>2675</v>
      </c>
    </row>
    <row r="30" spans="2:11">
      <c r="B30" s="469">
        <v>0.4</v>
      </c>
      <c r="C30" s="433">
        <f t="shared" si="2"/>
        <v>12</v>
      </c>
      <c r="D30" s="444" t="e">
        <f t="shared" si="0"/>
        <v>#DIV/0!</v>
      </c>
      <c r="E30" s="444">
        <f t="shared" si="1"/>
        <v>0</v>
      </c>
      <c r="G30" s="454"/>
      <c r="H30" s="429" t="s">
        <v>208</v>
      </c>
    </row>
    <row r="31" spans="2:11">
      <c r="B31" s="469">
        <v>0.35</v>
      </c>
      <c r="C31" s="433">
        <f t="shared" si="2"/>
        <v>13</v>
      </c>
      <c r="D31" s="444" t="e">
        <f t="shared" si="0"/>
        <v>#DIV/0!</v>
      </c>
      <c r="E31" s="444">
        <f t="shared" si="1"/>
        <v>0</v>
      </c>
      <c r="G31" s="695"/>
      <c r="H31" s="429" t="s">
        <v>2940</v>
      </c>
    </row>
    <row r="32" spans="2:11">
      <c r="B32" s="469">
        <v>0.35</v>
      </c>
      <c r="C32" s="433">
        <f t="shared" si="2"/>
        <v>14</v>
      </c>
      <c r="D32" s="444" t="e">
        <f t="shared" si="0"/>
        <v>#DIV/0!</v>
      </c>
      <c r="E32" s="444">
        <f t="shared" si="1"/>
        <v>0</v>
      </c>
      <c r="G32" s="695" t="s">
        <v>864</v>
      </c>
      <c r="H32" s="447" t="s">
        <v>872</v>
      </c>
    </row>
    <row r="33" spans="2:8">
      <c r="B33" s="469">
        <v>0.3</v>
      </c>
      <c r="C33" s="433">
        <f t="shared" si="2"/>
        <v>15</v>
      </c>
      <c r="D33" s="444" t="e">
        <f t="shared" si="0"/>
        <v>#DIV/0!</v>
      </c>
      <c r="E33" s="444">
        <f t="shared" si="1"/>
        <v>0</v>
      </c>
      <c r="G33" s="450"/>
    </row>
    <row r="34" spans="2:8">
      <c r="B34" s="469">
        <v>0.3</v>
      </c>
      <c r="C34" s="433">
        <f t="shared" si="2"/>
        <v>16</v>
      </c>
      <c r="D34" s="444" t="e">
        <f t="shared" si="0"/>
        <v>#DIV/0!</v>
      </c>
      <c r="E34" s="444">
        <f t="shared" si="1"/>
        <v>0</v>
      </c>
      <c r="G34" s="472" t="s">
        <v>2942</v>
      </c>
    </row>
    <row r="35" spans="2:8">
      <c r="B35" s="469">
        <v>0.5</v>
      </c>
      <c r="C35" s="433">
        <f t="shared" si="2"/>
        <v>17</v>
      </c>
      <c r="D35" s="444" t="e">
        <f t="shared" si="0"/>
        <v>#DIV/0!</v>
      </c>
      <c r="E35" s="444">
        <f t="shared" si="1"/>
        <v>0</v>
      </c>
      <c r="G35" s="454"/>
      <c r="H35" s="429" t="s">
        <v>1259</v>
      </c>
    </row>
    <row r="36" spans="2:8">
      <c r="B36" s="469">
        <v>0.5</v>
      </c>
      <c r="C36" s="433">
        <f t="shared" si="2"/>
        <v>18</v>
      </c>
      <c r="D36" s="444" t="e">
        <f t="shared" si="0"/>
        <v>#DIV/0!</v>
      </c>
      <c r="E36" s="444">
        <f t="shared" si="1"/>
        <v>0</v>
      </c>
      <c r="G36" s="461">
        <f>G35*0.13368</f>
        <v>0</v>
      </c>
      <c r="H36" s="429" t="s">
        <v>1261</v>
      </c>
    </row>
    <row r="37" spans="2:8">
      <c r="B37" s="469">
        <v>0.4</v>
      </c>
      <c r="C37" s="433">
        <f t="shared" si="2"/>
        <v>19</v>
      </c>
      <c r="D37" s="444" t="e">
        <f t="shared" si="0"/>
        <v>#DIV/0!</v>
      </c>
      <c r="E37" s="444">
        <f t="shared" si="1"/>
        <v>0</v>
      </c>
      <c r="G37" s="454"/>
      <c r="H37" s="429" t="s">
        <v>2938</v>
      </c>
    </row>
    <row r="38" spans="2:8">
      <c r="B38" s="469">
        <v>0.35</v>
      </c>
      <c r="C38" s="433">
        <f t="shared" si="2"/>
        <v>20</v>
      </c>
      <c r="D38" s="444" t="e">
        <f t="shared" si="0"/>
        <v>#DIV/0!</v>
      </c>
      <c r="E38" s="444">
        <f t="shared" si="1"/>
        <v>0</v>
      </c>
      <c r="G38" s="461" t="e">
        <f>G36/((22/7)*G37^2)</f>
        <v>#DIV/0!</v>
      </c>
      <c r="H38" s="429" t="s">
        <v>2939</v>
      </c>
    </row>
    <row r="39" spans="2:8">
      <c r="B39" s="469">
        <v>0.45</v>
      </c>
      <c r="C39" s="433">
        <f t="shared" si="2"/>
        <v>21</v>
      </c>
      <c r="D39" s="444" t="e">
        <f t="shared" si="0"/>
        <v>#DIV/0!</v>
      </c>
      <c r="E39" s="444">
        <f t="shared" si="1"/>
        <v>0</v>
      </c>
      <c r="G39" s="460">
        <v>12.5</v>
      </c>
      <c r="H39" s="429" t="s">
        <v>1553</v>
      </c>
    </row>
    <row r="40" spans="2:8">
      <c r="B40" s="469">
        <v>0.3</v>
      </c>
      <c r="C40" s="433">
        <f t="shared" si="2"/>
        <v>22</v>
      </c>
      <c r="D40" s="444" t="e">
        <f t="shared" si="0"/>
        <v>#DIV/0!</v>
      </c>
      <c r="E40" s="444">
        <f t="shared" si="1"/>
        <v>0</v>
      </c>
      <c r="G40" s="461" t="e">
        <f>2*(22/7)*G37^2+(22/7)*2*G37*G38</f>
        <v>#DIV/0!</v>
      </c>
      <c r="H40" s="429" t="s">
        <v>1260</v>
      </c>
    </row>
    <row r="41" spans="2:8">
      <c r="B41" s="469">
        <v>0.05</v>
      </c>
      <c r="C41" s="433">
        <f>C40+1</f>
        <v>23</v>
      </c>
      <c r="D41" s="444" t="e">
        <f t="shared" si="0"/>
        <v>#DIV/0!</v>
      </c>
      <c r="E41" s="444">
        <f t="shared" si="1"/>
        <v>0</v>
      </c>
      <c r="G41" s="462" t="e">
        <f>G40/G39</f>
        <v>#DIV/0!</v>
      </c>
      <c r="H41" s="429" t="s">
        <v>896</v>
      </c>
    </row>
    <row r="42" spans="2:8">
      <c r="B42" s="429">
        <f>SUM(B18:B41)</f>
        <v>6.7</v>
      </c>
      <c r="D42" s="449" t="e">
        <f>SUM(D18:D41)</f>
        <v>#DIV/0!</v>
      </c>
      <c r="E42" s="449">
        <f>SUM(E18:E41)</f>
        <v>0</v>
      </c>
    </row>
    <row r="43" spans="2:8">
      <c r="D43" s="450"/>
    </row>
    <row r="45" spans="2:8">
      <c r="B45" s="451"/>
    </row>
  </sheetData>
  <phoneticPr fontId="29" type="noConversion"/>
  <dataValidations count="4">
    <dataValidation type="list" allowBlank="1" showInputMessage="1" showErrorMessage="1" sqref="G7">
      <formula1>$Z$4:$Z$6</formula1>
    </dataValidation>
    <dataValidation type="list" allowBlank="1" showInputMessage="1" showErrorMessage="1" sqref="G32">
      <formula1>"Common,In-Unit"</formula1>
    </dataValidation>
    <dataValidation type="list" allowBlank="1" showInputMessage="1" showErrorMessage="1" sqref="G31">
      <formula1>"Y,N, NA"</formula1>
    </dataValidation>
    <dataValidation type="list" allowBlank="1" showInputMessage="1" showErrorMessage="1" sqref="G19:G20">
      <formula1>"Y,N"</formula1>
    </dataValidation>
  </dataValidations>
  <pageMargins left="0.7" right="0.7" top="0.75" bottom="0.75" header="0.3" footer="0.3"/>
  <pageSetup orientation="portrait" horizontalDpi="300" verticalDpi="300" r:id="rId1"/>
</worksheet>
</file>

<file path=xl/worksheets/sheet12.xml><?xml version="1.0" encoding="utf-8"?>
<worksheet xmlns="http://schemas.openxmlformats.org/spreadsheetml/2006/main" xmlns:r="http://schemas.openxmlformats.org/officeDocument/2006/relationships">
  <sheetPr codeName="Sheet6" enableFormatConditionsCalculation="0">
    <tabColor theme="6" tint="0.39997558519241921"/>
  </sheetPr>
  <dimension ref="A1:W64"/>
  <sheetViews>
    <sheetView showGridLines="0" zoomScaleNormal="100" workbookViewId="0">
      <selection activeCell="D20" sqref="D20"/>
    </sheetView>
  </sheetViews>
  <sheetFormatPr defaultRowHeight="12"/>
  <cols>
    <col min="1" max="1" width="2" style="429" bestFit="1" customWidth="1"/>
    <col min="2" max="2" width="41.5703125" style="429" customWidth="1"/>
    <col min="3" max="3" width="28.5703125" style="429" customWidth="1"/>
    <col min="4" max="4" width="28.42578125" style="429" customWidth="1"/>
    <col min="5" max="5" width="25" style="429" customWidth="1"/>
    <col min="6" max="6" width="11.28515625" style="429" customWidth="1"/>
    <col min="7" max="7" width="11" style="429" customWidth="1"/>
    <col min="8" max="8" width="19.7109375" style="429" customWidth="1"/>
    <col min="9" max="9" width="4.28515625" style="496" customWidth="1"/>
    <col min="10" max="10" width="20.7109375" style="429" bestFit="1" customWidth="1"/>
    <col min="11" max="11" width="13" style="429" customWidth="1"/>
    <col min="12" max="12" width="20.85546875" style="429" bestFit="1" customWidth="1"/>
    <col min="13" max="14" width="9.140625" style="429" hidden="1" customWidth="1"/>
    <col min="15" max="21" width="9.140625" style="429"/>
    <col min="22" max="23" width="0" style="429" hidden="1" customWidth="1"/>
    <col min="24" max="16384" width="9.140625" style="429"/>
  </cols>
  <sheetData>
    <row r="1" spans="1:23" ht="18.75">
      <c r="B1" s="452" t="s">
        <v>2992</v>
      </c>
    </row>
    <row r="3" spans="1:23">
      <c r="B3" s="429" t="s">
        <v>2345</v>
      </c>
    </row>
    <row r="4" spans="1:23">
      <c r="A4" s="429">
        <v>1</v>
      </c>
      <c r="B4" s="429" t="s">
        <v>3007</v>
      </c>
    </row>
    <row r="5" spans="1:23">
      <c r="A5" s="429">
        <v>2</v>
      </c>
      <c r="B5" s="540" t="s">
        <v>2346</v>
      </c>
      <c r="C5" s="447"/>
      <c r="D5" s="447"/>
    </row>
    <row r="6" spans="1:23">
      <c r="A6" s="429">
        <v>3</v>
      </c>
      <c r="B6" s="541" t="s">
        <v>1048</v>
      </c>
      <c r="C6" s="432"/>
      <c r="D6" s="447"/>
    </row>
    <row r="8" spans="1:23">
      <c r="B8" s="687"/>
      <c r="C8" s="687" t="s">
        <v>1000</v>
      </c>
      <c r="D8" s="687" t="s">
        <v>999</v>
      </c>
      <c r="E8" s="687" t="s">
        <v>2655</v>
      </c>
      <c r="F8" s="687" t="s">
        <v>1076</v>
      </c>
      <c r="G8" s="687" t="s">
        <v>1077</v>
      </c>
      <c r="H8" s="687" t="s">
        <v>1147</v>
      </c>
    </row>
    <row r="9" spans="1:23">
      <c r="B9" s="549" t="s">
        <v>1270</v>
      </c>
      <c r="C9" s="566">
        <v>423</v>
      </c>
      <c r="D9" s="554">
        <v>529</v>
      </c>
      <c r="E9" s="436"/>
      <c r="F9" s="560" t="s">
        <v>1078</v>
      </c>
      <c r="G9" s="560" t="s">
        <v>1078</v>
      </c>
      <c r="H9" s="433"/>
      <c r="K9" s="447"/>
      <c r="V9" s="429" t="s">
        <v>1964</v>
      </c>
      <c r="W9" s="429" t="s">
        <v>864</v>
      </c>
    </row>
    <row r="10" spans="1:23">
      <c r="B10" s="550" t="s">
        <v>1271</v>
      </c>
      <c r="C10" s="551">
        <f>C9*'DHW Demand'!$G$25</f>
        <v>0</v>
      </c>
      <c r="D10" s="552">
        <f>D9*'DHW Demand'!$G$25</f>
        <v>0</v>
      </c>
      <c r="E10" s="433"/>
      <c r="F10" s="437"/>
      <c r="G10" s="437"/>
      <c r="H10" s="433"/>
      <c r="V10" s="429" t="s">
        <v>2257</v>
      </c>
      <c r="W10" s="429" t="s">
        <v>865</v>
      </c>
    </row>
    <row r="11" spans="1:23" s="447" customFormat="1">
      <c r="B11" s="561" t="s">
        <v>1272</v>
      </c>
      <c r="C11" s="553" t="e">
        <f>C10*1000/('Project Size'!$C$11)/365/$D$62</f>
        <v>#DIV/0!</v>
      </c>
      <c r="D11" s="553" t="e">
        <f>D10*1000/('Project Size'!$C$11)/365/$D$62</f>
        <v>#DIV/0!</v>
      </c>
      <c r="E11" s="455" t="s">
        <v>2656</v>
      </c>
      <c r="F11" s="462">
        <v>1</v>
      </c>
      <c r="G11" s="462">
        <v>0</v>
      </c>
      <c r="H11" s="455" t="s">
        <v>866</v>
      </c>
      <c r="I11" s="496"/>
      <c r="M11" s="562" t="s">
        <v>786</v>
      </c>
    </row>
    <row r="12" spans="1:23" ht="18.75" customHeight="1">
      <c r="B12" s="550" t="s">
        <v>1273</v>
      </c>
      <c r="C12" s="550">
        <f>IF(J12="Electric", 604, IF(J12="Gas", "Enter as Internal Energy Source", 0))</f>
        <v>604</v>
      </c>
      <c r="D12" s="550">
        <f>IF(J12="Electric", 604, IF(J12="Gas", "Enter as Internal Energy Source", 0))</f>
        <v>604</v>
      </c>
      <c r="E12" s="437"/>
      <c r="F12" s="542"/>
      <c r="G12" s="542"/>
      <c r="H12" s="433"/>
      <c r="I12" s="569"/>
      <c r="J12" s="469" t="s">
        <v>1964</v>
      </c>
      <c r="K12" s="320" t="s">
        <v>2652</v>
      </c>
      <c r="M12" s="563">
        <f>IF(J12="Gas", 45, 0)</f>
        <v>0</v>
      </c>
      <c r="N12" s="429" t="s">
        <v>1953</v>
      </c>
    </row>
    <row r="13" spans="1:23">
      <c r="B13" s="500" t="s">
        <v>867</v>
      </c>
      <c r="C13" s="433">
        <f>IF(J12="Electric",C12*'DHW Demand'!$G$25,IF(J12="Gas","2126 BTUH per Apt",0))</f>
        <v>0</v>
      </c>
      <c r="D13" s="433">
        <f>IF(J12="Electric",D12*'DHW Demand'!$G$25,IF(J12="Gas","2126 BTUH per Apt",0))</f>
        <v>0</v>
      </c>
      <c r="E13" s="437"/>
      <c r="F13" s="542"/>
      <c r="G13" s="542"/>
      <c r="H13" s="433"/>
    </row>
    <row r="14" spans="1:23" s="447" customFormat="1">
      <c r="B14" s="561" t="s">
        <v>1274</v>
      </c>
      <c r="C14" s="553" t="e">
        <f>IF(J12="Gas", 0, C13*1000/('Project Size'!$C$11)/365/$D$62)</f>
        <v>#DIV/0!</v>
      </c>
      <c r="D14" s="553" t="e">
        <f>IF(J12="Gas", 0, D13*1000/('Project Size'!$C$11)/365/$D$62)</f>
        <v>#DIV/0!</v>
      </c>
      <c r="E14" s="455" t="s">
        <v>2656</v>
      </c>
      <c r="F14" s="462">
        <f>IF(J12="Electric",0.4,IF(J12="Gas",0.3,0))</f>
        <v>0.4</v>
      </c>
      <c r="G14" s="462">
        <f>IF(J12="Electric",0.3,IF(J12="Gas",0.2,0))</f>
        <v>0.3</v>
      </c>
      <c r="H14" s="455" t="s">
        <v>866</v>
      </c>
      <c r="I14" s="496"/>
    </row>
    <row r="15" spans="1:23" s="447" customFormat="1">
      <c r="B15" s="550" t="s">
        <v>868</v>
      </c>
      <c r="C15" s="554">
        <f>IF(J15&gt;0, 164, 0)</f>
        <v>0</v>
      </c>
      <c r="D15" s="554">
        <f>IF(J15&gt;0, 206, 0)</f>
        <v>0</v>
      </c>
      <c r="E15" s="437"/>
      <c r="F15" s="542"/>
      <c r="G15" s="542"/>
      <c r="H15" s="437"/>
      <c r="I15" s="569"/>
      <c r="J15" s="437">
        <f>'DHW Demand'!G21</f>
        <v>0</v>
      </c>
      <c r="K15" s="447" t="s">
        <v>661</v>
      </c>
    </row>
    <row r="16" spans="1:23" s="447" customFormat="1">
      <c r="B16" s="550" t="s">
        <v>869</v>
      </c>
      <c r="C16" s="550">
        <f>C15*J15</f>
        <v>0</v>
      </c>
      <c r="D16" s="555">
        <f>D15*J15</f>
        <v>0</v>
      </c>
      <c r="E16" s="437"/>
      <c r="F16" s="542"/>
      <c r="G16" s="542"/>
      <c r="H16" s="437"/>
      <c r="I16" s="496"/>
    </row>
    <row r="17" spans="2:15" s="447" customFormat="1">
      <c r="B17" s="561" t="s">
        <v>870</v>
      </c>
      <c r="C17" s="553" t="e">
        <f>C16*1000/('Project Size'!$C$11)/365/$D$62</f>
        <v>#DIV/0!</v>
      </c>
      <c r="D17" s="553" t="e">
        <f>D16*1000/('Project Size'!$C$11)/365/$D$62</f>
        <v>#DIV/0!</v>
      </c>
      <c r="E17" s="455" t="s">
        <v>2656</v>
      </c>
      <c r="F17" s="543">
        <v>0.6</v>
      </c>
      <c r="G17" s="543">
        <v>0.15</v>
      </c>
      <c r="H17" s="455" t="s">
        <v>866</v>
      </c>
      <c r="I17" s="496"/>
    </row>
    <row r="18" spans="2:15" s="447" customFormat="1">
      <c r="B18" s="550" t="s">
        <v>871</v>
      </c>
      <c r="C18" s="554">
        <f>IF('DHW Demand'!$G$32="In-Unit", 57, 0)</f>
        <v>57</v>
      </c>
      <c r="D18" s="554">
        <f>IF('DHW Demand'!$G$32="In-Unit", 81, 0)</f>
        <v>81</v>
      </c>
      <c r="E18" s="437"/>
      <c r="F18" s="542"/>
      <c r="G18" s="542"/>
      <c r="H18" s="437"/>
      <c r="I18" s="496"/>
    </row>
    <row r="19" spans="2:15" s="447" customFormat="1">
      <c r="B19" s="550" t="s">
        <v>663</v>
      </c>
      <c r="C19" s="554">
        <f>C18*J20</f>
        <v>0</v>
      </c>
      <c r="D19" s="554">
        <f>D18*J20</f>
        <v>0</v>
      </c>
      <c r="E19" s="437"/>
      <c r="F19" s="542"/>
      <c r="G19" s="542"/>
      <c r="H19" s="544"/>
      <c r="I19" s="570"/>
      <c r="J19" s="437">
        <f>IF('DHW Demand'!G32="Common", 2.423, 1)</f>
        <v>1</v>
      </c>
      <c r="K19" s="447" t="s">
        <v>782</v>
      </c>
    </row>
    <row r="20" spans="2:15" s="447" customFormat="1">
      <c r="B20" s="561" t="s">
        <v>784</v>
      </c>
      <c r="C20" s="553" t="e">
        <f>(C19)*1000/J24/365/$D$62</f>
        <v>#DIV/0!</v>
      </c>
      <c r="D20" s="553" t="e">
        <f>(D19)*1000/J24/365/$D$62</f>
        <v>#DIV/0!</v>
      </c>
      <c r="E20" s="455" t="s">
        <v>2656</v>
      </c>
      <c r="F20" s="462">
        <v>0.8</v>
      </c>
      <c r="G20" s="462">
        <f>IF('DHW Demand'!$G$32="Common", "NA", 0)</f>
        <v>0</v>
      </c>
      <c r="H20" s="565" t="s">
        <v>866</v>
      </c>
      <c r="I20" s="570"/>
      <c r="J20" s="437">
        <f>'DHW Demand'!G30</f>
        <v>0</v>
      </c>
      <c r="K20" s="447" t="s">
        <v>660</v>
      </c>
    </row>
    <row r="21" spans="2:15" s="447" customFormat="1" ht="16.5" customHeight="1">
      <c r="B21" s="550" t="s">
        <v>665</v>
      </c>
      <c r="C21" s="554" t="e">
        <f>IF('DHW Demand'!$G$32="Common",0,IF($J$23="Electric",$J$22*(418+139*$J$21)*$J$19,$J$22*(38+12.7*$J$21)*$J$19))</f>
        <v>#DIV/0!</v>
      </c>
      <c r="D21" s="554" t="e">
        <f>IF('DHW Demand'!$G$32="Common",0,IF($J$23="Electric",$J$22*(418+139*$J$21)*$J$19,$J$22*(38+12.7*$J$21)*$J$19))</f>
        <v>#DIV/0!</v>
      </c>
      <c r="E21" s="437"/>
      <c r="F21" s="542"/>
      <c r="G21" s="542"/>
      <c r="H21" s="544"/>
      <c r="I21" s="570"/>
      <c r="J21" s="435" t="e">
        <f>('Project Size'!C4*1+'Project Size'!C5*1+'Project Size'!C6*2+'Project Size'!C7*3)/SUM('Project Size'!C4:C7)</f>
        <v>#DIV/0!</v>
      </c>
      <c r="K21" s="447" t="s">
        <v>779</v>
      </c>
      <c r="M21" s="562" t="s">
        <v>783</v>
      </c>
      <c r="O21" s="545"/>
    </row>
    <row r="22" spans="2:15" s="447" customFormat="1">
      <c r="B22" s="561" t="s">
        <v>785</v>
      </c>
      <c r="C22" s="553" t="e">
        <f>(C21)*1000/(J24)/365/$D$62</f>
        <v>#DIV/0!</v>
      </c>
      <c r="D22" s="553" t="e">
        <f>(D21)*1000/(J24)/365/$D$62</f>
        <v>#DIV/0!</v>
      </c>
      <c r="E22" s="455" t="s">
        <v>2656</v>
      </c>
      <c r="F22" s="543">
        <f>IF('DHW Demand'!$G$32="Common", "NA", IF($J$23="Gas", 1, 0.15))</f>
        <v>1</v>
      </c>
      <c r="G22" s="543">
        <f>IF('DHW Demand'!$G$32="Common", "NA", IF($J$23="Gas", 0, 0.05))</f>
        <v>0</v>
      </c>
      <c r="H22" s="565" t="s">
        <v>866</v>
      </c>
      <c r="I22" s="570"/>
      <c r="J22" s="469"/>
      <c r="K22" s="447" t="s">
        <v>664</v>
      </c>
      <c r="M22" s="563" t="e">
        <f>IF(J23="Gas", (26.5+8.8*J21)*J19, 0)</f>
        <v>#DIV/0!</v>
      </c>
      <c r="N22" s="564" t="s">
        <v>1953</v>
      </c>
      <c r="O22" s="545"/>
    </row>
    <row r="23" spans="2:15" s="447" customFormat="1">
      <c r="B23" s="561" t="s">
        <v>2834</v>
      </c>
      <c r="C23" s="757" t="e">
        <f>IF('DHW Demand'!$G$32="In-Unit",$M$22*100000/365/D62,0)</f>
        <v>#DIV/0!</v>
      </c>
      <c r="D23" s="757" t="e">
        <f>IF('DHW Demand'!$G$32="In-Unit",$M$22*100000/365/D62,0)</f>
        <v>#DIV/0!</v>
      </c>
      <c r="E23" s="455" t="str">
        <f>IF(J23="Gas","Internal Energy Source", "NA")</f>
        <v>Internal Energy Source</v>
      </c>
      <c r="F23" s="543">
        <f>IF('DHW Demand'!$G$32="Common","NA",IF($J$23="Gas",0.1,"NA"))</f>
        <v>0.1</v>
      </c>
      <c r="G23" s="543">
        <f>IF('DHW Demand'!$G$32="Common","NA",IF($J$23="Gas",0.05,"NA"))</f>
        <v>0.05</v>
      </c>
      <c r="H23" s="565" t="s">
        <v>866</v>
      </c>
      <c r="I23" s="758"/>
      <c r="J23" s="469" t="s">
        <v>2257</v>
      </c>
      <c r="K23" s="320" t="s">
        <v>874</v>
      </c>
      <c r="M23" s="563"/>
      <c r="N23" s="564"/>
      <c r="O23" s="545"/>
    </row>
    <row r="24" spans="2:15" s="447" customFormat="1">
      <c r="B24" s="550" t="s">
        <v>873</v>
      </c>
      <c r="C24" s="554">
        <v>138</v>
      </c>
      <c r="D24" s="554">
        <v>196</v>
      </c>
      <c r="E24" s="437"/>
      <c r="F24" s="542"/>
      <c r="G24" s="542"/>
      <c r="H24" s="544"/>
      <c r="I24" s="570"/>
      <c r="J24" s="759">
        <f>'Project Size'!C11</f>
        <v>0</v>
      </c>
      <c r="K24" s="320" t="s">
        <v>3025</v>
      </c>
    </row>
    <row r="25" spans="2:15" s="447" customFormat="1">
      <c r="B25" s="550" t="s">
        <v>662</v>
      </c>
      <c r="C25" s="554">
        <f>C24*J20</f>
        <v>0</v>
      </c>
      <c r="D25" s="554">
        <f>D24*J20</f>
        <v>0</v>
      </c>
      <c r="E25" s="437"/>
      <c r="F25" s="542"/>
      <c r="G25" s="542"/>
      <c r="H25" s="544"/>
      <c r="I25" s="570"/>
      <c r="J25" s="469"/>
      <c r="K25" s="320" t="s">
        <v>1047</v>
      </c>
    </row>
    <row r="26" spans="2:15" s="447" customFormat="1">
      <c r="B26" s="561" t="s">
        <v>780</v>
      </c>
      <c r="C26" s="556" t="e">
        <f>(C25)*1000/J25/365/$C$62</f>
        <v>#DIV/0!</v>
      </c>
      <c r="D26" s="556" t="e">
        <f>(D25)*1000/J25/365/$C$62</f>
        <v>#DIV/0!</v>
      </c>
      <c r="E26" s="455" t="str">
        <f>"Laundry Equipment 1"</f>
        <v>Laundry Equipment 1</v>
      </c>
      <c r="F26" s="462" t="str">
        <f>IF('DHW Demand'!$G$32="Common", 1, "NA")</f>
        <v>NA</v>
      </c>
      <c r="G26" s="462" t="str">
        <f>IF('DHW Demand'!$G$32="Common", 0, "NA")</f>
        <v>NA</v>
      </c>
      <c r="H26" s="455" t="s">
        <v>875</v>
      </c>
      <c r="I26" s="496"/>
      <c r="J26" s="429"/>
      <c r="K26" s="320"/>
    </row>
    <row r="27" spans="2:15" s="447" customFormat="1">
      <c r="B27" s="550" t="s">
        <v>666</v>
      </c>
      <c r="C27" s="554">
        <f>IF('DHW Demand'!$G$32="In-Unit",0,IF($J$23="Electric",$J$22*(418+139*$J$21)*J19,$J$22*(38+12.7*$J$21)*J19))</f>
        <v>0</v>
      </c>
      <c r="D27" s="554">
        <f>IF('DHW Demand'!$G$32="In-Unit",0,IF($J$23="Electric",$J$22*(418+139*$J$21)*J19,$J$22*(38+12.7*$J$21)*J19))</f>
        <v>0</v>
      </c>
      <c r="E27" s="437"/>
      <c r="F27" s="542"/>
      <c r="G27" s="542"/>
      <c r="H27" s="437"/>
      <c r="I27" s="496"/>
    </row>
    <row r="28" spans="2:15" s="447" customFormat="1">
      <c r="B28" s="561" t="s">
        <v>781</v>
      </c>
      <c r="C28" s="556" t="e">
        <f>(C27)*1000/J25/365/$C$62</f>
        <v>#DIV/0!</v>
      </c>
      <c r="D28" s="556" t="e">
        <f>(D27)*1000/J25/365/$C$62</f>
        <v>#DIV/0!</v>
      </c>
      <c r="E28" s="455" t="str">
        <f>"Laundry Equipment 2"</f>
        <v>Laundry Equipment 2</v>
      </c>
      <c r="F28" s="543" t="str">
        <f>IF('DHW Demand'!$G$32="In-Unit", "NA", IF($J$23="Gas", 1, 0.15))</f>
        <v>NA</v>
      </c>
      <c r="G28" s="543" t="str">
        <f>IF('DHW Demand'!$G$32="In-Unit", "NA", IF($J$23="Gas", 0, 0.05))</f>
        <v>NA</v>
      </c>
      <c r="H28" s="455" t="s">
        <v>875</v>
      </c>
      <c r="I28" s="496"/>
    </row>
    <row r="29" spans="2:15">
      <c r="B29" s="561" t="s">
        <v>3024</v>
      </c>
      <c r="C29" s="757">
        <f>IF('DHW Demand'!$G$32="In-Unit",0, $M$22*100000/365/C62)</f>
        <v>0</v>
      </c>
      <c r="D29" s="757">
        <f>IF('DHW Demand'!$G$32="In-Unit",0, $M$22*100000/365/C62)</f>
        <v>0</v>
      </c>
      <c r="E29" s="455" t="str">
        <f>IF(J23="Gas","Internal Energy Source", "NA")</f>
        <v>Internal Energy Source</v>
      </c>
      <c r="F29" s="543">
        <f>IF($J$23="Gas", 0.1, "NA")</f>
        <v>0.1</v>
      </c>
      <c r="G29" s="543">
        <f>IF($J$23="Gas", 0.05, "NA")</f>
        <v>0.05</v>
      </c>
      <c r="H29" s="455" t="str">
        <f>IF('DHW Demand'!G32="Common", "T24 EQP WD", "T24 DAY EQP WD")</f>
        <v>T24 DAY EQP WD</v>
      </c>
      <c r="J29" s="469"/>
      <c r="K29" s="567" t="s">
        <v>2989</v>
      </c>
    </row>
    <row r="30" spans="2:15" s="447" customFormat="1">
      <c r="B30" s="433" t="s">
        <v>2926</v>
      </c>
      <c r="C30" s="557">
        <v>1.05</v>
      </c>
      <c r="D30" s="557">
        <v>1.05</v>
      </c>
      <c r="E30" s="433"/>
      <c r="F30" s="542"/>
      <c r="G30" s="542"/>
      <c r="H30" s="433"/>
      <c r="I30" s="569"/>
      <c r="J30" s="469"/>
      <c r="K30" s="485" t="s">
        <v>2990</v>
      </c>
    </row>
    <row r="31" spans="2:15" s="447" customFormat="1">
      <c r="B31" s="561" t="s">
        <v>1275</v>
      </c>
      <c r="C31" s="558">
        <f>C30*1000/365/$D$62</f>
        <v>0.49598488427019383</v>
      </c>
      <c r="D31" s="558">
        <f>D30*1000/365/$D$62</f>
        <v>0.49598488427019383</v>
      </c>
      <c r="E31" s="455" t="s">
        <v>876</v>
      </c>
      <c r="F31" s="462">
        <v>0.9</v>
      </c>
      <c r="G31" s="462">
        <v>0.1</v>
      </c>
      <c r="H31" s="455" t="s">
        <v>866</v>
      </c>
      <c r="I31" s="569"/>
      <c r="J31" s="433" t="str">
        <f>IF(J29=0, "", IF(J29&lt;7, "Hydraulic", IF(J29&lt;21, "Geared Traction", "Gearless Traction")))</f>
        <v/>
      </c>
      <c r="K31" s="485" t="s">
        <v>2991</v>
      </c>
    </row>
    <row r="32" spans="2:15">
      <c r="B32" s="561" t="s">
        <v>2700</v>
      </c>
      <c r="C32" s="455">
        <v>0.2</v>
      </c>
      <c r="D32" s="455">
        <v>0.2</v>
      </c>
      <c r="E32" s="455" t="s">
        <v>877</v>
      </c>
      <c r="F32" s="462">
        <v>1</v>
      </c>
      <c r="G32" s="462">
        <v>0</v>
      </c>
      <c r="H32" s="455" t="s">
        <v>875</v>
      </c>
      <c r="I32" s="569"/>
      <c r="J32" s="469"/>
      <c r="K32" s="485" t="s">
        <v>2785</v>
      </c>
    </row>
    <row r="33" spans="2:11">
      <c r="B33" s="561" t="s">
        <v>878</v>
      </c>
      <c r="C33" s="556" t="e">
        <f>J34*1000/J30/365/$C$62</f>
        <v>#DIV/0!</v>
      </c>
      <c r="D33" s="556" t="e">
        <f>J33*1000/J30/365/$C$62</f>
        <v>#VALUE!</v>
      </c>
      <c r="E33" s="455" t="s">
        <v>879</v>
      </c>
      <c r="F33" s="462">
        <v>0.1</v>
      </c>
      <c r="G33" s="462">
        <v>0</v>
      </c>
      <c r="H33" s="455" t="s">
        <v>875</v>
      </c>
      <c r="I33" s="569"/>
      <c r="J33" s="437" t="str">
        <f>IF(J29="","",IF(J31="Hydraulic",IF(J29&lt;7,1910,IF(J29&lt;21,2150,IF(J29&lt;51,2940,4120))),IF(J31="GEARED TRACTION",IF(J29&lt;50,3150,4550),7570)))</f>
        <v/>
      </c>
      <c r="K33" s="485" t="s">
        <v>2653</v>
      </c>
    </row>
    <row r="34" spans="2:11">
      <c r="B34" s="561" t="s">
        <v>880</v>
      </c>
      <c r="C34" s="559">
        <v>1.5</v>
      </c>
      <c r="D34" s="559">
        <v>1.5</v>
      </c>
      <c r="E34" s="455" t="s">
        <v>881</v>
      </c>
      <c r="F34" s="462">
        <v>1</v>
      </c>
      <c r="G34" s="462">
        <v>0</v>
      </c>
      <c r="H34" s="565" t="s">
        <v>875</v>
      </c>
      <c r="I34" s="570"/>
      <c r="J34" s="469"/>
      <c r="K34" s="485" t="s">
        <v>2654</v>
      </c>
    </row>
    <row r="35" spans="2:11">
      <c r="B35" s="561" t="s">
        <v>2701</v>
      </c>
      <c r="C35" s="559">
        <v>0.5</v>
      </c>
      <c r="D35" s="559">
        <v>0.5</v>
      </c>
      <c r="E35" s="455" t="s">
        <v>2699</v>
      </c>
      <c r="F35" s="447"/>
      <c r="G35" s="447"/>
    </row>
    <row r="36" spans="2:11" ht="19.5" customHeight="1">
      <c r="F36" s="447"/>
      <c r="G36" s="447"/>
      <c r="J36" s="546"/>
      <c r="K36" s="568"/>
    </row>
    <row r="37" spans="2:11" ht="24">
      <c r="B37" s="686" t="s">
        <v>1145</v>
      </c>
      <c r="C37" s="685" t="s">
        <v>3015</v>
      </c>
      <c r="D37" s="685" t="s">
        <v>882</v>
      </c>
    </row>
    <row r="38" spans="2:11">
      <c r="B38" s="433">
        <v>1</v>
      </c>
      <c r="C38" s="469">
        <v>0.1</v>
      </c>
      <c r="D38" s="469">
        <v>0.05</v>
      </c>
    </row>
    <row r="39" spans="2:11">
      <c r="B39" s="433">
        <v>2</v>
      </c>
      <c r="C39" s="469">
        <v>0.1</v>
      </c>
      <c r="D39" s="469">
        <v>0.05</v>
      </c>
    </row>
    <row r="40" spans="2:11">
      <c r="B40" s="433">
        <v>3</v>
      </c>
      <c r="C40" s="469">
        <v>0.1</v>
      </c>
      <c r="D40" s="469">
        <v>0.05</v>
      </c>
    </row>
    <row r="41" spans="2:11">
      <c r="B41" s="433">
        <v>4</v>
      </c>
      <c r="C41" s="469">
        <v>0.1</v>
      </c>
      <c r="D41" s="469">
        <v>0.05</v>
      </c>
    </row>
    <row r="42" spans="2:11">
      <c r="B42" s="433">
        <v>5</v>
      </c>
      <c r="C42" s="469">
        <v>0.1</v>
      </c>
      <c r="D42" s="469">
        <v>0.05</v>
      </c>
    </row>
    <row r="43" spans="2:11">
      <c r="B43" s="433">
        <v>6</v>
      </c>
      <c r="C43" s="469">
        <v>0.3</v>
      </c>
      <c r="D43" s="469">
        <v>0.05</v>
      </c>
    </row>
    <row r="44" spans="2:11">
      <c r="B44" s="433">
        <v>7</v>
      </c>
      <c r="C44" s="469">
        <v>0.45</v>
      </c>
      <c r="D44" s="469">
        <v>0.05</v>
      </c>
    </row>
    <row r="45" spans="2:11">
      <c r="B45" s="433">
        <v>8</v>
      </c>
      <c r="C45" s="469">
        <v>0.45</v>
      </c>
      <c r="D45" s="469">
        <v>0.05</v>
      </c>
    </row>
    <row r="46" spans="2:11">
      <c r="B46" s="433">
        <v>9</v>
      </c>
      <c r="C46" s="469">
        <v>0.45</v>
      </c>
      <c r="D46" s="469">
        <v>0.5</v>
      </c>
    </row>
    <row r="47" spans="2:11">
      <c r="B47" s="433">
        <v>10</v>
      </c>
      <c r="C47" s="469">
        <v>0.45</v>
      </c>
      <c r="D47" s="469">
        <v>0.5</v>
      </c>
    </row>
    <row r="48" spans="2:11">
      <c r="B48" s="433">
        <v>11</v>
      </c>
      <c r="C48" s="469">
        <v>0.3</v>
      </c>
      <c r="D48" s="469">
        <v>0.5</v>
      </c>
    </row>
    <row r="49" spans="2:4">
      <c r="B49" s="433">
        <v>12</v>
      </c>
      <c r="C49" s="469">
        <v>0.3</v>
      </c>
      <c r="D49" s="469">
        <v>0.5</v>
      </c>
    </row>
    <row r="50" spans="2:4">
      <c r="B50" s="433">
        <v>13</v>
      </c>
      <c r="C50" s="469">
        <v>0.3</v>
      </c>
      <c r="D50" s="469">
        <v>0.3</v>
      </c>
    </row>
    <row r="51" spans="2:4">
      <c r="B51" s="433">
        <v>14</v>
      </c>
      <c r="C51" s="469">
        <v>0.3</v>
      </c>
      <c r="D51" s="469">
        <v>0.5</v>
      </c>
    </row>
    <row r="52" spans="2:4">
      <c r="B52" s="433">
        <v>15</v>
      </c>
      <c r="C52" s="469">
        <v>0.3</v>
      </c>
      <c r="D52" s="469">
        <v>0.5</v>
      </c>
    </row>
    <row r="53" spans="2:4">
      <c r="B53" s="433">
        <v>16</v>
      </c>
      <c r="C53" s="469">
        <v>0.3</v>
      </c>
      <c r="D53" s="469">
        <v>0.5</v>
      </c>
    </row>
    <row r="54" spans="2:4">
      <c r="B54" s="433">
        <v>17</v>
      </c>
      <c r="C54" s="469">
        <v>0.3</v>
      </c>
      <c r="D54" s="469">
        <v>0.5</v>
      </c>
    </row>
    <row r="55" spans="2:4">
      <c r="B55" s="433">
        <v>18</v>
      </c>
      <c r="C55" s="469">
        <v>0.3</v>
      </c>
      <c r="D55" s="469">
        <v>0.5</v>
      </c>
    </row>
    <row r="56" spans="2:4">
      <c r="B56" s="433">
        <v>19</v>
      </c>
      <c r="C56" s="469">
        <v>0.6</v>
      </c>
      <c r="D56" s="469">
        <v>0.35</v>
      </c>
    </row>
    <row r="57" spans="2:4">
      <c r="B57" s="433">
        <v>20</v>
      </c>
      <c r="C57" s="469">
        <v>0.8</v>
      </c>
      <c r="D57" s="469">
        <v>0.05</v>
      </c>
    </row>
    <row r="58" spans="2:4">
      <c r="B58" s="433">
        <v>21</v>
      </c>
      <c r="C58" s="469">
        <v>0.9</v>
      </c>
      <c r="D58" s="469">
        <v>0.05</v>
      </c>
    </row>
    <row r="59" spans="2:4">
      <c r="B59" s="433">
        <v>22</v>
      </c>
      <c r="C59" s="469">
        <v>0.8</v>
      </c>
      <c r="D59" s="469">
        <v>0.05</v>
      </c>
    </row>
    <row r="60" spans="2:4">
      <c r="B60" s="433">
        <v>23</v>
      </c>
      <c r="C60" s="469">
        <v>0.6</v>
      </c>
      <c r="D60" s="469">
        <v>0.05</v>
      </c>
    </row>
    <row r="61" spans="2:4">
      <c r="B61" s="433">
        <v>24</v>
      </c>
      <c r="C61" s="469">
        <v>0.3</v>
      </c>
      <c r="D61" s="469">
        <v>0.05</v>
      </c>
    </row>
    <row r="62" spans="2:4">
      <c r="B62" s="433" t="s">
        <v>1327</v>
      </c>
      <c r="C62" s="433">
        <f>SUM(C38:C61)</f>
        <v>9</v>
      </c>
      <c r="D62" s="433">
        <f>SUM(D38:D61)</f>
        <v>5.799999999999998</v>
      </c>
    </row>
    <row r="63" spans="2:4">
      <c r="B63" s="548"/>
    </row>
    <row r="64" spans="2:4">
      <c r="B64" s="548"/>
    </row>
  </sheetData>
  <phoneticPr fontId="29" type="noConversion"/>
  <dataValidations count="1">
    <dataValidation type="list" allowBlank="1" showInputMessage="1" showErrorMessage="1" sqref="J12 J23">
      <formula1>$V$9:$V$10</formula1>
    </dataValidation>
  </dataValidations>
  <pageMargins left="0.7" right="0.7" top="0.75" bottom="0.75" header="0.3" footer="0.3"/>
  <pageSetup orientation="portrait" horizontalDpi="4294967293" r:id="rId1"/>
</worksheet>
</file>

<file path=xl/worksheets/sheet13.xml><?xml version="1.0" encoding="utf-8"?>
<worksheet xmlns="http://schemas.openxmlformats.org/spreadsheetml/2006/main" xmlns:r="http://schemas.openxmlformats.org/officeDocument/2006/relationships">
  <sheetPr codeName="Sheet4" enableFormatConditionsCalculation="0">
    <tabColor theme="6" tint="0.39997558519241921"/>
  </sheetPr>
  <dimension ref="A1:H42"/>
  <sheetViews>
    <sheetView showGridLines="0" zoomScaleNormal="100" workbookViewId="0">
      <selection activeCell="H17" sqref="H17"/>
    </sheetView>
  </sheetViews>
  <sheetFormatPr defaultRowHeight="12"/>
  <cols>
    <col min="1" max="1" width="2" style="429" bestFit="1" customWidth="1"/>
    <col min="2" max="2" width="6.7109375" style="429" customWidth="1"/>
    <col min="3" max="3" width="31" style="429" customWidth="1"/>
    <col min="4" max="4" width="16" style="429" customWidth="1"/>
    <col min="5" max="5" width="2.5703125" style="429" customWidth="1"/>
    <col min="6" max="8" width="9.140625" style="429"/>
    <col min="9" max="9" width="10.85546875" style="429" customWidth="1"/>
    <col min="10" max="16384" width="9.140625" style="429"/>
  </cols>
  <sheetData>
    <row r="1" spans="1:8" ht="18.75">
      <c r="B1" s="452" t="s">
        <v>2993</v>
      </c>
    </row>
    <row r="3" spans="1:8">
      <c r="B3" s="466" t="s">
        <v>2345</v>
      </c>
    </row>
    <row r="4" spans="1:8">
      <c r="A4" s="429">
        <v>1</v>
      </c>
      <c r="B4" s="447" t="s">
        <v>2657</v>
      </c>
    </row>
    <row r="5" spans="1:8">
      <c r="A5" s="571">
        <v>2</v>
      </c>
      <c r="B5" s="541" t="s">
        <v>2658</v>
      </c>
      <c r="C5" s="541"/>
      <c r="D5" s="541"/>
      <c r="E5" s="541"/>
      <c r="F5" s="541"/>
      <c r="G5" s="541"/>
      <c r="H5" s="541"/>
    </row>
    <row r="6" spans="1:8">
      <c r="A6" s="571">
        <v>3</v>
      </c>
      <c r="B6" s="429" t="s">
        <v>1044</v>
      </c>
    </row>
    <row r="7" spans="1:8">
      <c r="A7" s="571">
        <v>4</v>
      </c>
      <c r="B7" s="429" t="s">
        <v>1045</v>
      </c>
    </row>
    <row r="8" spans="1:8">
      <c r="A8" s="571">
        <v>5</v>
      </c>
      <c r="B8" s="320" t="s">
        <v>2659</v>
      </c>
    </row>
    <row r="9" spans="1:8">
      <c r="C9" s="573"/>
    </row>
    <row r="10" spans="1:8">
      <c r="C10" s="485" t="s">
        <v>1264</v>
      </c>
      <c r="D10" s="450" t="s">
        <v>1265</v>
      </c>
    </row>
    <row r="11" spans="1:8">
      <c r="C11" s="485" t="s">
        <v>1276</v>
      </c>
      <c r="D11" s="574">
        <v>2.34</v>
      </c>
    </row>
    <row r="12" spans="1:8">
      <c r="C12" s="485" t="s">
        <v>1043</v>
      </c>
      <c r="D12" s="450">
        <v>24</v>
      </c>
    </row>
    <row r="13" spans="1:8">
      <c r="C13" s="485" t="s">
        <v>1042</v>
      </c>
      <c r="D13" s="450">
        <v>12</v>
      </c>
    </row>
    <row r="14" spans="1:8">
      <c r="D14" s="575"/>
    </row>
    <row r="15" spans="1:8">
      <c r="B15" s="459"/>
      <c r="C15" s="472" t="s">
        <v>1266</v>
      </c>
      <c r="D15" s="472" t="s">
        <v>1267</v>
      </c>
      <c r="E15" s="450"/>
    </row>
    <row r="16" spans="1:8">
      <c r="B16" s="472" t="s">
        <v>1268</v>
      </c>
      <c r="C16" s="472" t="s">
        <v>1269</v>
      </c>
      <c r="D16" s="472" t="s">
        <v>1276</v>
      </c>
      <c r="E16" s="450"/>
    </row>
    <row r="17" spans="2:4">
      <c r="B17" s="463">
        <v>1</v>
      </c>
      <c r="C17" s="463">
        <v>0.05</v>
      </c>
      <c r="D17" s="633">
        <f t="shared" ref="D17:D40" si="0">C17*$D$42</f>
        <v>1.5496688741721854E-2</v>
      </c>
    </row>
    <row r="18" spans="2:4">
      <c r="B18" s="463">
        <v>2</v>
      </c>
      <c r="C18" s="463">
        <v>0.05</v>
      </c>
      <c r="D18" s="633">
        <f t="shared" si="0"/>
        <v>1.5496688741721854E-2</v>
      </c>
    </row>
    <row r="19" spans="2:4">
      <c r="B19" s="463">
        <v>3</v>
      </c>
      <c r="C19" s="463">
        <v>0.05</v>
      </c>
      <c r="D19" s="633">
        <f t="shared" si="0"/>
        <v>1.5496688741721854E-2</v>
      </c>
    </row>
    <row r="20" spans="2:4">
      <c r="B20" s="463">
        <v>4</v>
      </c>
      <c r="C20" s="463">
        <v>0.05</v>
      </c>
      <c r="D20" s="633">
        <f t="shared" si="0"/>
        <v>1.5496688741721854E-2</v>
      </c>
    </row>
    <row r="21" spans="2:4">
      <c r="B21" s="463">
        <v>5</v>
      </c>
      <c r="C21" s="463">
        <v>0.05</v>
      </c>
      <c r="D21" s="633">
        <f t="shared" si="0"/>
        <v>1.5496688741721854E-2</v>
      </c>
    </row>
    <row r="22" spans="2:4">
      <c r="B22" s="463">
        <v>6</v>
      </c>
      <c r="C22" s="463">
        <v>0.05</v>
      </c>
      <c r="D22" s="633">
        <f t="shared" si="0"/>
        <v>1.5496688741721854E-2</v>
      </c>
    </row>
    <row r="23" spans="2:4">
      <c r="B23" s="463">
        <v>7</v>
      </c>
      <c r="C23" s="463">
        <v>0.25</v>
      </c>
      <c r="D23" s="633">
        <f t="shared" si="0"/>
        <v>7.7483443708609268E-2</v>
      </c>
    </row>
    <row r="24" spans="2:4">
      <c r="B24" s="463">
        <v>8</v>
      </c>
      <c r="C24" s="463">
        <v>0.45</v>
      </c>
      <c r="D24" s="633">
        <f t="shared" si="0"/>
        <v>0.13947019867549668</v>
      </c>
    </row>
    <row r="25" spans="2:4">
      <c r="B25" s="463">
        <v>9</v>
      </c>
      <c r="C25" s="463">
        <v>0.45</v>
      </c>
      <c r="D25" s="633">
        <f t="shared" si="0"/>
        <v>0.13947019867549668</v>
      </c>
    </row>
    <row r="26" spans="2:4">
      <c r="B26" s="463">
        <v>10</v>
      </c>
      <c r="C26" s="463">
        <v>0.35</v>
      </c>
      <c r="D26" s="633">
        <f t="shared" si="0"/>
        <v>0.10847682119205297</v>
      </c>
    </row>
    <row r="27" spans="2:4">
      <c r="B27" s="463">
        <v>11</v>
      </c>
      <c r="C27" s="463">
        <v>0.35</v>
      </c>
      <c r="D27" s="633">
        <f t="shared" si="0"/>
        <v>0.10847682119205297</v>
      </c>
    </row>
    <row r="28" spans="2:4">
      <c r="B28" s="463">
        <v>12</v>
      </c>
      <c r="C28" s="463">
        <v>0.35</v>
      </c>
      <c r="D28" s="633">
        <f t="shared" si="0"/>
        <v>0.10847682119205297</v>
      </c>
    </row>
    <row r="29" spans="2:4">
      <c r="B29" s="463">
        <v>13</v>
      </c>
      <c r="C29" s="463">
        <v>0.25</v>
      </c>
      <c r="D29" s="633">
        <f t="shared" si="0"/>
        <v>7.7483443708609268E-2</v>
      </c>
    </row>
    <row r="30" spans="2:4">
      <c r="B30" s="463">
        <v>14</v>
      </c>
      <c r="C30" s="463">
        <v>0.25</v>
      </c>
      <c r="D30" s="633">
        <f t="shared" si="0"/>
        <v>7.7483443708609268E-2</v>
      </c>
    </row>
    <row r="31" spans="2:4">
      <c r="B31" s="463">
        <v>15</v>
      </c>
      <c r="C31" s="463">
        <v>0.25</v>
      </c>
      <c r="D31" s="633">
        <f t="shared" si="0"/>
        <v>7.7483443708609268E-2</v>
      </c>
    </row>
    <row r="32" spans="2:4">
      <c r="B32" s="463">
        <v>16</v>
      </c>
      <c r="C32" s="463">
        <v>0.25</v>
      </c>
      <c r="D32" s="633">
        <f t="shared" si="0"/>
        <v>7.7483443708609268E-2</v>
      </c>
    </row>
    <row r="33" spans="2:4">
      <c r="B33" s="463">
        <v>17</v>
      </c>
      <c r="C33" s="463">
        <v>0.25</v>
      </c>
      <c r="D33" s="633">
        <f t="shared" si="0"/>
        <v>7.7483443708609268E-2</v>
      </c>
    </row>
    <row r="34" spans="2:4">
      <c r="B34" s="463">
        <v>18</v>
      </c>
      <c r="C34" s="463">
        <v>0.35</v>
      </c>
      <c r="D34" s="633">
        <f t="shared" si="0"/>
        <v>0.10847682119205297</v>
      </c>
    </row>
    <row r="35" spans="2:4">
      <c r="B35" s="463">
        <v>19</v>
      </c>
      <c r="C35" s="463">
        <v>0.7</v>
      </c>
      <c r="D35" s="633">
        <f t="shared" si="0"/>
        <v>0.21695364238410594</v>
      </c>
    </row>
    <row r="36" spans="2:4">
      <c r="B36" s="463">
        <v>20</v>
      </c>
      <c r="C36" s="463">
        <v>0.7</v>
      </c>
      <c r="D36" s="633">
        <f t="shared" si="0"/>
        <v>0.21695364238410594</v>
      </c>
    </row>
    <row r="37" spans="2:4">
      <c r="B37" s="463">
        <v>21</v>
      </c>
      <c r="C37" s="463">
        <v>0.7</v>
      </c>
      <c r="D37" s="633">
        <f t="shared" si="0"/>
        <v>0.21695364238410594</v>
      </c>
    </row>
    <row r="38" spans="2:4">
      <c r="B38" s="463">
        <v>22</v>
      </c>
      <c r="C38" s="463">
        <v>0.7</v>
      </c>
      <c r="D38" s="633">
        <f t="shared" si="0"/>
        <v>0.21695364238410594</v>
      </c>
    </row>
    <row r="39" spans="2:4">
      <c r="B39" s="463">
        <v>23</v>
      </c>
      <c r="C39" s="463">
        <v>0.6</v>
      </c>
      <c r="D39" s="633">
        <f t="shared" si="0"/>
        <v>0.18596026490066223</v>
      </c>
    </row>
    <row r="40" spans="2:4">
      <c r="B40" s="463">
        <v>24</v>
      </c>
      <c r="C40" s="463">
        <v>0.05</v>
      </c>
      <c r="D40" s="633">
        <f t="shared" si="0"/>
        <v>1.5496688741721854E-2</v>
      </c>
    </row>
    <row r="41" spans="2:4">
      <c r="B41" s="433" t="s">
        <v>1327</v>
      </c>
      <c r="C41" s="463">
        <f>SUM(C17:C40)</f>
        <v>7.55</v>
      </c>
      <c r="D41" s="576">
        <f>SUM(D17:D40)</f>
        <v>2.34</v>
      </c>
    </row>
    <row r="42" spans="2:4">
      <c r="B42" s="429" t="s">
        <v>1081</v>
      </c>
      <c r="D42" s="577">
        <f>D11/C41</f>
        <v>0.30993377483443707</v>
      </c>
    </row>
  </sheetData>
  <phoneticPr fontId="29" type="noConversion"/>
  <pageMargins left="0.7" right="0.7" top="0.75" bottom="0.75" header="0.3" footer="0.3"/>
  <pageSetup orientation="portrait" horizontalDpi="300" verticalDpi="300" r:id="rId1"/>
</worksheet>
</file>

<file path=xl/worksheets/sheet14.xml><?xml version="1.0" encoding="utf-8"?>
<worksheet xmlns="http://schemas.openxmlformats.org/spreadsheetml/2006/main" xmlns:r="http://schemas.openxmlformats.org/officeDocument/2006/relationships">
  <sheetPr enableFormatConditionsCalculation="0">
    <tabColor theme="6" tint="0.39997558519241921"/>
  </sheetPr>
  <dimension ref="A1:O844"/>
  <sheetViews>
    <sheetView showGridLines="0" workbookViewId="0">
      <selection activeCell="B1" sqref="B1"/>
    </sheetView>
  </sheetViews>
  <sheetFormatPr defaultRowHeight="12"/>
  <cols>
    <col min="1" max="1" width="2.85546875" style="429" customWidth="1"/>
    <col min="2" max="2" width="14.28515625" style="429" customWidth="1"/>
    <col min="3" max="3" width="25.7109375" style="616" bestFit="1" customWidth="1"/>
    <col min="4" max="4" width="29.140625" style="439" customWidth="1"/>
    <col min="5" max="5" width="11.140625" style="450" customWidth="1"/>
    <col min="6" max="6" width="13" style="450" customWidth="1"/>
    <col min="7" max="7" width="11.28515625" style="450" customWidth="1"/>
    <col min="8" max="8" width="12" style="450" customWidth="1"/>
    <col min="9" max="9" width="11.42578125" style="450" customWidth="1"/>
    <col min="10" max="10" width="12.28515625" style="450" customWidth="1"/>
    <col min="11" max="11" width="12.85546875" style="429" customWidth="1"/>
    <col min="12" max="12" width="18.28515625" style="429" customWidth="1"/>
    <col min="13" max="13" width="18.28515625" style="429" bestFit="1" customWidth="1"/>
    <col min="14" max="14" width="20.140625" style="429" customWidth="1"/>
    <col min="15" max="15" width="9.140625" style="429"/>
    <col min="16" max="16" width="10.28515625" style="429" customWidth="1"/>
    <col min="17" max="16384" width="9.140625" style="429"/>
  </cols>
  <sheetData>
    <row r="1" spans="1:15" ht="18.75">
      <c r="A1" s="452"/>
      <c r="B1" s="452" t="s">
        <v>2996</v>
      </c>
    </row>
    <row r="2" spans="1:15">
      <c r="L2" s="429" t="s">
        <v>3021</v>
      </c>
    </row>
    <row r="3" spans="1:15">
      <c r="A3" s="605" t="s">
        <v>2345</v>
      </c>
      <c r="B3" s="536"/>
      <c r="C3" s="606"/>
      <c r="D3" s="607"/>
      <c r="E3" s="608"/>
      <c r="F3" s="608"/>
      <c r="G3" s="608"/>
      <c r="H3" s="608"/>
      <c r="I3" s="618" t="s">
        <v>2835</v>
      </c>
      <c r="J3" s="618" t="s">
        <v>859</v>
      </c>
      <c r="K3" s="618" t="s">
        <v>2296</v>
      </c>
      <c r="L3" s="618" t="s">
        <v>3019</v>
      </c>
      <c r="M3" s="618" t="s">
        <v>3020</v>
      </c>
      <c r="N3" s="618" t="s">
        <v>2839</v>
      </c>
      <c r="O3" s="618" t="s">
        <v>2836</v>
      </c>
    </row>
    <row r="4" spans="1:15">
      <c r="A4" s="601" t="s">
        <v>2840</v>
      </c>
      <c r="B4" s="601"/>
      <c r="C4" s="601"/>
      <c r="D4" s="601"/>
      <c r="E4" s="601"/>
      <c r="F4" s="608"/>
      <c r="G4" s="717" t="s">
        <v>2297</v>
      </c>
      <c r="H4" s="718"/>
      <c r="I4" s="484" t="s">
        <v>2298</v>
      </c>
      <c r="J4" s="484"/>
      <c r="K4" s="484"/>
      <c r="L4" s="484"/>
      <c r="M4" s="484"/>
      <c r="N4" s="484"/>
      <c r="O4" s="484"/>
    </row>
    <row r="5" spans="1:15">
      <c r="A5" s="536" t="s">
        <v>2841</v>
      </c>
      <c r="B5" s="536"/>
      <c r="C5" s="606"/>
      <c r="D5" s="607"/>
      <c r="E5" s="608"/>
      <c r="F5" s="608"/>
      <c r="G5" s="608"/>
      <c r="H5" s="608"/>
      <c r="I5" s="484" t="s">
        <v>2299</v>
      </c>
      <c r="J5" s="484"/>
      <c r="K5" s="484"/>
      <c r="L5" s="484"/>
      <c r="M5" s="484"/>
      <c r="N5" s="484"/>
      <c r="O5" s="484"/>
    </row>
    <row r="6" spans="1:15">
      <c r="A6" s="536" t="s">
        <v>2842</v>
      </c>
      <c r="B6" s="536"/>
      <c r="C6" s="606"/>
      <c r="D6" s="607"/>
      <c r="E6" s="608"/>
      <c r="F6" s="608"/>
      <c r="G6" s="608"/>
      <c r="H6" s="608"/>
      <c r="I6" s="484" t="s">
        <v>2300</v>
      </c>
      <c r="J6" s="484"/>
      <c r="K6" s="484"/>
      <c r="L6" s="484"/>
      <c r="M6" s="484"/>
      <c r="N6" s="484"/>
      <c r="O6" s="484"/>
    </row>
    <row r="7" spans="1:15">
      <c r="A7" s="536" t="s">
        <v>2843</v>
      </c>
      <c r="B7" s="536"/>
      <c r="C7" s="606"/>
      <c r="D7" s="607"/>
      <c r="E7" s="608"/>
      <c r="F7" s="608"/>
      <c r="G7" s="608"/>
      <c r="H7" s="608"/>
      <c r="I7" s="484" t="s">
        <v>2301</v>
      </c>
      <c r="J7" s="484"/>
      <c r="K7" s="484"/>
      <c r="L7" s="484"/>
      <c r="M7" s="484"/>
      <c r="N7" s="484"/>
      <c r="O7" s="484"/>
    </row>
    <row r="8" spans="1:15">
      <c r="A8" s="536" t="s">
        <v>1051</v>
      </c>
      <c r="B8" s="536"/>
      <c r="C8" s="606"/>
      <c r="D8" s="607"/>
      <c r="E8" s="608"/>
      <c r="F8" s="608"/>
      <c r="G8" s="608"/>
      <c r="H8" s="608"/>
      <c r="I8" s="484" t="s">
        <v>2302</v>
      </c>
      <c r="J8" s="484"/>
      <c r="K8" s="484"/>
      <c r="L8" s="484"/>
      <c r="M8" s="484"/>
      <c r="N8" s="484"/>
      <c r="O8" s="484"/>
    </row>
    <row r="9" spans="1:15">
      <c r="A9" s="536" t="s">
        <v>2844</v>
      </c>
      <c r="B9" s="536"/>
      <c r="C9" s="606"/>
      <c r="D9" s="607"/>
      <c r="E9" s="608"/>
      <c r="F9" s="608"/>
      <c r="G9" s="608"/>
      <c r="H9" s="608"/>
      <c r="I9" s="484" t="s">
        <v>2303</v>
      </c>
      <c r="J9" s="484"/>
      <c r="K9" s="484"/>
      <c r="L9" s="484"/>
      <c r="M9" s="484"/>
      <c r="N9" s="484"/>
      <c r="O9" s="484"/>
    </row>
    <row r="10" spans="1:15">
      <c r="A10" s="536" t="s">
        <v>2845</v>
      </c>
      <c r="B10" s="536"/>
      <c r="C10" s="606"/>
      <c r="D10" s="607"/>
      <c r="E10" s="608"/>
      <c r="F10" s="608"/>
      <c r="G10" s="608"/>
      <c r="H10" s="608"/>
      <c r="I10" s="484" t="s">
        <v>2304</v>
      </c>
      <c r="J10" s="484"/>
      <c r="K10" s="484"/>
      <c r="L10" s="484"/>
      <c r="M10" s="484"/>
      <c r="N10" s="484"/>
      <c r="O10" s="484"/>
    </row>
    <row r="11" spans="1:15">
      <c r="A11" s="536" t="s">
        <v>1052</v>
      </c>
      <c r="B11" s="536"/>
      <c r="C11" s="606"/>
      <c r="D11" s="607"/>
      <c r="E11" s="608"/>
      <c r="F11" s="608"/>
      <c r="G11" s="608"/>
      <c r="H11" s="608"/>
      <c r="I11" s="484" t="s">
        <v>2305</v>
      </c>
      <c r="J11" s="484"/>
      <c r="K11" s="484"/>
      <c r="L11" s="484"/>
      <c r="M11" s="484"/>
      <c r="N11" s="484"/>
      <c r="O11" s="484"/>
    </row>
    <row r="12" spans="1:15">
      <c r="A12" s="536" t="s">
        <v>2</v>
      </c>
      <c r="B12" s="536"/>
      <c r="C12" s="606"/>
      <c r="D12" s="607"/>
      <c r="E12" s="608"/>
      <c r="F12" s="608"/>
      <c r="G12" s="608"/>
      <c r="H12" s="608"/>
      <c r="I12" s="484" t="s">
        <v>2306</v>
      </c>
      <c r="J12" s="484"/>
      <c r="K12" s="484"/>
      <c r="L12" s="484"/>
      <c r="M12" s="484"/>
      <c r="N12" s="484"/>
      <c r="O12" s="484"/>
    </row>
    <row r="13" spans="1:15">
      <c r="A13" s="602"/>
      <c r="B13" s="602"/>
      <c r="C13" s="694"/>
      <c r="D13" s="602"/>
      <c r="E13" s="610"/>
      <c r="F13" s="610"/>
      <c r="G13" s="610"/>
      <c r="H13" s="608"/>
      <c r="I13" s="484" t="s">
        <v>2307</v>
      </c>
      <c r="J13" s="484"/>
      <c r="K13" s="484"/>
      <c r="L13" s="484"/>
      <c r="M13" s="484"/>
      <c r="N13" s="484"/>
      <c r="O13" s="484"/>
    </row>
    <row r="14" spans="1:15">
      <c r="A14" s="536"/>
      <c r="B14" s="536"/>
      <c r="C14" s="606"/>
      <c r="D14" s="607"/>
      <c r="E14" s="608"/>
      <c r="F14" s="608"/>
      <c r="G14" s="608"/>
      <c r="H14" s="608"/>
      <c r="I14" s="484" t="s">
        <v>2308</v>
      </c>
      <c r="J14" s="484"/>
      <c r="K14" s="484"/>
      <c r="L14" s="484"/>
      <c r="M14" s="484"/>
      <c r="N14" s="484"/>
      <c r="O14" s="484"/>
    </row>
    <row r="15" spans="1:15">
      <c r="A15" s="536"/>
      <c r="B15" s="536"/>
      <c r="C15" s="606"/>
      <c r="D15" s="607"/>
      <c r="E15" s="608"/>
      <c r="F15" s="608"/>
      <c r="G15" s="608"/>
      <c r="H15" s="608"/>
      <c r="I15" s="484" t="s">
        <v>2309</v>
      </c>
      <c r="J15" s="484"/>
      <c r="K15" s="484"/>
      <c r="L15" s="484"/>
      <c r="M15" s="484"/>
      <c r="N15" s="484"/>
      <c r="O15" s="484"/>
    </row>
    <row r="16" spans="1:15">
      <c r="A16" s="536"/>
      <c r="B16" s="536"/>
      <c r="C16" s="606"/>
      <c r="D16" s="607"/>
      <c r="E16" s="608"/>
      <c r="F16" s="608"/>
      <c r="G16" s="608"/>
      <c r="H16" s="608"/>
      <c r="I16" s="484" t="s">
        <v>2310</v>
      </c>
      <c r="J16" s="484"/>
      <c r="K16" s="484"/>
      <c r="L16" s="484"/>
      <c r="M16" s="484"/>
      <c r="N16" s="484"/>
      <c r="O16" s="484"/>
    </row>
    <row r="17" spans="1:15">
      <c r="A17" s="536"/>
      <c r="B17" s="536"/>
      <c r="C17" s="606"/>
      <c r="D17" s="607"/>
      <c r="E17" s="608"/>
      <c r="F17" s="608"/>
      <c r="G17" s="608"/>
      <c r="H17" s="608"/>
      <c r="I17" s="484" t="s">
        <v>1151</v>
      </c>
      <c r="J17" s="484"/>
      <c r="K17" s="484"/>
      <c r="L17" s="484"/>
      <c r="M17" s="484"/>
      <c r="N17" s="484"/>
      <c r="O17" s="484"/>
    </row>
    <row r="18" spans="1:15">
      <c r="A18" s="536"/>
      <c r="B18" s="536"/>
      <c r="C18" s="606"/>
      <c r="D18" s="607"/>
      <c r="E18" s="608"/>
      <c r="F18" s="608"/>
      <c r="G18" s="608"/>
      <c r="H18" s="608"/>
      <c r="I18" s="484" t="s">
        <v>4</v>
      </c>
      <c r="J18" s="484"/>
      <c r="K18" s="484"/>
      <c r="L18" s="484"/>
      <c r="M18" s="484"/>
      <c r="N18" s="484"/>
      <c r="O18" s="484"/>
    </row>
    <row r="19" spans="1:15">
      <c r="A19" s="536"/>
      <c r="B19" s="536"/>
      <c r="C19" s="606"/>
      <c r="D19" s="607"/>
      <c r="E19" s="608"/>
      <c r="F19" s="608"/>
      <c r="G19" s="608"/>
      <c r="H19" s="608"/>
      <c r="I19" s="484" t="s">
        <v>5</v>
      </c>
      <c r="J19" s="484"/>
      <c r="K19" s="484"/>
      <c r="L19" s="484"/>
      <c r="M19" s="484"/>
      <c r="N19" s="484"/>
      <c r="O19" s="484"/>
    </row>
    <row r="20" spans="1:15" ht="12.75" customHeight="1">
      <c r="A20" s="536"/>
      <c r="B20" s="536"/>
      <c r="C20" s="606"/>
      <c r="D20" s="607"/>
      <c r="E20" s="608"/>
      <c r="F20" s="608"/>
      <c r="G20" s="608"/>
      <c r="H20" s="608"/>
      <c r="I20" s="484" t="s">
        <v>6</v>
      </c>
      <c r="J20" s="484"/>
      <c r="K20" s="484"/>
      <c r="L20" s="484"/>
      <c r="M20" s="484"/>
      <c r="N20" s="484"/>
      <c r="O20" s="484"/>
    </row>
    <row r="21" spans="1:15">
      <c r="A21" s="536"/>
      <c r="B21" s="536"/>
      <c r="C21" s="606"/>
      <c r="D21" s="607"/>
      <c r="E21" s="608"/>
      <c r="F21" s="608"/>
      <c r="G21" s="608"/>
      <c r="H21" s="608"/>
      <c r="I21" s="484" t="s">
        <v>7</v>
      </c>
      <c r="J21" s="484"/>
      <c r="K21" s="484"/>
      <c r="L21" s="484"/>
      <c r="M21" s="484"/>
      <c r="N21" s="484"/>
      <c r="O21" s="484"/>
    </row>
    <row r="22" spans="1:15">
      <c r="A22" s="536"/>
      <c r="B22" s="536"/>
      <c r="C22" s="606"/>
      <c r="D22" s="607"/>
      <c r="E22" s="608"/>
      <c r="F22" s="608"/>
      <c r="G22" s="608"/>
      <c r="H22" s="608"/>
      <c r="I22" s="484" t="s">
        <v>8</v>
      </c>
      <c r="J22" s="484"/>
      <c r="K22" s="484"/>
      <c r="L22" s="484"/>
      <c r="M22" s="484"/>
      <c r="N22" s="484"/>
      <c r="O22" s="484"/>
    </row>
    <row r="23" spans="1:15">
      <c r="A23" s="536"/>
      <c r="B23" s="536"/>
      <c r="C23" s="606"/>
      <c r="D23" s="607"/>
      <c r="E23" s="608"/>
      <c r="F23" s="608"/>
      <c r="G23" s="608"/>
      <c r="H23" s="608"/>
      <c r="I23" s="484" t="s">
        <v>9</v>
      </c>
      <c r="J23" s="484"/>
      <c r="K23" s="484"/>
      <c r="L23" s="484"/>
      <c r="M23" s="484"/>
      <c r="N23" s="484"/>
      <c r="O23" s="484"/>
    </row>
    <row r="24" spans="1:15">
      <c r="A24" s="536"/>
      <c r="B24" s="536"/>
      <c r="C24" s="606"/>
      <c r="D24" s="607"/>
      <c r="E24" s="608"/>
      <c r="F24" s="608"/>
      <c r="G24" s="608"/>
      <c r="H24" s="608"/>
      <c r="I24" s="484" t="s">
        <v>10</v>
      </c>
      <c r="J24" s="484"/>
      <c r="K24" s="484"/>
      <c r="L24" s="484"/>
      <c r="M24" s="484"/>
      <c r="N24" s="484"/>
      <c r="O24" s="484"/>
    </row>
    <row r="25" spans="1:15">
      <c r="A25" s="536"/>
      <c r="B25" s="536"/>
      <c r="C25" s="606"/>
      <c r="D25" s="607"/>
      <c r="E25" s="608"/>
      <c r="F25" s="608"/>
      <c r="G25" s="608"/>
      <c r="H25" s="608"/>
      <c r="I25" s="484" t="s">
        <v>11</v>
      </c>
      <c r="J25" s="484"/>
      <c r="K25" s="484"/>
      <c r="L25" s="484"/>
      <c r="M25" s="484"/>
      <c r="N25" s="484"/>
      <c r="O25" s="484"/>
    </row>
    <row r="26" spans="1:15">
      <c r="A26" s="536"/>
      <c r="B26" s="536"/>
      <c r="C26" s="606"/>
      <c r="D26" s="607"/>
      <c r="E26" s="608"/>
      <c r="F26" s="608"/>
      <c r="G26" s="608"/>
      <c r="H26" s="608"/>
      <c r="I26" s="484" t="s">
        <v>884</v>
      </c>
      <c r="J26" s="484"/>
      <c r="K26" s="484"/>
      <c r="L26" s="484"/>
      <c r="M26" s="484"/>
      <c r="N26" s="484"/>
      <c r="O26" s="484"/>
    </row>
    <row r="27" spans="1:15">
      <c r="A27" s="536"/>
      <c r="B27" s="536"/>
      <c r="C27" s="606"/>
      <c r="D27" s="607"/>
      <c r="E27" s="608"/>
      <c r="F27" s="608"/>
      <c r="G27" s="608"/>
      <c r="H27" s="608"/>
      <c r="I27" s="611"/>
      <c r="J27" s="611"/>
      <c r="K27" s="611"/>
      <c r="L27" s="611"/>
      <c r="M27" s="612"/>
      <c r="N27" s="536"/>
    </row>
    <row r="28" spans="1:15" ht="36">
      <c r="A28" s="621"/>
      <c r="B28" s="620" t="s">
        <v>2311</v>
      </c>
      <c r="C28" s="618" t="s">
        <v>2837</v>
      </c>
      <c r="D28" s="618" t="s">
        <v>2312</v>
      </c>
      <c r="E28" s="619" t="s">
        <v>2313</v>
      </c>
      <c r="F28" s="619" t="s">
        <v>2838</v>
      </c>
      <c r="G28" s="619" t="s">
        <v>2314</v>
      </c>
      <c r="H28" s="619" t="s">
        <v>2315</v>
      </c>
      <c r="I28" s="619" t="s">
        <v>2316</v>
      </c>
      <c r="J28" s="619" t="s">
        <v>3</v>
      </c>
      <c r="K28" s="619" t="s">
        <v>2661</v>
      </c>
      <c r="L28" s="619" t="s">
        <v>2662</v>
      </c>
      <c r="M28" s="619" t="s">
        <v>2702</v>
      </c>
      <c r="N28" s="619" t="s">
        <v>2703</v>
      </c>
    </row>
    <row r="29" spans="1:15">
      <c r="A29" s="622"/>
      <c r="B29" s="484"/>
      <c r="C29" s="628"/>
      <c r="D29" s="628"/>
      <c r="E29" s="627"/>
      <c r="F29" s="627"/>
      <c r="G29" s="613" t="e">
        <f>LOOKUP(F29, $I$4:$I$26, $K$4:$K$26)</f>
        <v>#N/A</v>
      </c>
      <c r="H29" s="627"/>
      <c r="I29" s="614">
        <f>IF(E29&gt;0, E29*G29*H29, 0)</f>
        <v>0</v>
      </c>
      <c r="J29" s="630" t="e">
        <f>IF(D29="Exit Signs","convert to kW", I29/B29)</f>
        <v>#DIV/0!</v>
      </c>
      <c r="K29" s="631" t="e">
        <f t="shared" ref="K29:K92" si="0">LOOKUP(D29, LightingSpaceType, LPD)</f>
        <v>#N/A</v>
      </c>
      <c r="L29" s="631">
        <f>IF(D29="Exit Signs", 5*E29, IF(B29&gt;0, K29*B29, 0))</f>
        <v>0</v>
      </c>
      <c r="M29" s="615" t="e">
        <f t="shared" ref="M29:M92" si="1">IF(D29="Exit Signs","NA", E29*LOOKUP(F29,$I$4:$I$26,$L$4:$L$26)/B29)</f>
        <v>#N/A</v>
      </c>
      <c r="N29" s="613" t="e">
        <f t="shared" ref="N29:N92" si="2">LOOKUP(D29, LightingSpaceType, Footcandles)</f>
        <v>#N/A</v>
      </c>
      <c r="O29" s="442" t="str">
        <f>IF(E29&gt;0, IF(M29&lt;N29, "Insufficient lighting to meet IESNA footcandle recommendations.", ""), "")</f>
        <v/>
      </c>
    </row>
    <row r="30" spans="1:15">
      <c r="A30" s="623"/>
      <c r="B30" s="484"/>
      <c r="C30" s="628"/>
      <c r="D30" s="628"/>
      <c r="E30" s="627"/>
      <c r="F30" s="627"/>
      <c r="G30" s="613" t="e">
        <f t="shared" ref="G30:G93" si="3">LOOKUP(F30, $I$4:$I$17, $K$4:$K$17)</f>
        <v>#N/A</v>
      </c>
      <c r="H30" s="627"/>
      <c r="I30" s="614">
        <f t="shared" ref="I30:I93" si="4">IF(E30&gt;0, E30*G30*H30, 0)</f>
        <v>0</v>
      </c>
      <c r="J30" s="630" t="e">
        <f t="shared" ref="J30:J93" si="5">IF(D30="Exit Signs","convert to kW", I30/B30)</f>
        <v>#DIV/0!</v>
      </c>
      <c r="K30" s="631" t="e">
        <f t="shared" si="0"/>
        <v>#N/A</v>
      </c>
      <c r="L30" s="631">
        <f t="shared" ref="L30:L93" si="6">IF(D30="Exit Signs", 5*E30, IF(B30&gt;0, K30*B30, 0))</f>
        <v>0</v>
      </c>
      <c r="M30" s="615" t="e">
        <f t="shared" si="1"/>
        <v>#N/A</v>
      </c>
      <c r="N30" s="613" t="e">
        <f t="shared" si="2"/>
        <v>#N/A</v>
      </c>
      <c r="O30" s="442" t="str">
        <f t="shared" ref="O30:O93" si="7">IF(E30&gt;0, IF(M30&lt;N30, "Insufficient lighting to meet IESNA footcandle recommendations.", ""), "")</f>
        <v/>
      </c>
    </row>
    <row r="31" spans="1:15">
      <c r="A31" s="623"/>
      <c r="B31" s="484"/>
      <c r="C31" s="628"/>
      <c r="D31" s="628"/>
      <c r="E31" s="484"/>
      <c r="F31" s="484"/>
      <c r="G31" s="613" t="e">
        <f t="shared" si="3"/>
        <v>#N/A</v>
      </c>
      <c r="H31" s="627"/>
      <c r="I31" s="614">
        <f t="shared" si="4"/>
        <v>0</v>
      </c>
      <c r="J31" s="630" t="e">
        <f t="shared" si="5"/>
        <v>#DIV/0!</v>
      </c>
      <c r="K31" s="631" t="e">
        <f t="shared" si="0"/>
        <v>#N/A</v>
      </c>
      <c r="L31" s="631">
        <f t="shared" si="6"/>
        <v>0</v>
      </c>
      <c r="M31" s="615" t="e">
        <f t="shared" si="1"/>
        <v>#N/A</v>
      </c>
      <c r="N31" s="613" t="e">
        <f t="shared" si="2"/>
        <v>#N/A</v>
      </c>
      <c r="O31" s="442" t="str">
        <f t="shared" si="7"/>
        <v/>
      </c>
    </row>
    <row r="32" spans="1:15">
      <c r="A32" s="624"/>
      <c r="B32" s="484"/>
      <c r="C32" s="628"/>
      <c r="D32" s="628"/>
      <c r="E32" s="484"/>
      <c r="F32" s="484"/>
      <c r="G32" s="613" t="e">
        <f t="shared" si="3"/>
        <v>#N/A</v>
      </c>
      <c r="H32" s="627"/>
      <c r="I32" s="614">
        <f t="shared" si="4"/>
        <v>0</v>
      </c>
      <c r="J32" s="630" t="e">
        <f t="shared" si="5"/>
        <v>#DIV/0!</v>
      </c>
      <c r="K32" s="631" t="e">
        <f t="shared" si="0"/>
        <v>#N/A</v>
      </c>
      <c r="L32" s="631">
        <f t="shared" si="6"/>
        <v>0</v>
      </c>
      <c r="M32" s="615" t="e">
        <f t="shared" si="1"/>
        <v>#N/A</v>
      </c>
      <c r="N32" s="613" t="e">
        <f t="shared" si="2"/>
        <v>#N/A</v>
      </c>
      <c r="O32" s="442" t="str">
        <f t="shared" si="7"/>
        <v/>
      </c>
    </row>
    <row r="33" spans="1:15">
      <c r="A33" s="624"/>
      <c r="B33" s="484"/>
      <c r="C33" s="628"/>
      <c r="D33" s="628"/>
      <c r="E33" s="484"/>
      <c r="F33" s="484"/>
      <c r="G33" s="613" t="e">
        <f t="shared" si="3"/>
        <v>#N/A</v>
      </c>
      <c r="H33" s="627"/>
      <c r="I33" s="614">
        <f t="shared" si="4"/>
        <v>0</v>
      </c>
      <c r="J33" s="630" t="e">
        <f t="shared" si="5"/>
        <v>#DIV/0!</v>
      </c>
      <c r="K33" s="631" t="e">
        <f t="shared" si="0"/>
        <v>#N/A</v>
      </c>
      <c r="L33" s="631">
        <f t="shared" si="6"/>
        <v>0</v>
      </c>
      <c r="M33" s="615" t="e">
        <f t="shared" si="1"/>
        <v>#N/A</v>
      </c>
      <c r="N33" s="613" t="e">
        <f t="shared" si="2"/>
        <v>#N/A</v>
      </c>
      <c r="O33" s="442" t="str">
        <f t="shared" si="7"/>
        <v/>
      </c>
    </row>
    <row r="34" spans="1:15" ht="12.75" customHeight="1">
      <c r="A34" s="624"/>
      <c r="B34" s="484"/>
      <c r="C34" s="628"/>
      <c r="D34" s="628"/>
      <c r="E34" s="484"/>
      <c r="F34" s="484"/>
      <c r="G34" s="613" t="e">
        <f t="shared" si="3"/>
        <v>#N/A</v>
      </c>
      <c r="H34" s="627"/>
      <c r="I34" s="614">
        <f t="shared" si="4"/>
        <v>0</v>
      </c>
      <c r="J34" s="630" t="e">
        <f t="shared" si="5"/>
        <v>#DIV/0!</v>
      </c>
      <c r="K34" s="631" t="e">
        <f t="shared" si="0"/>
        <v>#N/A</v>
      </c>
      <c r="L34" s="631">
        <f t="shared" si="6"/>
        <v>0</v>
      </c>
      <c r="M34" s="615" t="e">
        <f t="shared" si="1"/>
        <v>#N/A</v>
      </c>
      <c r="N34" s="613" t="e">
        <f t="shared" si="2"/>
        <v>#N/A</v>
      </c>
      <c r="O34" s="442" t="str">
        <f t="shared" si="7"/>
        <v/>
      </c>
    </row>
    <row r="35" spans="1:15">
      <c r="A35" s="624"/>
      <c r="B35" s="484"/>
      <c r="C35" s="628"/>
      <c r="D35" s="628"/>
      <c r="E35" s="484"/>
      <c r="F35" s="484"/>
      <c r="G35" s="613" t="e">
        <f t="shared" si="3"/>
        <v>#N/A</v>
      </c>
      <c r="H35" s="627"/>
      <c r="I35" s="614">
        <f t="shared" si="4"/>
        <v>0</v>
      </c>
      <c r="J35" s="630" t="e">
        <f t="shared" si="5"/>
        <v>#DIV/0!</v>
      </c>
      <c r="K35" s="631" t="e">
        <f t="shared" si="0"/>
        <v>#N/A</v>
      </c>
      <c r="L35" s="631">
        <f t="shared" si="6"/>
        <v>0</v>
      </c>
      <c r="M35" s="615" t="e">
        <f t="shared" si="1"/>
        <v>#N/A</v>
      </c>
      <c r="N35" s="613" t="e">
        <f t="shared" si="2"/>
        <v>#N/A</v>
      </c>
      <c r="O35" s="442" t="str">
        <f t="shared" si="7"/>
        <v/>
      </c>
    </row>
    <row r="36" spans="1:15">
      <c r="A36" s="624"/>
      <c r="B36" s="484"/>
      <c r="C36" s="628"/>
      <c r="D36" s="628"/>
      <c r="E36" s="484"/>
      <c r="F36" s="484"/>
      <c r="G36" s="613" t="e">
        <f t="shared" si="3"/>
        <v>#N/A</v>
      </c>
      <c r="H36" s="627"/>
      <c r="I36" s="614">
        <f t="shared" si="4"/>
        <v>0</v>
      </c>
      <c r="J36" s="630" t="e">
        <f t="shared" si="5"/>
        <v>#DIV/0!</v>
      </c>
      <c r="K36" s="631" t="e">
        <f t="shared" si="0"/>
        <v>#N/A</v>
      </c>
      <c r="L36" s="631">
        <f t="shared" si="6"/>
        <v>0</v>
      </c>
      <c r="M36" s="615" t="e">
        <f t="shared" si="1"/>
        <v>#N/A</v>
      </c>
      <c r="N36" s="613" t="e">
        <f t="shared" si="2"/>
        <v>#N/A</v>
      </c>
      <c r="O36" s="442" t="str">
        <f t="shared" si="7"/>
        <v/>
      </c>
    </row>
    <row r="37" spans="1:15">
      <c r="A37" s="624"/>
      <c r="B37" s="484"/>
      <c r="C37" s="628"/>
      <c r="D37" s="628"/>
      <c r="E37" s="484"/>
      <c r="F37" s="484"/>
      <c r="G37" s="613" t="e">
        <f t="shared" si="3"/>
        <v>#N/A</v>
      </c>
      <c r="H37" s="627"/>
      <c r="I37" s="614">
        <f t="shared" si="4"/>
        <v>0</v>
      </c>
      <c r="J37" s="630" t="e">
        <f t="shared" si="5"/>
        <v>#DIV/0!</v>
      </c>
      <c r="K37" s="631" t="e">
        <f t="shared" si="0"/>
        <v>#N/A</v>
      </c>
      <c r="L37" s="631">
        <f t="shared" si="6"/>
        <v>0</v>
      </c>
      <c r="M37" s="615" t="e">
        <f t="shared" si="1"/>
        <v>#N/A</v>
      </c>
      <c r="N37" s="613" t="e">
        <f t="shared" si="2"/>
        <v>#N/A</v>
      </c>
      <c r="O37" s="442" t="str">
        <f t="shared" si="7"/>
        <v/>
      </c>
    </row>
    <row r="38" spans="1:15">
      <c r="A38" s="624"/>
      <c r="B38" s="484"/>
      <c r="C38" s="628"/>
      <c r="D38" s="628"/>
      <c r="E38" s="484"/>
      <c r="F38" s="484"/>
      <c r="G38" s="613" t="e">
        <f t="shared" si="3"/>
        <v>#N/A</v>
      </c>
      <c r="H38" s="627"/>
      <c r="I38" s="614">
        <f t="shared" si="4"/>
        <v>0</v>
      </c>
      <c r="J38" s="630" t="e">
        <f t="shared" si="5"/>
        <v>#DIV/0!</v>
      </c>
      <c r="K38" s="631" t="e">
        <f t="shared" si="0"/>
        <v>#N/A</v>
      </c>
      <c r="L38" s="631">
        <f>IF(D38="Exit Signs", 5*E38, IF(B38&gt;0, K38*B38, 0))</f>
        <v>0</v>
      </c>
      <c r="M38" s="615" t="e">
        <f t="shared" si="1"/>
        <v>#N/A</v>
      </c>
      <c r="N38" s="613" t="e">
        <f t="shared" si="2"/>
        <v>#N/A</v>
      </c>
      <c r="O38" s="442" t="str">
        <f t="shared" si="7"/>
        <v/>
      </c>
    </row>
    <row r="39" spans="1:15">
      <c r="A39" s="624"/>
      <c r="B39" s="484"/>
      <c r="C39" s="628"/>
      <c r="D39" s="628"/>
      <c r="E39" s="484"/>
      <c r="F39" s="484"/>
      <c r="G39" s="613" t="e">
        <f t="shared" si="3"/>
        <v>#N/A</v>
      </c>
      <c r="H39" s="627"/>
      <c r="I39" s="614">
        <f t="shared" si="4"/>
        <v>0</v>
      </c>
      <c r="J39" s="630" t="e">
        <f t="shared" si="5"/>
        <v>#DIV/0!</v>
      </c>
      <c r="K39" s="631" t="e">
        <f t="shared" si="0"/>
        <v>#N/A</v>
      </c>
      <c r="L39" s="631">
        <f t="shared" si="6"/>
        <v>0</v>
      </c>
      <c r="M39" s="615" t="e">
        <f t="shared" si="1"/>
        <v>#N/A</v>
      </c>
      <c r="N39" s="613" t="e">
        <f t="shared" si="2"/>
        <v>#N/A</v>
      </c>
      <c r="O39" s="442" t="str">
        <f t="shared" si="7"/>
        <v/>
      </c>
    </row>
    <row r="40" spans="1:15">
      <c r="A40" s="624"/>
      <c r="B40" s="484"/>
      <c r="C40" s="628"/>
      <c r="D40" s="628"/>
      <c r="E40" s="484"/>
      <c r="F40" s="484"/>
      <c r="G40" s="613" t="e">
        <f t="shared" si="3"/>
        <v>#N/A</v>
      </c>
      <c r="H40" s="627"/>
      <c r="I40" s="614">
        <f t="shared" si="4"/>
        <v>0</v>
      </c>
      <c r="J40" s="630" t="e">
        <f t="shared" si="5"/>
        <v>#DIV/0!</v>
      </c>
      <c r="K40" s="631" t="e">
        <f t="shared" si="0"/>
        <v>#N/A</v>
      </c>
      <c r="L40" s="631">
        <f t="shared" si="6"/>
        <v>0</v>
      </c>
      <c r="M40" s="615" t="e">
        <f t="shared" si="1"/>
        <v>#N/A</v>
      </c>
      <c r="N40" s="613" t="e">
        <f t="shared" si="2"/>
        <v>#N/A</v>
      </c>
      <c r="O40" s="442" t="str">
        <f t="shared" si="7"/>
        <v/>
      </c>
    </row>
    <row r="41" spans="1:15">
      <c r="A41" s="624"/>
      <c r="B41" s="484"/>
      <c r="C41" s="628"/>
      <c r="D41" s="628"/>
      <c r="E41" s="484"/>
      <c r="F41" s="484"/>
      <c r="G41" s="613" t="e">
        <f t="shared" si="3"/>
        <v>#N/A</v>
      </c>
      <c r="H41" s="627"/>
      <c r="I41" s="614">
        <f t="shared" si="4"/>
        <v>0</v>
      </c>
      <c r="J41" s="630" t="e">
        <f t="shared" si="5"/>
        <v>#DIV/0!</v>
      </c>
      <c r="K41" s="631" t="e">
        <f t="shared" si="0"/>
        <v>#N/A</v>
      </c>
      <c r="L41" s="631">
        <f t="shared" si="6"/>
        <v>0</v>
      </c>
      <c r="M41" s="615" t="e">
        <f t="shared" si="1"/>
        <v>#N/A</v>
      </c>
      <c r="N41" s="613" t="e">
        <f t="shared" si="2"/>
        <v>#N/A</v>
      </c>
      <c r="O41" s="442" t="str">
        <f t="shared" si="7"/>
        <v/>
      </c>
    </row>
    <row r="42" spans="1:15">
      <c r="A42" s="624"/>
      <c r="B42" s="484"/>
      <c r="C42" s="628"/>
      <c r="D42" s="628"/>
      <c r="E42" s="484"/>
      <c r="F42" s="484"/>
      <c r="G42" s="613" t="e">
        <f t="shared" si="3"/>
        <v>#N/A</v>
      </c>
      <c r="H42" s="627"/>
      <c r="I42" s="614">
        <f t="shared" si="4"/>
        <v>0</v>
      </c>
      <c r="J42" s="630" t="e">
        <f t="shared" si="5"/>
        <v>#DIV/0!</v>
      </c>
      <c r="K42" s="631" t="e">
        <f t="shared" si="0"/>
        <v>#N/A</v>
      </c>
      <c r="L42" s="631">
        <f t="shared" si="6"/>
        <v>0</v>
      </c>
      <c r="M42" s="615" t="e">
        <f t="shared" si="1"/>
        <v>#N/A</v>
      </c>
      <c r="N42" s="613" t="e">
        <f t="shared" si="2"/>
        <v>#N/A</v>
      </c>
      <c r="O42" s="442" t="str">
        <f t="shared" si="7"/>
        <v/>
      </c>
    </row>
    <row r="43" spans="1:15">
      <c r="A43" s="624"/>
      <c r="B43" s="484"/>
      <c r="C43" s="628"/>
      <c r="D43" s="628"/>
      <c r="E43" s="484"/>
      <c r="F43" s="484"/>
      <c r="G43" s="613" t="e">
        <f t="shared" si="3"/>
        <v>#N/A</v>
      </c>
      <c r="H43" s="627"/>
      <c r="I43" s="614">
        <f t="shared" si="4"/>
        <v>0</v>
      </c>
      <c r="J43" s="630" t="e">
        <f t="shared" si="5"/>
        <v>#DIV/0!</v>
      </c>
      <c r="K43" s="631" t="e">
        <f t="shared" si="0"/>
        <v>#N/A</v>
      </c>
      <c r="L43" s="631">
        <f t="shared" si="6"/>
        <v>0</v>
      </c>
      <c r="M43" s="615" t="e">
        <f t="shared" si="1"/>
        <v>#N/A</v>
      </c>
      <c r="N43" s="613" t="e">
        <f t="shared" si="2"/>
        <v>#N/A</v>
      </c>
      <c r="O43" s="442" t="str">
        <f t="shared" si="7"/>
        <v/>
      </c>
    </row>
    <row r="44" spans="1:15">
      <c r="A44" s="624"/>
      <c r="B44" s="484"/>
      <c r="C44" s="628"/>
      <c r="D44" s="628"/>
      <c r="E44" s="484"/>
      <c r="F44" s="484"/>
      <c r="G44" s="613" t="e">
        <f t="shared" si="3"/>
        <v>#N/A</v>
      </c>
      <c r="H44" s="627"/>
      <c r="I44" s="614">
        <f t="shared" si="4"/>
        <v>0</v>
      </c>
      <c r="J44" s="630" t="e">
        <f t="shared" si="5"/>
        <v>#DIV/0!</v>
      </c>
      <c r="K44" s="631" t="e">
        <f t="shared" si="0"/>
        <v>#N/A</v>
      </c>
      <c r="L44" s="631">
        <f t="shared" si="6"/>
        <v>0</v>
      </c>
      <c r="M44" s="615" t="e">
        <f t="shared" si="1"/>
        <v>#N/A</v>
      </c>
      <c r="N44" s="613" t="e">
        <f t="shared" si="2"/>
        <v>#N/A</v>
      </c>
      <c r="O44" s="442" t="str">
        <f t="shared" si="7"/>
        <v/>
      </c>
    </row>
    <row r="45" spans="1:15">
      <c r="A45" s="624"/>
      <c r="B45" s="484"/>
      <c r="C45" s="628"/>
      <c r="D45" s="628"/>
      <c r="E45" s="484"/>
      <c r="F45" s="484"/>
      <c r="G45" s="613" t="e">
        <f t="shared" si="3"/>
        <v>#N/A</v>
      </c>
      <c r="H45" s="627"/>
      <c r="I45" s="614">
        <f t="shared" si="4"/>
        <v>0</v>
      </c>
      <c r="J45" s="630" t="e">
        <f t="shared" si="5"/>
        <v>#DIV/0!</v>
      </c>
      <c r="K45" s="631" t="e">
        <f t="shared" si="0"/>
        <v>#N/A</v>
      </c>
      <c r="L45" s="631">
        <f t="shared" si="6"/>
        <v>0</v>
      </c>
      <c r="M45" s="615" t="e">
        <f t="shared" si="1"/>
        <v>#N/A</v>
      </c>
      <c r="N45" s="613" t="e">
        <f t="shared" si="2"/>
        <v>#N/A</v>
      </c>
      <c r="O45" s="442" t="str">
        <f t="shared" si="7"/>
        <v/>
      </c>
    </row>
    <row r="46" spans="1:15">
      <c r="A46" s="624"/>
      <c r="B46" s="484"/>
      <c r="C46" s="628"/>
      <c r="D46" s="628"/>
      <c r="E46" s="484"/>
      <c r="F46" s="484"/>
      <c r="G46" s="613" t="e">
        <f t="shared" si="3"/>
        <v>#N/A</v>
      </c>
      <c r="H46" s="627"/>
      <c r="I46" s="614">
        <f t="shared" si="4"/>
        <v>0</v>
      </c>
      <c r="J46" s="630" t="e">
        <f t="shared" si="5"/>
        <v>#DIV/0!</v>
      </c>
      <c r="K46" s="631" t="e">
        <f t="shared" si="0"/>
        <v>#N/A</v>
      </c>
      <c r="L46" s="631">
        <f t="shared" si="6"/>
        <v>0</v>
      </c>
      <c r="M46" s="615" t="e">
        <f t="shared" si="1"/>
        <v>#N/A</v>
      </c>
      <c r="N46" s="613" t="e">
        <f t="shared" si="2"/>
        <v>#N/A</v>
      </c>
      <c r="O46" s="442" t="str">
        <f t="shared" si="7"/>
        <v/>
      </c>
    </row>
    <row r="47" spans="1:15">
      <c r="A47" s="624"/>
      <c r="B47" s="484"/>
      <c r="C47" s="628"/>
      <c r="D47" s="628"/>
      <c r="E47" s="484"/>
      <c r="F47" s="484"/>
      <c r="G47" s="613" t="e">
        <f t="shared" si="3"/>
        <v>#N/A</v>
      </c>
      <c r="H47" s="627"/>
      <c r="I47" s="614">
        <f t="shared" si="4"/>
        <v>0</v>
      </c>
      <c r="J47" s="630" t="e">
        <f t="shared" si="5"/>
        <v>#DIV/0!</v>
      </c>
      <c r="K47" s="631" t="e">
        <f t="shared" si="0"/>
        <v>#N/A</v>
      </c>
      <c r="L47" s="631">
        <f t="shared" si="6"/>
        <v>0</v>
      </c>
      <c r="M47" s="615" t="e">
        <f t="shared" si="1"/>
        <v>#N/A</v>
      </c>
      <c r="N47" s="613" t="e">
        <f t="shared" si="2"/>
        <v>#N/A</v>
      </c>
      <c r="O47" s="442" t="str">
        <f t="shared" si="7"/>
        <v/>
      </c>
    </row>
    <row r="48" spans="1:15">
      <c r="A48" s="624"/>
      <c r="B48" s="484"/>
      <c r="C48" s="628"/>
      <c r="D48" s="628"/>
      <c r="E48" s="484"/>
      <c r="F48" s="484"/>
      <c r="G48" s="613" t="e">
        <f t="shared" si="3"/>
        <v>#N/A</v>
      </c>
      <c r="H48" s="627"/>
      <c r="I48" s="614">
        <f t="shared" si="4"/>
        <v>0</v>
      </c>
      <c r="J48" s="630" t="e">
        <f t="shared" si="5"/>
        <v>#DIV/0!</v>
      </c>
      <c r="K48" s="631" t="e">
        <f t="shared" si="0"/>
        <v>#N/A</v>
      </c>
      <c r="L48" s="631">
        <f t="shared" si="6"/>
        <v>0</v>
      </c>
      <c r="M48" s="615" t="e">
        <f t="shared" si="1"/>
        <v>#N/A</v>
      </c>
      <c r="N48" s="613" t="e">
        <f t="shared" si="2"/>
        <v>#N/A</v>
      </c>
      <c r="O48" s="442" t="str">
        <f t="shared" si="7"/>
        <v/>
      </c>
    </row>
    <row r="49" spans="1:15">
      <c r="A49" s="623"/>
      <c r="B49" s="484"/>
      <c r="C49" s="628"/>
      <c r="D49" s="628"/>
      <c r="E49" s="484"/>
      <c r="F49" s="484"/>
      <c r="G49" s="613" t="e">
        <f t="shared" si="3"/>
        <v>#N/A</v>
      </c>
      <c r="H49" s="627"/>
      <c r="I49" s="614">
        <f t="shared" si="4"/>
        <v>0</v>
      </c>
      <c r="J49" s="630" t="e">
        <f t="shared" si="5"/>
        <v>#DIV/0!</v>
      </c>
      <c r="K49" s="631" t="e">
        <f t="shared" si="0"/>
        <v>#N/A</v>
      </c>
      <c r="L49" s="631">
        <f t="shared" si="6"/>
        <v>0</v>
      </c>
      <c r="M49" s="615" t="e">
        <f t="shared" si="1"/>
        <v>#N/A</v>
      </c>
      <c r="N49" s="613" t="e">
        <f t="shared" si="2"/>
        <v>#N/A</v>
      </c>
      <c r="O49" s="442" t="str">
        <f t="shared" si="7"/>
        <v/>
      </c>
    </row>
    <row r="50" spans="1:15">
      <c r="A50" s="624"/>
      <c r="B50" s="484"/>
      <c r="C50" s="628"/>
      <c r="D50" s="628"/>
      <c r="E50" s="484"/>
      <c r="F50" s="484"/>
      <c r="G50" s="613" t="e">
        <f t="shared" si="3"/>
        <v>#N/A</v>
      </c>
      <c r="H50" s="627"/>
      <c r="I50" s="614">
        <f t="shared" si="4"/>
        <v>0</v>
      </c>
      <c r="J50" s="630" t="e">
        <f t="shared" si="5"/>
        <v>#DIV/0!</v>
      </c>
      <c r="K50" s="631" t="e">
        <f t="shared" si="0"/>
        <v>#N/A</v>
      </c>
      <c r="L50" s="631">
        <f t="shared" si="6"/>
        <v>0</v>
      </c>
      <c r="M50" s="615" t="e">
        <f t="shared" si="1"/>
        <v>#N/A</v>
      </c>
      <c r="N50" s="613" t="e">
        <f t="shared" si="2"/>
        <v>#N/A</v>
      </c>
      <c r="O50" s="442" t="str">
        <f t="shared" si="7"/>
        <v/>
      </c>
    </row>
    <row r="51" spans="1:15">
      <c r="A51" s="624"/>
      <c r="B51" s="484"/>
      <c r="C51" s="628"/>
      <c r="D51" s="628"/>
      <c r="E51" s="484"/>
      <c r="F51" s="484"/>
      <c r="G51" s="613" t="e">
        <f t="shared" si="3"/>
        <v>#N/A</v>
      </c>
      <c r="H51" s="627"/>
      <c r="I51" s="614">
        <f t="shared" si="4"/>
        <v>0</v>
      </c>
      <c r="J51" s="630" t="e">
        <f t="shared" si="5"/>
        <v>#DIV/0!</v>
      </c>
      <c r="K51" s="631" t="e">
        <f t="shared" si="0"/>
        <v>#N/A</v>
      </c>
      <c r="L51" s="631">
        <f t="shared" si="6"/>
        <v>0</v>
      </c>
      <c r="M51" s="615" t="e">
        <f t="shared" si="1"/>
        <v>#N/A</v>
      </c>
      <c r="N51" s="613" t="e">
        <f t="shared" si="2"/>
        <v>#N/A</v>
      </c>
      <c r="O51" s="442" t="str">
        <f t="shared" si="7"/>
        <v/>
      </c>
    </row>
    <row r="52" spans="1:15">
      <c r="A52" s="625"/>
      <c r="B52" s="484"/>
      <c r="C52" s="628"/>
      <c r="D52" s="628"/>
      <c r="E52" s="484"/>
      <c r="F52" s="484"/>
      <c r="G52" s="613" t="e">
        <f t="shared" si="3"/>
        <v>#N/A</v>
      </c>
      <c r="H52" s="627"/>
      <c r="I52" s="614">
        <f t="shared" si="4"/>
        <v>0</v>
      </c>
      <c r="J52" s="630" t="e">
        <f t="shared" si="5"/>
        <v>#DIV/0!</v>
      </c>
      <c r="K52" s="631" t="e">
        <f t="shared" si="0"/>
        <v>#N/A</v>
      </c>
      <c r="L52" s="631">
        <f t="shared" si="6"/>
        <v>0</v>
      </c>
      <c r="M52" s="615" t="e">
        <f t="shared" si="1"/>
        <v>#N/A</v>
      </c>
      <c r="N52" s="613" t="e">
        <f t="shared" si="2"/>
        <v>#N/A</v>
      </c>
      <c r="O52" s="442" t="str">
        <f t="shared" si="7"/>
        <v/>
      </c>
    </row>
    <row r="53" spans="1:15">
      <c r="A53" s="625"/>
      <c r="B53" s="484"/>
      <c r="C53" s="628"/>
      <c r="D53" s="628"/>
      <c r="E53" s="484"/>
      <c r="F53" s="484"/>
      <c r="G53" s="613" t="e">
        <f t="shared" si="3"/>
        <v>#N/A</v>
      </c>
      <c r="H53" s="627"/>
      <c r="I53" s="614">
        <f t="shared" si="4"/>
        <v>0</v>
      </c>
      <c r="J53" s="630" t="e">
        <f t="shared" si="5"/>
        <v>#DIV/0!</v>
      </c>
      <c r="K53" s="631" t="e">
        <f t="shared" si="0"/>
        <v>#N/A</v>
      </c>
      <c r="L53" s="631">
        <f t="shared" si="6"/>
        <v>0</v>
      </c>
      <c r="M53" s="615" t="e">
        <f t="shared" si="1"/>
        <v>#N/A</v>
      </c>
      <c r="N53" s="613" t="e">
        <f t="shared" si="2"/>
        <v>#N/A</v>
      </c>
      <c r="O53" s="442" t="str">
        <f t="shared" si="7"/>
        <v/>
      </c>
    </row>
    <row r="54" spans="1:15">
      <c r="A54" s="626"/>
      <c r="B54" s="484"/>
      <c r="C54" s="628"/>
      <c r="D54" s="628"/>
      <c r="E54" s="484"/>
      <c r="F54" s="484"/>
      <c r="G54" s="613" t="e">
        <f t="shared" si="3"/>
        <v>#N/A</v>
      </c>
      <c r="H54" s="627"/>
      <c r="I54" s="614">
        <f t="shared" si="4"/>
        <v>0</v>
      </c>
      <c r="J54" s="630" t="e">
        <f t="shared" si="5"/>
        <v>#DIV/0!</v>
      </c>
      <c r="K54" s="631" t="e">
        <f t="shared" si="0"/>
        <v>#N/A</v>
      </c>
      <c r="L54" s="631">
        <f t="shared" si="6"/>
        <v>0</v>
      </c>
      <c r="M54" s="615" t="e">
        <f t="shared" si="1"/>
        <v>#N/A</v>
      </c>
      <c r="N54" s="613" t="e">
        <f t="shared" si="2"/>
        <v>#N/A</v>
      </c>
      <c r="O54" s="442" t="str">
        <f t="shared" si="7"/>
        <v/>
      </c>
    </row>
    <row r="55" spans="1:15">
      <c r="A55" s="626"/>
      <c r="B55" s="484"/>
      <c r="C55" s="629"/>
      <c r="D55" s="628"/>
      <c r="E55" s="484"/>
      <c r="F55" s="484"/>
      <c r="G55" s="613" t="e">
        <f t="shared" si="3"/>
        <v>#N/A</v>
      </c>
      <c r="H55" s="627"/>
      <c r="I55" s="614">
        <f t="shared" si="4"/>
        <v>0</v>
      </c>
      <c r="J55" s="630" t="e">
        <f t="shared" si="5"/>
        <v>#DIV/0!</v>
      </c>
      <c r="K55" s="631" t="e">
        <f t="shared" si="0"/>
        <v>#N/A</v>
      </c>
      <c r="L55" s="631">
        <f t="shared" si="6"/>
        <v>0</v>
      </c>
      <c r="M55" s="615" t="e">
        <f t="shared" si="1"/>
        <v>#N/A</v>
      </c>
      <c r="N55" s="613" t="e">
        <f t="shared" si="2"/>
        <v>#N/A</v>
      </c>
      <c r="O55" s="442" t="str">
        <f t="shared" si="7"/>
        <v/>
      </c>
    </row>
    <row r="56" spans="1:15">
      <c r="A56" s="626"/>
      <c r="B56" s="484"/>
      <c r="C56" s="628"/>
      <c r="D56" s="628"/>
      <c r="E56" s="484"/>
      <c r="F56" s="484"/>
      <c r="G56" s="613" t="e">
        <f t="shared" si="3"/>
        <v>#N/A</v>
      </c>
      <c r="H56" s="627"/>
      <c r="I56" s="614">
        <f t="shared" si="4"/>
        <v>0</v>
      </c>
      <c r="J56" s="630" t="e">
        <f t="shared" si="5"/>
        <v>#DIV/0!</v>
      </c>
      <c r="K56" s="631" t="e">
        <f t="shared" si="0"/>
        <v>#N/A</v>
      </c>
      <c r="L56" s="631">
        <f t="shared" si="6"/>
        <v>0</v>
      </c>
      <c r="M56" s="615" t="e">
        <f t="shared" si="1"/>
        <v>#N/A</v>
      </c>
      <c r="N56" s="613" t="e">
        <f t="shared" si="2"/>
        <v>#N/A</v>
      </c>
      <c r="O56" s="442" t="str">
        <f t="shared" si="7"/>
        <v/>
      </c>
    </row>
    <row r="57" spans="1:15">
      <c r="A57" s="626"/>
      <c r="B57" s="484"/>
      <c r="C57" s="628"/>
      <c r="D57" s="628"/>
      <c r="E57" s="484"/>
      <c r="F57" s="484"/>
      <c r="G57" s="613" t="e">
        <f t="shared" si="3"/>
        <v>#N/A</v>
      </c>
      <c r="H57" s="627"/>
      <c r="I57" s="614">
        <f t="shared" si="4"/>
        <v>0</v>
      </c>
      <c r="J57" s="630" t="e">
        <f t="shared" si="5"/>
        <v>#DIV/0!</v>
      </c>
      <c r="K57" s="631" t="e">
        <f t="shared" si="0"/>
        <v>#N/A</v>
      </c>
      <c r="L57" s="631">
        <f t="shared" si="6"/>
        <v>0</v>
      </c>
      <c r="M57" s="615" t="e">
        <f t="shared" si="1"/>
        <v>#N/A</v>
      </c>
      <c r="N57" s="613" t="e">
        <f t="shared" si="2"/>
        <v>#N/A</v>
      </c>
      <c r="O57" s="442" t="str">
        <f t="shared" si="7"/>
        <v/>
      </c>
    </row>
    <row r="58" spans="1:15">
      <c r="A58" s="626"/>
      <c r="B58" s="484"/>
      <c r="C58" s="628"/>
      <c r="D58" s="628"/>
      <c r="E58" s="484"/>
      <c r="F58" s="484"/>
      <c r="G58" s="613" t="e">
        <f t="shared" si="3"/>
        <v>#N/A</v>
      </c>
      <c r="H58" s="627"/>
      <c r="I58" s="614">
        <f t="shared" si="4"/>
        <v>0</v>
      </c>
      <c r="J58" s="630" t="e">
        <f t="shared" si="5"/>
        <v>#DIV/0!</v>
      </c>
      <c r="K58" s="631" t="e">
        <f t="shared" si="0"/>
        <v>#N/A</v>
      </c>
      <c r="L58" s="631">
        <f t="shared" si="6"/>
        <v>0</v>
      </c>
      <c r="M58" s="615" t="e">
        <f t="shared" si="1"/>
        <v>#N/A</v>
      </c>
      <c r="N58" s="613" t="e">
        <f t="shared" si="2"/>
        <v>#N/A</v>
      </c>
      <c r="O58" s="442" t="str">
        <f t="shared" si="7"/>
        <v/>
      </c>
    </row>
    <row r="59" spans="1:15">
      <c r="A59" s="626"/>
      <c r="B59" s="484"/>
      <c r="C59" s="628"/>
      <c r="D59" s="628"/>
      <c r="E59" s="484"/>
      <c r="F59" s="484"/>
      <c r="G59" s="613" t="e">
        <f t="shared" si="3"/>
        <v>#N/A</v>
      </c>
      <c r="H59" s="627"/>
      <c r="I59" s="614">
        <f t="shared" si="4"/>
        <v>0</v>
      </c>
      <c r="J59" s="630" t="e">
        <f t="shared" si="5"/>
        <v>#DIV/0!</v>
      </c>
      <c r="K59" s="631" t="e">
        <f t="shared" si="0"/>
        <v>#N/A</v>
      </c>
      <c r="L59" s="631">
        <f t="shared" si="6"/>
        <v>0</v>
      </c>
      <c r="M59" s="615" t="e">
        <f t="shared" si="1"/>
        <v>#N/A</v>
      </c>
      <c r="N59" s="613" t="e">
        <f t="shared" si="2"/>
        <v>#N/A</v>
      </c>
      <c r="O59" s="442" t="str">
        <f t="shared" si="7"/>
        <v/>
      </c>
    </row>
    <row r="60" spans="1:15">
      <c r="A60" s="626"/>
      <c r="B60" s="484"/>
      <c r="C60" s="628"/>
      <c r="D60" s="628"/>
      <c r="E60" s="484"/>
      <c r="F60" s="484"/>
      <c r="G60" s="613" t="e">
        <f t="shared" si="3"/>
        <v>#N/A</v>
      </c>
      <c r="H60" s="627"/>
      <c r="I60" s="614">
        <f t="shared" si="4"/>
        <v>0</v>
      </c>
      <c r="J60" s="630" t="e">
        <f t="shared" si="5"/>
        <v>#DIV/0!</v>
      </c>
      <c r="K60" s="631" t="e">
        <f t="shared" si="0"/>
        <v>#N/A</v>
      </c>
      <c r="L60" s="631">
        <f t="shared" si="6"/>
        <v>0</v>
      </c>
      <c r="M60" s="615" t="e">
        <f t="shared" si="1"/>
        <v>#N/A</v>
      </c>
      <c r="N60" s="613" t="e">
        <f t="shared" si="2"/>
        <v>#N/A</v>
      </c>
      <c r="O60" s="442" t="str">
        <f t="shared" si="7"/>
        <v/>
      </c>
    </row>
    <row r="61" spans="1:15">
      <c r="A61" s="626"/>
      <c r="B61" s="484"/>
      <c r="C61" s="629"/>
      <c r="D61" s="628"/>
      <c r="E61" s="484"/>
      <c r="F61" s="484"/>
      <c r="G61" s="613" t="e">
        <f t="shared" si="3"/>
        <v>#N/A</v>
      </c>
      <c r="H61" s="627"/>
      <c r="I61" s="614">
        <f t="shared" si="4"/>
        <v>0</v>
      </c>
      <c r="J61" s="630" t="e">
        <f t="shared" si="5"/>
        <v>#DIV/0!</v>
      </c>
      <c r="K61" s="631" t="e">
        <f t="shared" si="0"/>
        <v>#N/A</v>
      </c>
      <c r="L61" s="631">
        <f t="shared" si="6"/>
        <v>0</v>
      </c>
      <c r="M61" s="615" t="e">
        <f t="shared" si="1"/>
        <v>#N/A</v>
      </c>
      <c r="N61" s="613" t="e">
        <f t="shared" si="2"/>
        <v>#N/A</v>
      </c>
      <c r="O61" s="442" t="str">
        <f t="shared" si="7"/>
        <v/>
      </c>
    </row>
    <row r="62" spans="1:15">
      <c r="A62" s="626"/>
      <c r="B62" s="484"/>
      <c r="C62" s="628"/>
      <c r="D62" s="628"/>
      <c r="E62" s="484"/>
      <c r="F62" s="484"/>
      <c r="G62" s="613" t="e">
        <f t="shared" si="3"/>
        <v>#N/A</v>
      </c>
      <c r="H62" s="627"/>
      <c r="I62" s="614">
        <f t="shared" si="4"/>
        <v>0</v>
      </c>
      <c r="J62" s="630" t="e">
        <f t="shared" si="5"/>
        <v>#DIV/0!</v>
      </c>
      <c r="K62" s="631" t="e">
        <f t="shared" si="0"/>
        <v>#N/A</v>
      </c>
      <c r="L62" s="631">
        <f t="shared" si="6"/>
        <v>0</v>
      </c>
      <c r="M62" s="615" t="e">
        <f t="shared" si="1"/>
        <v>#N/A</v>
      </c>
      <c r="N62" s="613" t="e">
        <f t="shared" si="2"/>
        <v>#N/A</v>
      </c>
      <c r="O62" s="442" t="str">
        <f t="shared" si="7"/>
        <v/>
      </c>
    </row>
    <row r="63" spans="1:15">
      <c r="A63" s="626"/>
      <c r="B63" s="484"/>
      <c r="C63" s="628"/>
      <c r="D63" s="628"/>
      <c r="E63" s="484"/>
      <c r="F63" s="484"/>
      <c r="G63" s="613" t="e">
        <f t="shared" si="3"/>
        <v>#N/A</v>
      </c>
      <c r="H63" s="627"/>
      <c r="I63" s="614">
        <f t="shared" si="4"/>
        <v>0</v>
      </c>
      <c r="J63" s="630" t="e">
        <f t="shared" si="5"/>
        <v>#DIV/0!</v>
      </c>
      <c r="K63" s="631" t="e">
        <f t="shared" si="0"/>
        <v>#N/A</v>
      </c>
      <c r="L63" s="631">
        <f t="shared" si="6"/>
        <v>0</v>
      </c>
      <c r="M63" s="615" t="e">
        <f t="shared" si="1"/>
        <v>#N/A</v>
      </c>
      <c r="N63" s="613" t="e">
        <f t="shared" si="2"/>
        <v>#N/A</v>
      </c>
      <c r="O63" s="442" t="str">
        <f t="shared" si="7"/>
        <v/>
      </c>
    </row>
    <row r="64" spans="1:15">
      <c r="A64" s="626"/>
      <c r="B64" s="484"/>
      <c r="C64" s="628"/>
      <c r="D64" s="628"/>
      <c r="E64" s="484"/>
      <c r="F64" s="484"/>
      <c r="G64" s="613" t="e">
        <f t="shared" si="3"/>
        <v>#N/A</v>
      </c>
      <c r="H64" s="627"/>
      <c r="I64" s="614">
        <f t="shared" si="4"/>
        <v>0</v>
      </c>
      <c r="J64" s="630" t="e">
        <f t="shared" si="5"/>
        <v>#DIV/0!</v>
      </c>
      <c r="K64" s="631" t="e">
        <f t="shared" si="0"/>
        <v>#N/A</v>
      </c>
      <c r="L64" s="631">
        <f t="shared" si="6"/>
        <v>0</v>
      </c>
      <c r="M64" s="615" t="e">
        <f t="shared" si="1"/>
        <v>#N/A</v>
      </c>
      <c r="N64" s="613" t="e">
        <f t="shared" si="2"/>
        <v>#N/A</v>
      </c>
      <c r="O64" s="442" t="str">
        <f t="shared" si="7"/>
        <v/>
      </c>
    </row>
    <row r="65" spans="1:15">
      <c r="A65" s="626"/>
      <c r="B65" s="484"/>
      <c r="C65" s="628"/>
      <c r="D65" s="628"/>
      <c r="E65" s="484"/>
      <c r="F65" s="484"/>
      <c r="G65" s="613" t="e">
        <f t="shared" si="3"/>
        <v>#N/A</v>
      </c>
      <c r="H65" s="627"/>
      <c r="I65" s="614">
        <f t="shared" si="4"/>
        <v>0</v>
      </c>
      <c r="J65" s="630" t="e">
        <f t="shared" si="5"/>
        <v>#DIV/0!</v>
      </c>
      <c r="K65" s="631" t="e">
        <f t="shared" si="0"/>
        <v>#N/A</v>
      </c>
      <c r="L65" s="631">
        <f t="shared" si="6"/>
        <v>0</v>
      </c>
      <c r="M65" s="615" t="e">
        <f t="shared" si="1"/>
        <v>#N/A</v>
      </c>
      <c r="N65" s="613" t="e">
        <f t="shared" si="2"/>
        <v>#N/A</v>
      </c>
      <c r="O65" s="442" t="str">
        <f t="shared" si="7"/>
        <v/>
      </c>
    </row>
    <row r="66" spans="1:15">
      <c r="A66" s="626"/>
      <c r="B66" s="484"/>
      <c r="C66" s="628"/>
      <c r="D66" s="628"/>
      <c r="E66" s="484"/>
      <c r="F66" s="484"/>
      <c r="G66" s="613" t="e">
        <f t="shared" si="3"/>
        <v>#N/A</v>
      </c>
      <c r="H66" s="627"/>
      <c r="I66" s="614">
        <f t="shared" si="4"/>
        <v>0</v>
      </c>
      <c r="J66" s="630" t="e">
        <f t="shared" si="5"/>
        <v>#DIV/0!</v>
      </c>
      <c r="K66" s="631" t="e">
        <f t="shared" si="0"/>
        <v>#N/A</v>
      </c>
      <c r="L66" s="631">
        <f t="shared" si="6"/>
        <v>0</v>
      </c>
      <c r="M66" s="615" t="e">
        <f t="shared" si="1"/>
        <v>#N/A</v>
      </c>
      <c r="N66" s="613" t="e">
        <f t="shared" si="2"/>
        <v>#N/A</v>
      </c>
      <c r="O66" s="442" t="str">
        <f t="shared" si="7"/>
        <v/>
      </c>
    </row>
    <row r="67" spans="1:15">
      <c r="A67" s="626"/>
      <c r="B67" s="484"/>
      <c r="C67" s="629"/>
      <c r="D67" s="628"/>
      <c r="E67" s="484"/>
      <c r="F67" s="484"/>
      <c r="G67" s="613" t="e">
        <f t="shared" si="3"/>
        <v>#N/A</v>
      </c>
      <c r="H67" s="627"/>
      <c r="I67" s="614">
        <f t="shared" si="4"/>
        <v>0</v>
      </c>
      <c r="J67" s="630" t="e">
        <f t="shared" si="5"/>
        <v>#DIV/0!</v>
      </c>
      <c r="K67" s="631" t="e">
        <f t="shared" si="0"/>
        <v>#N/A</v>
      </c>
      <c r="L67" s="631">
        <f t="shared" si="6"/>
        <v>0</v>
      </c>
      <c r="M67" s="615" t="e">
        <f t="shared" si="1"/>
        <v>#N/A</v>
      </c>
      <c r="N67" s="613" t="e">
        <f t="shared" si="2"/>
        <v>#N/A</v>
      </c>
      <c r="O67" s="442" t="str">
        <f t="shared" si="7"/>
        <v/>
      </c>
    </row>
    <row r="68" spans="1:15">
      <c r="A68" s="626"/>
      <c r="B68" s="484"/>
      <c r="C68" s="628"/>
      <c r="D68" s="628"/>
      <c r="E68" s="484"/>
      <c r="F68" s="484"/>
      <c r="G68" s="613" t="e">
        <f t="shared" si="3"/>
        <v>#N/A</v>
      </c>
      <c r="H68" s="627"/>
      <c r="I68" s="614">
        <f t="shared" si="4"/>
        <v>0</v>
      </c>
      <c r="J68" s="630" t="e">
        <f t="shared" si="5"/>
        <v>#DIV/0!</v>
      </c>
      <c r="K68" s="631" t="e">
        <f t="shared" si="0"/>
        <v>#N/A</v>
      </c>
      <c r="L68" s="631">
        <f t="shared" si="6"/>
        <v>0</v>
      </c>
      <c r="M68" s="615" t="e">
        <f t="shared" si="1"/>
        <v>#N/A</v>
      </c>
      <c r="N68" s="613" t="e">
        <f t="shared" si="2"/>
        <v>#N/A</v>
      </c>
      <c r="O68" s="442" t="str">
        <f t="shared" si="7"/>
        <v/>
      </c>
    </row>
    <row r="69" spans="1:15">
      <c r="A69" s="626"/>
      <c r="B69" s="484"/>
      <c r="C69" s="628"/>
      <c r="D69" s="628"/>
      <c r="E69" s="484"/>
      <c r="F69" s="484"/>
      <c r="G69" s="613" t="e">
        <f t="shared" si="3"/>
        <v>#N/A</v>
      </c>
      <c r="H69" s="627"/>
      <c r="I69" s="614">
        <f t="shared" si="4"/>
        <v>0</v>
      </c>
      <c r="J69" s="630" t="e">
        <f t="shared" si="5"/>
        <v>#DIV/0!</v>
      </c>
      <c r="K69" s="631" t="e">
        <f t="shared" si="0"/>
        <v>#N/A</v>
      </c>
      <c r="L69" s="631">
        <f t="shared" si="6"/>
        <v>0</v>
      </c>
      <c r="M69" s="615" t="e">
        <f t="shared" si="1"/>
        <v>#N/A</v>
      </c>
      <c r="N69" s="613" t="e">
        <f t="shared" si="2"/>
        <v>#N/A</v>
      </c>
      <c r="O69" s="442" t="str">
        <f t="shared" si="7"/>
        <v/>
      </c>
    </row>
    <row r="70" spans="1:15">
      <c r="A70" s="626"/>
      <c r="B70" s="484"/>
      <c r="C70" s="628"/>
      <c r="D70" s="628"/>
      <c r="E70" s="484"/>
      <c r="F70" s="484"/>
      <c r="G70" s="613" t="e">
        <f t="shared" si="3"/>
        <v>#N/A</v>
      </c>
      <c r="H70" s="627"/>
      <c r="I70" s="614">
        <f t="shared" si="4"/>
        <v>0</v>
      </c>
      <c r="J70" s="630" t="e">
        <f t="shared" si="5"/>
        <v>#DIV/0!</v>
      </c>
      <c r="K70" s="631" t="e">
        <f t="shared" si="0"/>
        <v>#N/A</v>
      </c>
      <c r="L70" s="631">
        <f t="shared" si="6"/>
        <v>0</v>
      </c>
      <c r="M70" s="615" t="e">
        <f t="shared" si="1"/>
        <v>#N/A</v>
      </c>
      <c r="N70" s="613" t="e">
        <f t="shared" si="2"/>
        <v>#N/A</v>
      </c>
      <c r="O70" s="442" t="str">
        <f t="shared" si="7"/>
        <v/>
      </c>
    </row>
    <row r="71" spans="1:15">
      <c r="A71" s="626"/>
      <c r="B71" s="484"/>
      <c r="C71" s="628"/>
      <c r="D71" s="628"/>
      <c r="E71" s="484"/>
      <c r="F71" s="484"/>
      <c r="G71" s="613" t="e">
        <f t="shared" si="3"/>
        <v>#N/A</v>
      </c>
      <c r="H71" s="627"/>
      <c r="I71" s="614">
        <f t="shared" si="4"/>
        <v>0</v>
      </c>
      <c r="J71" s="630" t="e">
        <f t="shared" si="5"/>
        <v>#DIV/0!</v>
      </c>
      <c r="K71" s="631" t="e">
        <f t="shared" si="0"/>
        <v>#N/A</v>
      </c>
      <c r="L71" s="631">
        <f t="shared" si="6"/>
        <v>0</v>
      </c>
      <c r="M71" s="615" t="e">
        <f t="shared" si="1"/>
        <v>#N/A</v>
      </c>
      <c r="N71" s="613" t="e">
        <f t="shared" si="2"/>
        <v>#N/A</v>
      </c>
      <c r="O71" s="442" t="str">
        <f t="shared" si="7"/>
        <v/>
      </c>
    </row>
    <row r="72" spans="1:15">
      <c r="A72" s="626"/>
      <c r="B72" s="484"/>
      <c r="C72" s="628"/>
      <c r="D72" s="628"/>
      <c r="E72" s="484"/>
      <c r="F72" s="484"/>
      <c r="G72" s="613" t="e">
        <f t="shared" si="3"/>
        <v>#N/A</v>
      </c>
      <c r="H72" s="627"/>
      <c r="I72" s="614">
        <f t="shared" si="4"/>
        <v>0</v>
      </c>
      <c r="J72" s="630" t="e">
        <f t="shared" si="5"/>
        <v>#DIV/0!</v>
      </c>
      <c r="K72" s="631" t="e">
        <f t="shared" si="0"/>
        <v>#N/A</v>
      </c>
      <c r="L72" s="631">
        <f t="shared" si="6"/>
        <v>0</v>
      </c>
      <c r="M72" s="615" t="e">
        <f t="shared" si="1"/>
        <v>#N/A</v>
      </c>
      <c r="N72" s="613" t="e">
        <f t="shared" si="2"/>
        <v>#N/A</v>
      </c>
      <c r="O72" s="442" t="str">
        <f t="shared" si="7"/>
        <v/>
      </c>
    </row>
    <row r="73" spans="1:15">
      <c r="A73" s="626"/>
      <c r="B73" s="484"/>
      <c r="C73" s="629"/>
      <c r="D73" s="628"/>
      <c r="E73" s="484"/>
      <c r="F73" s="484"/>
      <c r="G73" s="613" t="e">
        <f t="shared" si="3"/>
        <v>#N/A</v>
      </c>
      <c r="H73" s="627"/>
      <c r="I73" s="614">
        <f t="shared" si="4"/>
        <v>0</v>
      </c>
      <c r="J73" s="630" t="e">
        <f t="shared" si="5"/>
        <v>#DIV/0!</v>
      </c>
      <c r="K73" s="631" t="e">
        <f t="shared" si="0"/>
        <v>#N/A</v>
      </c>
      <c r="L73" s="631">
        <f t="shared" si="6"/>
        <v>0</v>
      </c>
      <c r="M73" s="615" t="e">
        <f t="shared" si="1"/>
        <v>#N/A</v>
      </c>
      <c r="N73" s="613" t="e">
        <f t="shared" si="2"/>
        <v>#N/A</v>
      </c>
      <c r="O73" s="442" t="str">
        <f t="shared" si="7"/>
        <v/>
      </c>
    </row>
    <row r="74" spans="1:15" ht="12" customHeight="1">
      <c r="A74" s="626"/>
      <c r="B74" s="484"/>
      <c r="C74" s="628"/>
      <c r="D74" s="628"/>
      <c r="E74" s="484"/>
      <c r="F74" s="484"/>
      <c r="G74" s="613" t="e">
        <f t="shared" si="3"/>
        <v>#N/A</v>
      </c>
      <c r="H74" s="627"/>
      <c r="I74" s="614">
        <f t="shared" si="4"/>
        <v>0</v>
      </c>
      <c r="J74" s="630" t="e">
        <f t="shared" si="5"/>
        <v>#DIV/0!</v>
      </c>
      <c r="K74" s="631" t="e">
        <f t="shared" si="0"/>
        <v>#N/A</v>
      </c>
      <c r="L74" s="631">
        <f t="shared" si="6"/>
        <v>0</v>
      </c>
      <c r="M74" s="615" t="e">
        <f t="shared" si="1"/>
        <v>#N/A</v>
      </c>
      <c r="N74" s="613" t="e">
        <f t="shared" si="2"/>
        <v>#N/A</v>
      </c>
      <c r="O74" s="442" t="str">
        <f t="shared" si="7"/>
        <v/>
      </c>
    </row>
    <row r="75" spans="1:15">
      <c r="A75" s="626"/>
      <c r="B75" s="484"/>
      <c r="C75" s="628"/>
      <c r="D75" s="628"/>
      <c r="E75" s="484"/>
      <c r="F75" s="484"/>
      <c r="G75" s="613" t="e">
        <f t="shared" si="3"/>
        <v>#N/A</v>
      </c>
      <c r="H75" s="627"/>
      <c r="I75" s="614">
        <f t="shared" si="4"/>
        <v>0</v>
      </c>
      <c r="J75" s="630" t="e">
        <f t="shared" si="5"/>
        <v>#DIV/0!</v>
      </c>
      <c r="K75" s="631" t="e">
        <f t="shared" si="0"/>
        <v>#N/A</v>
      </c>
      <c r="L75" s="631">
        <f t="shared" si="6"/>
        <v>0</v>
      </c>
      <c r="M75" s="615" t="e">
        <f t="shared" si="1"/>
        <v>#N/A</v>
      </c>
      <c r="N75" s="613" t="e">
        <f t="shared" si="2"/>
        <v>#N/A</v>
      </c>
      <c r="O75" s="442" t="str">
        <f t="shared" si="7"/>
        <v/>
      </c>
    </row>
    <row r="76" spans="1:15">
      <c r="A76" s="626"/>
      <c r="B76" s="484"/>
      <c r="C76" s="628"/>
      <c r="D76" s="628"/>
      <c r="E76" s="484"/>
      <c r="F76" s="484"/>
      <c r="G76" s="613" t="e">
        <f t="shared" si="3"/>
        <v>#N/A</v>
      </c>
      <c r="H76" s="627"/>
      <c r="I76" s="614">
        <f t="shared" si="4"/>
        <v>0</v>
      </c>
      <c r="J76" s="630" t="e">
        <f t="shared" si="5"/>
        <v>#DIV/0!</v>
      </c>
      <c r="K76" s="631" t="e">
        <f t="shared" si="0"/>
        <v>#N/A</v>
      </c>
      <c r="L76" s="631">
        <f t="shared" si="6"/>
        <v>0</v>
      </c>
      <c r="M76" s="615" t="e">
        <f t="shared" si="1"/>
        <v>#N/A</v>
      </c>
      <c r="N76" s="613" t="e">
        <f t="shared" si="2"/>
        <v>#N/A</v>
      </c>
      <c r="O76" s="442" t="str">
        <f t="shared" si="7"/>
        <v/>
      </c>
    </row>
    <row r="77" spans="1:15">
      <c r="A77" s="626"/>
      <c r="B77" s="484"/>
      <c r="C77" s="628"/>
      <c r="D77" s="628"/>
      <c r="E77" s="484"/>
      <c r="F77" s="484"/>
      <c r="G77" s="613" t="e">
        <f t="shared" si="3"/>
        <v>#N/A</v>
      </c>
      <c r="H77" s="627"/>
      <c r="I77" s="614">
        <f t="shared" si="4"/>
        <v>0</v>
      </c>
      <c r="J77" s="630" t="e">
        <f t="shared" si="5"/>
        <v>#DIV/0!</v>
      </c>
      <c r="K77" s="631" t="e">
        <f t="shared" si="0"/>
        <v>#N/A</v>
      </c>
      <c r="L77" s="631">
        <f t="shared" si="6"/>
        <v>0</v>
      </c>
      <c r="M77" s="615" t="e">
        <f t="shared" si="1"/>
        <v>#N/A</v>
      </c>
      <c r="N77" s="613" t="e">
        <f t="shared" si="2"/>
        <v>#N/A</v>
      </c>
      <c r="O77" s="442" t="str">
        <f t="shared" si="7"/>
        <v/>
      </c>
    </row>
    <row r="78" spans="1:15">
      <c r="A78" s="625"/>
      <c r="B78" s="484"/>
      <c r="C78" s="628"/>
      <c r="D78" s="628"/>
      <c r="E78" s="484"/>
      <c r="F78" s="484"/>
      <c r="G78" s="613" t="e">
        <f t="shared" si="3"/>
        <v>#N/A</v>
      </c>
      <c r="H78" s="627"/>
      <c r="I78" s="614">
        <f t="shared" si="4"/>
        <v>0</v>
      </c>
      <c r="J78" s="630" t="e">
        <f t="shared" si="5"/>
        <v>#DIV/0!</v>
      </c>
      <c r="K78" s="631" t="e">
        <f t="shared" si="0"/>
        <v>#N/A</v>
      </c>
      <c r="L78" s="631">
        <f t="shared" si="6"/>
        <v>0</v>
      </c>
      <c r="M78" s="615" t="e">
        <f t="shared" si="1"/>
        <v>#N/A</v>
      </c>
      <c r="N78" s="613" t="e">
        <f t="shared" si="2"/>
        <v>#N/A</v>
      </c>
      <c r="O78" s="442" t="str">
        <f t="shared" si="7"/>
        <v/>
      </c>
    </row>
    <row r="79" spans="1:15">
      <c r="A79" s="625"/>
      <c r="B79" s="484"/>
      <c r="C79" s="628"/>
      <c r="D79" s="628"/>
      <c r="E79" s="484"/>
      <c r="F79" s="484"/>
      <c r="G79" s="613" t="e">
        <f t="shared" si="3"/>
        <v>#N/A</v>
      </c>
      <c r="H79" s="627"/>
      <c r="I79" s="614">
        <f t="shared" si="4"/>
        <v>0</v>
      </c>
      <c r="J79" s="630" t="e">
        <f t="shared" si="5"/>
        <v>#DIV/0!</v>
      </c>
      <c r="K79" s="631" t="e">
        <f t="shared" si="0"/>
        <v>#N/A</v>
      </c>
      <c r="L79" s="631">
        <f t="shared" si="6"/>
        <v>0</v>
      </c>
      <c r="M79" s="615" t="e">
        <f t="shared" si="1"/>
        <v>#N/A</v>
      </c>
      <c r="N79" s="613" t="e">
        <f t="shared" si="2"/>
        <v>#N/A</v>
      </c>
      <c r="O79" s="442" t="str">
        <f t="shared" si="7"/>
        <v/>
      </c>
    </row>
    <row r="80" spans="1:15">
      <c r="A80" s="622"/>
      <c r="B80" s="484"/>
      <c r="C80" s="628"/>
      <c r="D80" s="628"/>
      <c r="E80" s="484"/>
      <c r="F80" s="484"/>
      <c r="G80" s="613" t="e">
        <f t="shared" si="3"/>
        <v>#N/A</v>
      </c>
      <c r="H80" s="627"/>
      <c r="I80" s="614">
        <f t="shared" si="4"/>
        <v>0</v>
      </c>
      <c r="J80" s="630" t="e">
        <f t="shared" si="5"/>
        <v>#DIV/0!</v>
      </c>
      <c r="K80" s="631" t="e">
        <f t="shared" si="0"/>
        <v>#N/A</v>
      </c>
      <c r="L80" s="631">
        <f t="shared" si="6"/>
        <v>0</v>
      </c>
      <c r="M80" s="615" t="e">
        <f t="shared" si="1"/>
        <v>#N/A</v>
      </c>
      <c r="N80" s="613" t="e">
        <f t="shared" si="2"/>
        <v>#N/A</v>
      </c>
      <c r="O80" s="442" t="str">
        <f t="shared" si="7"/>
        <v/>
      </c>
    </row>
    <row r="81" spans="1:15">
      <c r="A81" s="625"/>
      <c r="B81" s="484"/>
      <c r="C81" s="628"/>
      <c r="D81" s="628"/>
      <c r="E81" s="484"/>
      <c r="F81" s="484"/>
      <c r="G81" s="613" t="e">
        <f t="shared" si="3"/>
        <v>#N/A</v>
      </c>
      <c r="H81" s="627"/>
      <c r="I81" s="614">
        <f t="shared" si="4"/>
        <v>0</v>
      </c>
      <c r="J81" s="630" t="e">
        <f t="shared" si="5"/>
        <v>#DIV/0!</v>
      </c>
      <c r="K81" s="631" t="e">
        <f t="shared" si="0"/>
        <v>#N/A</v>
      </c>
      <c r="L81" s="631">
        <f t="shared" si="6"/>
        <v>0</v>
      </c>
      <c r="M81" s="615" t="e">
        <f t="shared" si="1"/>
        <v>#N/A</v>
      </c>
      <c r="N81" s="613" t="e">
        <f t="shared" si="2"/>
        <v>#N/A</v>
      </c>
      <c r="O81" s="442" t="str">
        <f t="shared" si="7"/>
        <v/>
      </c>
    </row>
    <row r="82" spans="1:15">
      <c r="A82" s="625"/>
      <c r="B82" s="484"/>
      <c r="C82" s="628"/>
      <c r="D82" s="628"/>
      <c r="E82" s="484"/>
      <c r="F82" s="484"/>
      <c r="G82" s="613" t="e">
        <f t="shared" si="3"/>
        <v>#N/A</v>
      </c>
      <c r="H82" s="627"/>
      <c r="I82" s="614">
        <f t="shared" si="4"/>
        <v>0</v>
      </c>
      <c r="J82" s="630" t="e">
        <f t="shared" si="5"/>
        <v>#DIV/0!</v>
      </c>
      <c r="K82" s="631" t="e">
        <f t="shared" si="0"/>
        <v>#N/A</v>
      </c>
      <c r="L82" s="631">
        <f t="shared" si="6"/>
        <v>0</v>
      </c>
      <c r="M82" s="615" t="e">
        <f t="shared" si="1"/>
        <v>#N/A</v>
      </c>
      <c r="N82" s="613" t="e">
        <f t="shared" si="2"/>
        <v>#N/A</v>
      </c>
      <c r="O82" s="442" t="str">
        <f t="shared" si="7"/>
        <v/>
      </c>
    </row>
    <row r="83" spans="1:15">
      <c r="A83" s="625"/>
      <c r="B83" s="484"/>
      <c r="C83" s="629"/>
      <c r="D83" s="628"/>
      <c r="E83" s="484"/>
      <c r="F83" s="484"/>
      <c r="G83" s="613" t="e">
        <f t="shared" si="3"/>
        <v>#N/A</v>
      </c>
      <c r="H83" s="627"/>
      <c r="I83" s="614">
        <f t="shared" si="4"/>
        <v>0</v>
      </c>
      <c r="J83" s="630" t="e">
        <f t="shared" si="5"/>
        <v>#DIV/0!</v>
      </c>
      <c r="K83" s="631" t="e">
        <f t="shared" si="0"/>
        <v>#N/A</v>
      </c>
      <c r="L83" s="631">
        <f t="shared" si="6"/>
        <v>0</v>
      </c>
      <c r="M83" s="615" t="e">
        <f t="shared" si="1"/>
        <v>#N/A</v>
      </c>
      <c r="N83" s="613" t="e">
        <f t="shared" si="2"/>
        <v>#N/A</v>
      </c>
      <c r="O83" s="442" t="str">
        <f t="shared" si="7"/>
        <v/>
      </c>
    </row>
    <row r="84" spans="1:15">
      <c r="A84" s="625"/>
      <c r="B84" s="484"/>
      <c r="C84" s="628"/>
      <c r="D84" s="628"/>
      <c r="E84" s="484"/>
      <c r="F84" s="484"/>
      <c r="G84" s="613" t="e">
        <f t="shared" si="3"/>
        <v>#N/A</v>
      </c>
      <c r="H84" s="627"/>
      <c r="I84" s="614">
        <f t="shared" si="4"/>
        <v>0</v>
      </c>
      <c r="J84" s="630" t="e">
        <f t="shared" si="5"/>
        <v>#DIV/0!</v>
      </c>
      <c r="K84" s="631" t="e">
        <f t="shared" si="0"/>
        <v>#N/A</v>
      </c>
      <c r="L84" s="631">
        <f t="shared" si="6"/>
        <v>0</v>
      </c>
      <c r="M84" s="615" t="e">
        <f t="shared" si="1"/>
        <v>#N/A</v>
      </c>
      <c r="N84" s="613" t="e">
        <f t="shared" si="2"/>
        <v>#N/A</v>
      </c>
      <c r="O84" s="442" t="str">
        <f t="shared" si="7"/>
        <v/>
      </c>
    </row>
    <row r="85" spans="1:15">
      <c r="A85" s="625"/>
      <c r="B85" s="484"/>
      <c r="C85" s="628"/>
      <c r="D85" s="628"/>
      <c r="E85" s="484"/>
      <c r="F85" s="484"/>
      <c r="G85" s="613" t="e">
        <f t="shared" si="3"/>
        <v>#N/A</v>
      </c>
      <c r="H85" s="627"/>
      <c r="I85" s="614">
        <f t="shared" si="4"/>
        <v>0</v>
      </c>
      <c r="J85" s="630" t="e">
        <f t="shared" si="5"/>
        <v>#DIV/0!</v>
      </c>
      <c r="K85" s="631" t="e">
        <f t="shared" si="0"/>
        <v>#N/A</v>
      </c>
      <c r="L85" s="631">
        <f t="shared" si="6"/>
        <v>0</v>
      </c>
      <c r="M85" s="615" t="e">
        <f t="shared" si="1"/>
        <v>#N/A</v>
      </c>
      <c r="N85" s="613" t="e">
        <f t="shared" si="2"/>
        <v>#N/A</v>
      </c>
      <c r="O85" s="442" t="str">
        <f t="shared" si="7"/>
        <v/>
      </c>
    </row>
    <row r="86" spans="1:15">
      <c r="A86" s="625"/>
      <c r="B86" s="484"/>
      <c r="C86" s="629"/>
      <c r="D86" s="628"/>
      <c r="E86" s="484"/>
      <c r="F86" s="484"/>
      <c r="G86" s="613" t="e">
        <f t="shared" si="3"/>
        <v>#N/A</v>
      </c>
      <c r="H86" s="627"/>
      <c r="I86" s="614">
        <f t="shared" si="4"/>
        <v>0</v>
      </c>
      <c r="J86" s="630" t="e">
        <f t="shared" si="5"/>
        <v>#DIV/0!</v>
      </c>
      <c r="K86" s="631" t="e">
        <f t="shared" si="0"/>
        <v>#N/A</v>
      </c>
      <c r="L86" s="631">
        <f t="shared" si="6"/>
        <v>0</v>
      </c>
      <c r="M86" s="615" t="e">
        <f t="shared" si="1"/>
        <v>#N/A</v>
      </c>
      <c r="N86" s="613" t="e">
        <f t="shared" si="2"/>
        <v>#N/A</v>
      </c>
      <c r="O86" s="442" t="str">
        <f t="shared" si="7"/>
        <v/>
      </c>
    </row>
    <row r="87" spans="1:15">
      <c r="A87" s="625"/>
      <c r="B87" s="484"/>
      <c r="C87" s="628"/>
      <c r="D87" s="628"/>
      <c r="E87" s="484"/>
      <c r="F87" s="484"/>
      <c r="G87" s="613" t="e">
        <f t="shared" si="3"/>
        <v>#N/A</v>
      </c>
      <c r="H87" s="627"/>
      <c r="I87" s="614">
        <f t="shared" si="4"/>
        <v>0</v>
      </c>
      <c r="J87" s="630" t="e">
        <f t="shared" si="5"/>
        <v>#DIV/0!</v>
      </c>
      <c r="K87" s="631" t="e">
        <f t="shared" si="0"/>
        <v>#N/A</v>
      </c>
      <c r="L87" s="631">
        <f t="shared" si="6"/>
        <v>0</v>
      </c>
      <c r="M87" s="615" t="e">
        <f t="shared" si="1"/>
        <v>#N/A</v>
      </c>
      <c r="N87" s="613" t="e">
        <f t="shared" si="2"/>
        <v>#N/A</v>
      </c>
      <c r="O87" s="442" t="str">
        <f t="shared" si="7"/>
        <v/>
      </c>
    </row>
    <row r="88" spans="1:15">
      <c r="A88" s="625"/>
      <c r="B88" s="484"/>
      <c r="C88" s="629"/>
      <c r="D88" s="628"/>
      <c r="E88" s="484"/>
      <c r="F88" s="484"/>
      <c r="G88" s="613" t="e">
        <f t="shared" si="3"/>
        <v>#N/A</v>
      </c>
      <c r="H88" s="627"/>
      <c r="I88" s="614">
        <f t="shared" si="4"/>
        <v>0</v>
      </c>
      <c r="J88" s="630" t="e">
        <f t="shared" si="5"/>
        <v>#DIV/0!</v>
      </c>
      <c r="K88" s="631" t="e">
        <f t="shared" si="0"/>
        <v>#N/A</v>
      </c>
      <c r="L88" s="631">
        <f t="shared" si="6"/>
        <v>0</v>
      </c>
      <c r="M88" s="615" t="e">
        <f t="shared" si="1"/>
        <v>#N/A</v>
      </c>
      <c r="N88" s="613" t="e">
        <f t="shared" si="2"/>
        <v>#N/A</v>
      </c>
      <c r="O88" s="442" t="str">
        <f t="shared" si="7"/>
        <v/>
      </c>
    </row>
    <row r="89" spans="1:15">
      <c r="A89" s="625"/>
      <c r="B89" s="484"/>
      <c r="C89" s="628"/>
      <c r="D89" s="628"/>
      <c r="E89" s="484"/>
      <c r="F89" s="484"/>
      <c r="G89" s="613" t="e">
        <f t="shared" si="3"/>
        <v>#N/A</v>
      </c>
      <c r="H89" s="627"/>
      <c r="I89" s="614">
        <f t="shared" si="4"/>
        <v>0</v>
      </c>
      <c r="J89" s="630" t="e">
        <f t="shared" si="5"/>
        <v>#DIV/0!</v>
      </c>
      <c r="K89" s="631" t="e">
        <f t="shared" si="0"/>
        <v>#N/A</v>
      </c>
      <c r="L89" s="631">
        <f t="shared" si="6"/>
        <v>0</v>
      </c>
      <c r="M89" s="615" t="e">
        <f t="shared" si="1"/>
        <v>#N/A</v>
      </c>
      <c r="N89" s="613" t="e">
        <f t="shared" si="2"/>
        <v>#N/A</v>
      </c>
      <c r="O89" s="442" t="str">
        <f t="shared" si="7"/>
        <v/>
      </c>
    </row>
    <row r="90" spans="1:15">
      <c r="A90" s="622"/>
      <c r="B90" s="484"/>
      <c r="C90" s="628"/>
      <c r="D90" s="628"/>
      <c r="E90" s="484"/>
      <c r="F90" s="484"/>
      <c r="G90" s="613" t="e">
        <f t="shared" si="3"/>
        <v>#N/A</v>
      </c>
      <c r="H90" s="627"/>
      <c r="I90" s="614">
        <f t="shared" si="4"/>
        <v>0</v>
      </c>
      <c r="J90" s="630" t="e">
        <f t="shared" si="5"/>
        <v>#DIV/0!</v>
      </c>
      <c r="K90" s="631" t="e">
        <f t="shared" si="0"/>
        <v>#N/A</v>
      </c>
      <c r="L90" s="631">
        <f t="shared" si="6"/>
        <v>0</v>
      </c>
      <c r="M90" s="615" t="e">
        <f t="shared" si="1"/>
        <v>#N/A</v>
      </c>
      <c r="N90" s="613" t="e">
        <f t="shared" si="2"/>
        <v>#N/A</v>
      </c>
      <c r="O90" s="442" t="str">
        <f t="shared" si="7"/>
        <v/>
      </c>
    </row>
    <row r="91" spans="1:15">
      <c r="A91" s="625"/>
      <c r="B91" s="484"/>
      <c r="C91" s="628"/>
      <c r="D91" s="628"/>
      <c r="E91" s="484"/>
      <c r="F91" s="484"/>
      <c r="G91" s="613" t="e">
        <f t="shared" si="3"/>
        <v>#N/A</v>
      </c>
      <c r="H91" s="627"/>
      <c r="I91" s="614">
        <f t="shared" si="4"/>
        <v>0</v>
      </c>
      <c r="J91" s="630" t="e">
        <f t="shared" si="5"/>
        <v>#DIV/0!</v>
      </c>
      <c r="K91" s="631" t="e">
        <f t="shared" si="0"/>
        <v>#N/A</v>
      </c>
      <c r="L91" s="631">
        <f t="shared" si="6"/>
        <v>0</v>
      </c>
      <c r="M91" s="615" t="e">
        <f t="shared" si="1"/>
        <v>#N/A</v>
      </c>
      <c r="N91" s="613" t="e">
        <f t="shared" si="2"/>
        <v>#N/A</v>
      </c>
      <c r="O91" s="442" t="str">
        <f t="shared" si="7"/>
        <v/>
      </c>
    </row>
    <row r="92" spans="1:15">
      <c r="A92" s="625"/>
      <c r="B92" s="484"/>
      <c r="C92" s="628"/>
      <c r="D92" s="628"/>
      <c r="E92" s="484"/>
      <c r="F92" s="484"/>
      <c r="G92" s="613" t="e">
        <f t="shared" si="3"/>
        <v>#N/A</v>
      </c>
      <c r="H92" s="627"/>
      <c r="I92" s="614">
        <f t="shared" si="4"/>
        <v>0</v>
      </c>
      <c r="J92" s="630" t="e">
        <f t="shared" si="5"/>
        <v>#DIV/0!</v>
      </c>
      <c r="K92" s="631" t="e">
        <f t="shared" si="0"/>
        <v>#N/A</v>
      </c>
      <c r="L92" s="631">
        <f t="shared" si="6"/>
        <v>0</v>
      </c>
      <c r="M92" s="615" t="e">
        <f t="shared" si="1"/>
        <v>#N/A</v>
      </c>
      <c r="N92" s="613" t="e">
        <f t="shared" si="2"/>
        <v>#N/A</v>
      </c>
      <c r="O92" s="442" t="str">
        <f t="shared" si="7"/>
        <v/>
      </c>
    </row>
    <row r="93" spans="1:15">
      <c r="A93" s="626"/>
      <c r="B93" s="484"/>
      <c r="C93" s="628"/>
      <c r="D93" s="628"/>
      <c r="E93" s="484"/>
      <c r="F93" s="484"/>
      <c r="G93" s="613" t="e">
        <f t="shared" si="3"/>
        <v>#N/A</v>
      </c>
      <c r="H93" s="627"/>
      <c r="I93" s="614">
        <f t="shared" si="4"/>
        <v>0</v>
      </c>
      <c r="J93" s="630" t="e">
        <f t="shared" si="5"/>
        <v>#DIV/0!</v>
      </c>
      <c r="K93" s="631" t="e">
        <f t="shared" ref="K93:K156" si="8">LOOKUP(D93, LightingSpaceType, LPD)</f>
        <v>#N/A</v>
      </c>
      <c r="L93" s="631">
        <f t="shared" si="6"/>
        <v>0</v>
      </c>
      <c r="M93" s="615" t="e">
        <f t="shared" ref="M93:M156" si="9">IF(D93="Exit Signs","NA", E93*LOOKUP(F93,$I$4:$I$26,$L$4:$L$26)/B93)</f>
        <v>#N/A</v>
      </c>
      <c r="N93" s="613" t="e">
        <f t="shared" ref="N93:N156" si="10">LOOKUP(D93, LightingSpaceType, Footcandles)</f>
        <v>#N/A</v>
      </c>
      <c r="O93" s="442" t="str">
        <f t="shared" si="7"/>
        <v/>
      </c>
    </row>
    <row r="94" spans="1:15">
      <c r="A94" s="626"/>
      <c r="B94" s="484"/>
      <c r="C94" s="629"/>
      <c r="D94" s="628"/>
      <c r="E94" s="484"/>
      <c r="F94" s="484"/>
      <c r="G94" s="613" t="e">
        <f t="shared" ref="G94:G157" si="11">LOOKUP(F94, $I$4:$I$17, $K$4:$K$17)</f>
        <v>#N/A</v>
      </c>
      <c r="H94" s="627"/>
      <c r="I94" s="614">
        <f t="shared" ref="I94:I157" si="12">IF(E94&gt;0, E94*G94*H94, 0)</f>
        <v>0</v>
      </c>
      <c r="J94" s="630" t="e">
        <f t="shared" ref="J94:J157" si="13">IF(D94="Exit Signs","convert to kW", I94/B94)</f>
        <v>#DIV/0!</v>
      </c>
      <c r="K94" s="631" t="e">
        <f t="shared" si="8"/>
        <v>#N/A</v>
      </c>
      <c r="L94" s="631">
        <f t="shared" ref="L94:L157" si="14">IF(D94="Exit Signs", 5*E94, IF(B94&gt;0, K94*B94, 0))</f>
        <v>0</v>
      </c>
      <c r="M94" s="615" t="e">
        <f t="shared" si="9"/>
        <v>#N/A</v>
      </c>
      <c r="N94" s="613" t="e">
        <f t="shared" si="10"/>
        <v>#N/A</v>
      </c>
      <c r="O94" s="442" t="str">
        <f t="shared" ref="O94:O157" si="15">IF(E94&gt;0, IF(M94&lt;N94, "Insufficient lighting to meet IESNA footcandle recommendations.", ""), "")</f>
        <v/>
      </c>
    </row>
    <row r="95" spans="1:15">
      <c r="A95" s="626"/>
      <c r="B95" s="484"/>
      <c r="C95" s="628"/>
      <c r="D95" s="628"/>
      <c r="E95" s="484"/>
      <c r="F95" s="484"/>
      <c r="G95" s="613" t="e">
        <f t="shared" si="11"/>
        <v>#N/A</v>
      </c>
      <c r="H95" s="627"/>
      <c r="I95" s="614">
        <f t="shared" si="12"/>
        <v>0</v>
      </c>
      <c r="J95" s="630" t="e">
        <f t="shared" si="13"/>
        <v>#DIV/0!</v>
      </c>
      <c r="K95" s="631" t="e">
        <f t="shared" si="8"/>
        <v>#N/A</v>
      </c>
      <c r="L95" s="631">
        <f t="shared" si="14"/>
        <v>0</v>
      </c>
      <c r="M95" s="615" t="e">
        <f t="shared" si="9"/>
        <v>#N/A</v>
      </c>
      <c r="N95" s="613" t="e">
        <f t="shared" si="10"/>
        <v>#N/A</v>
      </c>
      <c r="O95" s="442" t="str">
        <f t="shared" si="15"/>
        <v/>
      </c>
    </row>
    <row r="96" spans="1:15">
      <c r="A96" s="626"/>
      <c r="B96" s="484"/>
      <c r="C96" s="628"/>
      <c r="D96" s="628"/>
      <c r="E96" s="484"/>
      <c r="F96" s="484"/>
      <c r="G96" s="613" t="e">
        <f t="shared" si="11"/>
        <v>#N/A</v>
      </c>
      <c r="H96" s="627"/>
      <c r="I96" s="614">
        <f t="shared" si="12"/>
        <v>0</v>
      </c>
      <c r="J96" s="630" t="e">
        <f t="shared" si="13"/>
        <v>#DIV/0!</v>
      </c>
      <c r="K96" s="631" t="e">
        <f t="shared" si="8"/>
        <v>#N/A</v>
      </c>
      <c r="L96" s="631">
        <f t="shared" si="14"/>
        <v>0</v>
      </c>
      <c r="M96" s="615" t="e">
        <f t="shared" si="9"/>
        <v>#N/A</v>
      </c>
      <c r="N96" s="613" t="e">
        <f t="shared" si="10"/>
        <v>#N/A</v>
      </c>
      <c r="O96" s="442" t="str">
        <f t="shared" si="15"/>
        <v/>
      </c>
    </row>
    <row r="97" spans="1:15">
      <c r="A97" s="626"/>
      <c r="B97" s="484"/>
      <c r="C97" s="628"/>
      <c r="D97" s="628"/>
      <c r="E97" s="484"/>
      <c r="F97" s="484"/>
      <c r="G97" s="613" t="e">
        <f t="shared" si="11"/>
        <v>#N/A</v>
      </c>
      <c r="H97" s="627"/>
      <c r="I97" s="614">
        <f t="shared" si="12"/>
        <v>0</v>
      </c>
      <c r="J97" s="630" t="e">
        <f t="shared" si="13"/>
        <v>#DIV/0!</v>
      </c>
      <c r="K97" s="631" t="e">
        <f t="shared" si="8"/>
        <v>#N/A</v>
      </c>
      <c r="L97" s="631">
        <f t="shared" si="14"/>
        <v>0</v>
      </c>
      <c r="M97" s="615" t="e">
        <f t="shared" si="9"/>
        <v>#N/A</v>
      </c>
      <c r="N97" s="613" t="e">
        <f t="shared" si="10"/>
        <v>#N/A</v>
      </c>
      <c r="O97" s="442" t="str">
        <f t="shared" si="15"/>
        <v/>
      </c>
    </row>
    <row r="98" spans="1:15">
      <c r="A98" s="626"/>
      <c r="B98" s="484"/>
      <c r="C98" s="628"/>
      <c r="D98" s="628"/>
      <c r="E98" s="484"/>
      <c r="F98" s="484"/>
      <c r="G98" s="613" t="e">
        <f t="shared" si="11"/>
        <v>#N/A</v>
      </c>
      <c r="H98" s="627"/>
      <c r="I98" s="614">
        <f t="shared" si="12"/>
        <v>0</v>
      </c>
      <c r="J98" s="630" t="e">
        <f t="shared" si="13"/>
        <v>#DIV/0!</v>
      </c>
      <c r="K98" s="631" t="e">
        <f t="shared" si="8"/>
        <v>#N/A</v>
      </c>
      <c r="L98" s="631">
        <f t="shared" si="14"/>
        <v>0</v>
      </c>
      <c r="M98" s="615" t="e">
        <f t="shared" si="9"/>
        <v>#N/A</v>
      </c>
      <c r="N98" s="613" t="e">
        <f t="shared" si="10"/>
        <v>#N/A</v>
      </c>
      <c r="O98" s="442" t="str">
        <f t="shared" si="15"/>
        <v/>
      </c>
    </row>
    <row r="99" spans="1:15">
      <c r="A99" s="626"/>
      <c r="B99" s="484"/>
      <c r="C99" s="628"/>
      <c r="D99" s="628"/>
      <c r="E99" s="484"/>
      <c r="F99" s="484"/>
      <c r="G99" s="613" t="e">
        <f t="shared" si="11"/>
        <v>#N/A</v>
      </c>
      <c r="H99" s="627"/>
      <c r="I99" s="614">
        <f t="shared" si="12"/>
        <v>0</v>
      </c>
      <c r="J99" s="630" t="e">
        <f t="shared" si="13"/>
        <v>#DIV/0!</v>
      </c>
      <c r="K99" s="631" t="e">
        <f t="shared" si="8"/>
        <v>#N/A</v>
      </c>
      <c r="L99" s="631">
        <f t="shared" si="14"/>
        <v>0</v>
      </c>
      <c r="M99" s="615" t="e">
        <f t="shared" si="9"/>
        <v>#N/A</v>
      </c>
      <c r="N99" s="613" t="e">
        <f t="shared" si="10"/>
        <v>#N/A</v>
      </c>
      <c r="O99" s="442" t="str">
        <f t="shared" si="15"/>
        <v/>
      </c>
    </row>
    <row r="100" spans="1:15">
      <c r="A100" s="626"/>
      <c r="B100" s="484"/>
      <c r="C100" s="629"/>
      <c r="D100" s="628"/>
      <c r="E100" s="484"/>
      <c r="F100" s="484"/>
      <c r="G100" s="613" t="e">
        <f t="shared" si="11"/>
        <v>#N/A</v>
      </c>
      <c r="H100" s="627"/>
      <c r="I100" s="614">
        <f t="shared" si="12"/>
        <v>0</v>
      </c>
      <c r="J100" s="630" t="e">
        <f t="shared" si="13"/>
        <v>#DIV/0!</v>
      </c>
      <c r="K100" s="631" t="e">
        <f t="shared" si="8"/>
        <v>#N/A</v>
      </c>
      <c r="L100" s="631">
        <f t="shared" si="14"/>
        <v>0</v>
      </c>
      <c r="M100" s="615" t="e">
        <f t="shared" si="9"/>
        <v>#N/A</v>
      </c>
      <c r="N100" s="613" t="e">
        <f t="shared" si="10"/>
        <v>#N/A</v>
      </c>
      <c r="O100" s="442" t="str">
        <f t="shared" si="15"/>
        <v/>
      </c>
    </row>
    <row r="101" spans="1:15">
      <c r="A101" s="626"/>
      <c r="B101" s="484"/>
      <c r="C101" s="628"/>
      <c r="D101" s="628"/>
      <c r="E101" s="484"/>
      <c r="F101" s="484"/>
      <c r="G101" s="613" t="e">
        <f t="shared" si="11"/>
        <v>#N/A</v>
      </c>
      <c r="H101" s="627"/>
      <c r="I101" s="614">
        <f t="shared" si="12"/>
        <v>0</v>
      </c>
      <c r="J101" s="630" t="e">
        <f t="shared" si="13"/>
        <v>#DIV/0!</v>
      </c>
      <c r="K101" s="631" t="e">
        <f t="shared" si="8"/>
        <v>#N/A</v>
      </c>
      <c r="L101" s="631">
        <f t="shared" si="14"/>
        <v>0</v>
      </c>
      <c r="M101" s="615" t="e">
        <f t="shared" si="9"/>
        <v>#N/A</v>
      </c>
      <c r="N101" s="613" t="e">
        <f t="shared" si="10"/>
        <v>#N/A</v>
      </c>
      <c r="O101" s="442" t="str">
        <f t="shared" si="15"/>
        <v/>
      </c>
    </row>
    <row r="102" spans="1:15">
      <c r="A102" s="626"/>
      <c r="B102" s="484"/>
      <c r="C102" s="628"/>
      <c r="D102" s="628"/>
      <c r="E102" s="484"/>
      <c r="F102" s="484"/>
      <c r="G102" s="613" t="e">
        <f t="shared" si="11"/>
        <v>#N/A</v>
      </c>
      <c r="H102" s="627"/>
      <c r="I102" s="614">
        <f t="shared" si="12"/>
        <v>0</v>
      </c>
      <c r="J102" s="630" t="e">
        <f t="shared" si="13"/>
        <v>#DIV/0!</v>
      </c>
      <c r="K102" s="631" t="e">
        <f t="shared" si="8"/>
        <v>#N/A</v>
      </c>
      <c r="L102" s="631">
        <f t="shared" si="14"/>
        <v>0</v>
      </c>
      <c r="M102" s="615" t="e">
        <f t="shared" si="9"/>
        <v>#N/A</v>
      </c>
      <c r="N102" s="613" t="e">
        <f t="shared" si="10"/>
        <v>#N/A</v>
      </c>
      <c r="O102" s="442" t="str">
        <f t="shared" si="15"/>
        <v/>
      </c>
    </row>
    <row r="103" spans="1:15">
      <c r="A103" s="626"/>
      <c r="B103" s="484"/>
      <c r="C103" s="628"/>
      <c r="D103" s="628"/>
      <c r="E103" s="484"/>
      <c r="F103" s="484"/>
      <c r="G103" s="613" t="e">
        <f t="shared" si="11"/>
        <v>#N/A</v>
      </c>
      <c r="H103" s="627"/>
      <c r="I103" s="614">
        <f t="shared" si="12"/>
        <v>0</v>
      </c>
      <c r="J103" s="630" t="e">
        <f t="shared" si="13"/>
        <v>#DIV/0!</v>
      </c>
      <c r="K103" s="631" t="e">
        <f t="shared" si="8"/>
        <v>#N/A</v>
      </c>
      <c r="L103" s="631">
        <f t="shared" si="14"/>
        <v>0</v>
      </c>
      <c r="M103" s="615" t="e">
        <f t="shared" si="9"/>
        <v>#N/A</v>
      </c>
      <c r="N103" s="613" t="e">
        <f t="shared" si="10"/>
        <v>#N/A</v>
      </c>
      <c r="O103" s="442" t="str">
        <f t="shared" si="15"/>
        <v/>
      </c>
    </row>
    <row r="104" spans="1:15">
      <c r="A104" s="626"/>
      <c r="B104" s="484"/>
      <c r="C104" s="628"/>
      <c r="D104" s="628"/>
      <c r="E104" s="484"/>
      <c r="F104" s="484"/>
      <c r="G104" s="613" t="e">
        <f t="shared" si="11"/>
        <v>#N/A</v>
      </c>
      <c r="H104" s="627"/>
      <c r="I104" s="614">
        <f t="shared" si="12"/>
        <v>0</v>
      </c>
      <c r="J104" s="630" t="e">
        <f t="shared" si="13"/>
        <v>#DIV/0!</v>
      </c>
      <c r="K104" s="631" t="e">
        <f t="shared" si="8"/>
        <v>#N/A</v>
      </c>
      <c r="L104" s="631">
        <f t="shared" si="14"/>
        <v>0</v>
      </c>
      <c r="M104" s="615" t="e">
        <f t="shared" si="9"/>
        <v>#N/A</v>
      </c>
      <c r="N104" s="613" t="e">
        <f t="shared" si="10"/>
        <v>#N/A</v>
      </c>
      <c r="O104" s="442" t="str">
        <f t="shared" si="15"/>
        <v/>
      </c>
    </row>
    <row r="105" spans="1:15">
      <c r="A105" s="626"/>
      <c r="B105" s="484"/>
      <c r="C105" s="628"/>
      <c r="D105" s="628"/>
      <c r="E105" s="484"/>
      <c r="F105" s="484"/>
      <c r="G105" s="613" t="e">
        <f t="shared" si="11"/>
        <v>#N/A</v>
      </c>
      <c r="H105" s="627"/>
      <c r="I105" s="614">
        <f t="shared" si="12"/>
        <v>0</v>
      </c>
      <c r="J105" s="630" t="e">
        <f t="shared" si="13"/>
        <v>#DIV/0!</v>
      </c>
      <c r="K105" s="631" t="e">
        <f t="shared" si="8"/>
        <v>#N/A</v>
      </c>
      <c r="L105" s="631">
        <f t="shared" si="14"/>
        <v>0</v>
      </c>
      <c r="M105" s="615" t="e">
        <f t="shared" si="9"/>
        <v>#N/A</v>
      </c>
      <c r="N105" s="613" t="e">
        <f t="shared" si="10"/>
        <v>#N/A</v>
      </c>
      <c r="O105" s="442" t="str">
        <f t="shared" si="15"/>
        <v/>
      </c>
    </row>
    <row r="106" spans="1:15">
      <c r="A106" s="626"/>
      <c r="B106" s="484"/>
      <c r="C106" s="629"/>
      <c r="D106" s="628"/>
      <c r="E106" s="484"/>
      <c r="F106" s="484"/>
      <c r="G106" s="613" t="e">
        <f t="shared" si="11"/>
        <v>#N/A</v>
      </c>
      <c r="H106" s="627"/>
      <c r="I106" s="614">
        <f t="shared" si="12"/>
        <v>0</v>
      </c>
      <c r="J106" s="630" t="e">
        <f t="shared" si="13"/>
        <v>#DIV/0!</v>
      </c>
      <c r="K106" s="631" t="e">
        <f t="shared" si="8"/>
        <v>#N/A</v>
      </c>
      <c r="L106" s="631">
        <f t="shared" si="14"/>
        <v>0</v>
      </c>
      <c r="M106" s="615" t="e">
        <f t="shared" si="9"/>
        <v>#N/A</v>
      </c>
      <c r="N106" s="613" t="e">
        <f t="shared" si="10"/>
        <v>#N/A</v>
      </c>
      <c r="O106" s="442" t="str">
        <f t="shared" si="15"/>
        <v/>
      </c>
    </row>
    <row r="107" spans="1:15">
      <c r="A107" s="626"/>
      <c r="B107" s="484"/>
      <c r="C107" s="628"/>
      <c r="D107" s="628"/>
      <c r="E107" s="484"/>
      <c r="F107" s="484"/>
      <c r="G107" s="613" t="e">
        <f t="shared" si="11"/>
        <v>#N/A</v>
      </c>
      <c r="H107" s="627"/>
      <c r="I107" s="614">
        <f t="shared" si="12"/>
        <v>0</v>
      </c>
      <c r="J107" s="630" t="e">
        <f t="shared" si="13"/>
        <v>#DIV/0!</v>
      </c>
      <c r="K107" s="631" t="e">
        <f t="shared" si="8"/>
        <v>#N/A</v>
      </c>
      <c r="L107" s="631">
        <f t="shared" si="14"/>
        <v>0</v>
      </c>
      <c r="M107" s="615" t="e">
        <f t="shared" si="9"/>
        <v>#N/A</v>
      </c>
      <c r="N107" s="613" t="e">
        <f t="shared" si="10"/>
        <v>#N/A</v>
      </c>
      <c r="O107" s="442" t="str">
        <f t="shared" si="15"/>
        <v/>
      </c>
    </row>
    <row r="108" spans="1:15">
      <c r="A108" s="626"/>
      <c r="B108" s="484"/>
      <c r="C108" s="628"/>
      <c r="D108" s="628"/>
      <c r="E108" s="484"/>
      <c r="F108" s="484"/>
      <c r="G108" s="613" t="e">
        <f t="shared" si="11"/>
        <v>#N/A</v>
      </c>
      <c r="H108" s="627"/>
      <c r="I108" s="614">
        <f t="shared" si="12"/>
        <v>0</v>
      </c>
      <c r="J108" s="630" t="e">
        <f t="shared" si="13"/>
        <v>#DIV/0!</v>
      </c>
      <c r="K108" s="631" t="e">
        <f t="shared" si="8"/>
        <v>#N/A</v>
      </c>
      <c r="L108" s="631">
        <f t="shared" si="14"/>
        <v>0</v>
      </c>
      <c r="M108" s="615" t="e">
        <f t="shared" si="9"/>
        <v>#N/A</v>
      </c>
      <c r="N108" s="613" t="e">
        <f t="shared" si="10"/>
        <v>#N/A</v>
      </c>
      <c r="O108" s="442" t="str">
        <f t="shared" si="15"/>
        <v/>
      </c>
    </row>
    <row r="109" spans="1:15">
      <c r="A109" s="626"/>
      <c r="B109" s="484"/>
      <c r="C109" s="628"/>
      <c r="D109" s="628"/>
      <c r="E109" s="484"/>
      <c r="F109" s="484"/>
      <c r="G109" s="613" t="e">
        <f t="shared" si="11"/>
        <v>#N/A</v>
      </c>
      <c r="H109" s="627"/>
      <c r="I109" s="614">
        <f t="shared" si="12"/>
        <v>0</v>
      </c>
      <c r="J109" s="630" t="e">
        <f t="shared" si="13"/>
        <v>#DIV/0!</v>
      </c>
      <c r="K109" s="631" t="e">
        <f t="shared" si="8"/>
        <v>#N/A</v>
      </c>
      <c r="L109" s="631">
        <f t="shared" si="14"/>
        <v>0</v>
      </c>
      <c r="M109" s="615" t="e">
        <f t="shared" si="9"/>
        <v>#N/A</v>
      </c>
      <c r="N109" s="613" t="e">
        <f t="shared" si="10"/>
        <v>#N/A</v>
      </c>
      <c r="O109" s="442" t="str">
        <f t="shared" si="15"/>
        <v/>
      </c>
    </row>
    <row r="110" spans="1:15">
      <c r="A110" s="626"/>
      <c r="B110" s="484"/>
      <c r="C110" s="628"/>
      <c r="D110" s="628"/>
      <c r="E110" s="484"/>
      <c r="F110" s="484"/>
      <c r="G110" s="613" t="e">
        <f t="shared" si="11"/>
        <v>#N/A</v>
      </c>
      <c r="H110" s="627"/>
      <c r="I110" s="614">
        <f t="shared" si="12"/>
        <v>0</v>
      </c>
      <c r="J110" s="630" t="e">
        <f t="shared" si="13"/>
        <v>#DIV/0!</v>
      </c>
      <c r="K110" s="631" t="e">
        <f t="shared" si="8"/>
        <v>#N/A</v>
      </c>
      <c r="L110" s="631">
        <f t="shared" si="14"/>
        <v>0</v>
      </c>
      <c r="M110" s="615" t="e">
        <f t="shared" si="9"/>
        <v>#N/A</v>
      </c>
      <c r="N110" s="613" t="e">
        <f t="shared" si="10"/>
        <v>#N/A</v>
      </c>
      <c r="O110" s="442" t="str">
        <f t="shared" si="15"/>
        <v/>
      </c>
    </row>
    <row r="111" spans="1:15">
      <c r="A111" s="626"/>
      <c r="B111" s="484"/>
      <c r="C111" s="628"/>
      <c r="D111" s="628"/>
      <c r="E111" s="484"/>
      <c r="F111" s="484"/>
      <c r="G111" s="613" t="e">
        <f t="shared" si="11"/>
        <v>#N/A</v>
      </c>
      <c r="H111" s="627"/>
      <c r="I111" s="614">
        <f t="shared" si="12"/>
        <v>0</v>
      </c>
      <c r="J111" s="630" t="e">
        <f t="shared" si="13"/>
        <v>#DIV/0!</v>
      </c>
      <c r="K111" s="631" t="e">
        <f t="shared" si="8"/>
        <v>#N/A</v>
      </c>
      <c r="L111" s="631">
        <f t="shared" si="14"/>
        <v>0</v>
      </c>
      <c r="M111" s="615" t="e">
        <f t="shared" si="9"/>
        <v>#N/A</v>
      </c>
      <c r="N111" s="613" t="e">
        <f t="shared" si="10"/>
        <v>#N/A</v>
      </c>
      <c r="O111" s="442" t="str">
        <f t="shared" si="15"/>
        <v/>
      </c>
    </row>
    <row r="112" spans="1:15">
      <c r="A112" s="626"/>
      <c r="B112" s="484"/>
      <c r="C112" s="629"/>
      <c r="D112" s="628"/>
      <c r="E112" s="484"/>
      <c r="F112" s="484"/>
      <c r="G112" s="613" t="e">
        <f t="shared" si="11"/>
        <v>#N/A</v>
      </c>
      <c r="H112" s="627"/>
      <c r="I112" s="614">
        <f t="shared" si="12"/>
        <v>0</v>
      </c>
      <c r="J112" s="630" t="e">
        <f t="shared" si="13"/>
        <v>#DIV/0!</v>
      </c>
      <c r="K112" s="631" t="e">
        <f t="shared" si="8"/>
        <v>#N/A</v>
      </c>
      <c r="L112" s="631">
        <f t="shared" si="14"/>
        <v>0</v>
      </c>
      <c r="M112" s="615" t="e">
        <f t="shared" si="9"/>
        <v>#N/A</v>
      </c>
      <c r="N112" s="613" t="e">
        <f t="shared" si="10"/>
        <v>#N/A</v>
      </c>
      <c r="O112" s="442" t="str">
        <f t="shared" si="15"/>
        <v/>
      </c>
    </row>
    <row r="113" spans="1:15">
      <c r="A113" s="626"/>
      <c r="B113" s="484"/>
      <c r="C113" s="628"/>
      <c r="D113" s="628"/>
      <c r="E113" s="484"/>
      <c r="F113" s="484"/>
      <c r="G113" s="613" t="e">
        <f t="shared" si="11"/>
        <v>#N/A</v>
      </c>
      <c r="H113" s="627"/>
      <c r="I113" s="614">
        <f t="shared" si="12"/>
        <v>0</v>
      </c>
      <c r="J113" s="630" t="e">
        <f t="shared" si="13"/>
        <v>#DIV/0!</v>
      </c>
      <c r="K113" s="631" t="e">
        <f t="shared" si="8"/>
        <v>#N/A</v>
      </c>
      <c r="L113" s="631">
        <f t="shared" si="14"/>
        <v>0</v>
      </c>
      <c r="M113" s="615" t="e">
        <f t="shared" si="9"/>
        <v>#N/A</v>
      </c>
      <c r="N113" s="613" t="e">
        <f t="shared" si="10"/>
        <v>#N/A</v>
      </c>
      <c r="O113" s="442" t="str">
        <f t="shared" si="15"/>
        <v/>
      </c>
    </row>
    <row r="114" spans="1:15">
      <c r="A114" s="626"/>
      <c r="B114" s="484"/>
      <c r="C114" s="628"/>
      <c r="D114" s="628"/>
      <c r="E114" s="484"/>
      <c r="F114" s="484"/>
      <c r="G114" s="613" t="e">
        <f t="shared" si="11"/>
        <v>#N/A</v>
      </c>
      <c r="H114" s="627"/>
      <c r="I114" s="614">
        <f t="shared" si="12"/>
        <v>0</v>
      </c>
      <c r="J114" s="630" t="e">
        <f t="shared" si="13"/>
        <v>#DIV/0!</v>
      </c>
      <c r="K114" s="631" t="e">
        <f t="shared" si="8"/>
        <v>#N/A</v>
      </c>
      <c r="L114" s="631">
        <f t="shared" si="14"/>
        <v>0</v>
      </c>
      <c r="M114" s="615" t="e">
        <f t="shared" si="9"/>
        <v>#N/A</v>
      </c>
      <c r="N114" s="613" t="e">
        <f t="shared" si="10"/>
        <v>#N/A</v>
      </c>
      <c r="O114" s="442" t="str">
        <f t="shared" si="15"/>
        <v/>
      </c>
    </row>
    <row r="115" spans="1:15">
      <c r="A115" s="626"/>
      <c r="B115" s="484"/>
      <c r="C115" s="628"/>
      <c r="D115" s="628"/>
      <c r="E115" s="484"/>
      <c r="F115" s="484"/>
      <c r="G115" s="613" t="e">
        <f t="shared" si="11"/>
        <v>#N/A</v>
      </c>
      <c r="H115" s="627"/>
      <c r="I115" s="614">
        <f t="shared" si="12"/>
        <v>0</v>
      </c>
      <c r="J115" s="630" t="e">
        <f t="shared" si="13"/>
        <v>#DIV/0!</v>
      </c>
      <c r="K115" s="631" t="e">
        <f t="shared" si="8"/>
        <v>#N/A</v>
      </c>
      <c r="L115" s="631">
        <f t="shared" si="14"/>
        <v>0</v>
      </c>
      <c r="M115" s="615" t="e">
        <f t="shared" si="9"/>
        <v>#N/A</v>
      </c>
      <c r="N115" s="613" t="e">
        <f t="shared" si="10"/>
        <v>#N/A</v>
      </c>
      <c r="O115" s="442" t="str">
        <f t="shared" si="15"/>
        <v/>
      </c>
    </row>
    <row r="116" spans="1:15">
      <c r="A116" s="626"/>
      <c r="B116" s="484"/>
      <c r="C116" s="628"/>
      <c r="D116" s="628"/>
      <c r="E116" s="484"/>
      <c r="F116" s="484"/>
      <c r="G116" s="613" t="e">
        <f t="shared" si="11"/>
        <v>#N/A</v>
      </c>
      <c r="H116" s="627"/>
      <c r="I116" s="614">
        <f t="shared" si="12"/>
        <v>0</v>
      </c>
      <c r="J116" s="630" t="e">
        <f t="shared" si="13"/>
        <v>#DIV/0!</v>
      </c>
      <c r="K116" s="631" t="e">
        <f t="shared" si="8"/>
        <v>#N/A</v>
      </c>
      <c r="L116" s="631">
        <f t="shared" si="14"/>
        <v>0</v>
      </c>
      <c r="M116" s="615" t="e">
        <f t="shared" si="9"/>
        <v>#N/A</v>
      </c>
      <c r="N116" s="613" t="e">
        <f t="shared" si="10"/>
        <v>#N/A</v>
      </c>
      <c r="O116" s="442" t="str">
        <f t="shared" si="15"/>
        <v/>
      </c>
    </row>
    <row r="117" spans="1:15">
      <c r="A117" s="626"/>
      <c r="B117" s="484"/>
      <c r="C117" s="628"/>
      <c r="D117" s="628"/>
      <c r="E117" s="484"/>
      <c r="F117" s="484"/>
      <c r="G117" s="613" t="e">
        <f t="shared" si="11"/>
        <v>#N/A</v>
      </c>
      <c r="H117" s="627"/>
      <c r="I117" s="614">
        <f t="shared" si="12"/>
        <v>0</v>
      </c>
      <c r="J117" s="630" t="e">
        <f t="shared" si="13"/>
        <v>#DIV/0!</v>
      </c>
      <c r="K117" s="631" t="e">
        <f t="shared" si="8"/>
        <v>#N/A</v>
      </c>
      <c r="L117" s="631">
        <f t="shared" si="14"/>
        <v>0</v>
      </c>
      <c r="M117" s="615" t="e">
        <f t="shared" si="9"/>
        <v>#N/A</v>
      </c>
      <c r="N117" s="613" t="e">
        <f t="shared" si="10"/>
        <v>#N/A</v>
      </c>
      <c r="O117" s="442" t="str">
        <f t="shared" si="15"/>
        <v/>
      </c>
    </row>
    <row r="118" spans="1:15">
      <c r="A118" s="626"/>
      <c r="B118" s="484"/>
      <c r="C118" s="629"/>
      <c r="D118" s="628"/>
      <c r="E118" s="484"/>
      <c r="F118" s="484"/>
      <c r="G118" s="613" t="e">
        <f t="shared" si="11"/>
        <v>#N/A</v>
      </c>
      <c r="H118" s="627"/>
      <c r="I118" s="614">
        <f t="shared" si="12"/>
        <v>0</v>
      </c>
      <c r="J118" s="630" t="e">
        <f t="shared" si="13"/>
        <v>#DIV/0!</v>
      </c>
      <c r="K118" s="631" t="e">
        <f t="shared" si="8"/>
        <v>#N/A</v>
      </c>
      <c r="L118" s="631">
        <f t="shared" si="14"/>
        <v>0</v>
      </c>
      <c r="M118" s="615" t="e">
        <f t="shared" si="9"/>
        <v>#N/A</v>
      </c>
      <c r="N118" s="613" t="e">
        <f t="shared" si="10"/>
        <v>#N/A</v>
      </c>
      <c r="O118" s="442" t="str">
        <f t="shared" si="15"/>
        <v/>
      </c>
    </row>
    <row r="119" spans="1:15">
      <c r="A119" s="626"/>
      <c r="B119" s="484"/>
      <c r="C119" s="628"/>
      <c r="D119" s="628"/>
      <c r="E119" s="484"/>
      <c r="F119" s="484"/>
      <c r="G119" s="613" t="e">
        <f t="shared" si="11"/>
        <v>#N/A</v>
      </c>
      <c r="H119" s="627"/>
      <c r="I119" s="614">
        <f t="shared" si="12"/>
        <v>0</v>
      </c>
      <c r="J119" s="630" t="e">
        <f t="shared" si="13"/>
        <v>#DIV/0!</v>
      </c>
      <c r="K119" s="631" t="e">
        <f t="shared" si="8"/>
        <v>#N/A</v>
      </c>
      <c r="L119" s="631">
        <f t="shared" si="14"/>
        <v>0</v>
      </c>
      <c r="M119" s="615" t="e">
        <f t="shared" si="9"/>
        <v>#N/A</v>
      </c>
      <c r="N119" s="613" t="e">
        <f t="shared" si="10"/>
        <v>#N/A</v>
      </c>
      <c r="O119" s="442" t="str">
        <f t="shared" si="15"/>
        <v/>
      </c>
    </row>
    <row r="120" spans="1:15">
      <c r="A120" s="626"/>
      <c r="B120" s="484"/>
      <c r="C120" s="628"/>
      <c r="D120" s="628"/>
      <c r="E120" s="484"/>
      <c r="F120" s="484"/>
      <c r="G120" s="613" t="e">
        <f t="shared" si="11"/>
        <v>#N/A</v>
      </c>
      <c r="H120" s="627"/>
      <c r="I120" s="614">
        <f t="shared" si="12"/>
        <v>0</v>
      </c>
      <c r="J120" s="630" t="e">
        <f t="shared" si="13"/>
        <v>#DIV/0!</v>
      </c>
      <c r="K120" s="631" t="e">
        <f t="shared" si="8"/>
        <v>#N/A</v>
      </c>
      <c r="L120" s="631">
        <f t="shared" si="14"/>
        <v>0</v>
      </c>
      <c r="M120" s="615" t="e">
        <f t="shared" si="9"/>
        <v>#N/A</v>
      </c>
      <c r="N120" s="613" t="e">
        <f t="shared" si="10"/>
        <v>#N/A</v>
      </c>
      <c r="O120" s="442" t="str">
        <f t="shared" si="15"/>
        <v/>
      </c>
    </row>
    <row r="121" spans="1:15">
      <c r="A121" s="626"/>
      <c r="B121" s="484"/>
      <c r="C121" s="628"/>
      <c r="D121" s="628"/>
      <c r="E121" s="484"/>
      <c r="F121" s="484"/>
      <c r="G121" s="613" t="e">
        <f t="shared" si="11"/>
        <v>#N/A</v>
      </c>
      <c r="H121" s="627"/>
      <c r="I121" s="614">
        <f t="shared" si="12"/>
        <v>0</v>
      </c>
      <c r="J121" s="630" t="e">
        <f t="shared" si="13"/>
        <v>#DIV/0!</v>
      </c>
      <c r="K121" s="631" t="e">
        <f t="shared" si="8"/>
        <v>#N/A</v>
      </c>
      <c r="L121" s="631">
        <f t="shared" si="14"/>
        <v>0</v>
      </c>
      <c r="M121" s="615" t="e">
        <f t="shared" si="9"/>
        <v>#N/A</v>
      </c>
      <c r="N121" s="613" t="e">
        <f t="shared" si="10"/>
        <v>#N/A</v>
      </c>
      <c r="O121" s="442" t="str">
        <f t="shared" si="15"/>
        <v/>
      </c>
    </row>
    <row r="122" spans="1:15">
      <c r="A122" s="626"/>
      <c r="B122" s="484"/>
      <c r="C122" s="628"/>
      <c r="D122" s="628"/>
      <c r="E122" s="484"/>
      <c r="F122" s="484"/>
      <c r="G122" s="613" t="e">
        <f t="shared" si="11"/>
        <v>#N/A</v>
      </c>
      <c r="H122" s="627"/>
      <c r="I122" s="614">
        <f t="shared" si="12"/>
        <v>0</v>
      </c>
      <c r="J122" s="630" t="e">
        <f t="shared" si="13"/>
        <v>#DIV/0!</v>
      </c>
      <c r="K122" s="631" t="e">
        <f t="shared" si="8"/>
        <v>#N/A</v>
      </c>
      <c r="L122" s="631">
        <f t="shared" si="14"/>
        <v>0</v>
      </c>
      <c r="M122" s="615" t="e">
        <f t="shared" si="9"/>
        <v>#N/A</v>
      </c>
      <c r="N122" s="613" t="e">
        <f t="shared" si="10"/>
        <v>#N/A</v>
      </c>
      <c r="O122" s="442" t="str">
        <f t="shared" si="15"/>
        <v/>
      </c>
    </row>
    <row r="123" spans="1:15">
      <c r="A123" s="626"/>
      <c r="B123" s="484"/>
      <c r="C123" s="628"/>
      <c r="D123" s="628"/>
      <c r="E123" s="484"/>
      <c r="F123" s="484"/>
      <c r="G123" s="613" t="e">
        <f t="shared" si="11"/>
        <v>#N/A</v>
      </c>
      <c r="H123" s="627"/>
      <c r="I123" s="614">
        <f t="shared" si="12"/>
        <v>0</v>
      </c>
      <c r="J123" s="630" t="e">
        <f t="shared" si="13"/>
        <v>#DIV/0!</v>
      </c>
      <c r="K123" s="631" t="e">
        <f t="shared" si="8"/>
        <v>#N/A</v>
      </c>
      <c r="L123" s="631">
        <f t="shared" si="14"/>
        <v>0</v>
      </c>
      <c r="M123" s="615" t="e">
        <f t="shared" si="9"/>
        <v>#N/A</v>
      </c>
      <c r="N123" s="613" t="e">
        <f t="shared" si="10"/>
        <v>#N/A</v>
      </c>
      <c r="O123" s="442" t="str">
        <f t="shared" si="15"/>
        <v/>
      </c>
    </row>
    <row r="124" spans="1:15">
      <c r="A124" s="626"/>
      <c r="B124" s="484"/>
      <c r="C124" s="629"/>
      <c r="D124" s="628"/>
      <c r="E124" s="484"/>
      <c r="F124" s="484"/>
      <c r="G124" s="613" t="e">
        <f t="shared" si="11"/>
        <v>#N/A</v>
      </c>
      <c r="H124" s="627"/>
      <c r="I124" s="614">
        <f t="shared" si="12"/>
        <v>0</v>
      </c>
      <c r="J124" s="630" t="e">
        <f t="shared" si="13"/>
        <v>#DIV/0!</v>
      </c>
      <c r="K124" s="631" t="e">
        <f t="shared" si="8"/>
        <v>#N/A</v>
      </c>
      <c r="L124" s="631">
        <f t="shared" si="14"/>
        <v>0</v>
      </c>
      <c r="M124" s="615" t="e">
        <f t="shared" si="9"/>
        <v>#N/A</v>
      </c>
      <c r="N124" s="613" t="e">
        <f t="shared" si="10"/>
        <v>#N/A</v>
      </c>
      <c r="O124" s="442" t="str">
        <f t="shared" si="15"/>
        <v/>
      </c>
    </row>
    <row r="125" spans="1:15">
      <c r="A125" s="626"/>
      <c r="B125" s="484"/>
      <c r="C125" s="628"/>
      <c r="D125" s="628"/>
      <c r="E125" s="484"/>
      <c r="F125" s="484"/>
      <c r="G125" s="613" t="e">
        <f t="shared" si="11"/>
        <v>#N/A</v>
      </c>
      <c r="H125" s="627"/>
      <c r="I125" s="614">
        <f t="shared" si="12"/>
        <v>0</v>
      </c>
      <c r="J125" s="630" t="e">
        <f t="shared" si="13"/>
        <v>#DIV/0!</v>
      </c>
      <c r="K125" s="631" t="e">
        <f t="shared" si="8"/>
        <v>#N/A</v>
      </c>
      <c r="L125" s="631">
        <f t="shared" si="14"/>
        <v>0</v>
      </c>
      <c r="M125" s="615" t="e">
        <f t="shared" si="9"/>
        <v>#N/A</v>
      </c>
      <c r="N125" s="613" t="e">
        <f t="shared" si="10"/>
        <v>#N/A</v>
      </c>
      <c r="O125" s="442" t="str">
        <f t="shared" si="15"/>
        <v/>
      </c>
    </row>
    <row r="126" spans="1:15">
      <c r="A126" s="626"/>
      <c r="B126" s="484"/>
      <c r="C126" s="628"/>
      <c r="D126" s="628"/>
      <c r="E126" s="484"/>
      <c r="F126" s="484"/>
      <c r="G126" s="613" t="e">
        <f t="shared" si="11"/>
        <v>#N/A</v>
      </c>
      <c r="H126" s="627"/>
      <c r="I126" s="614">
        <f t="shared" si="12"/>
        <v>0</v>
      </c>
      <c r="J126" s="630" t="e">
        <f t="shared" si="13"/>
        <v>#DIV/0!</v>
      </c>
      <c r="K126" s="631" t="e">
        <f t="shared" si="8"/>
        <v>#N/A</v>
      </c>
      <c r="L126" s="631">
        <f t="shared" si="14"/>
        <v>0</v>
      </c>
      <c r="M126" s="615" t="e">
        <f t="shared" si="9"/>
        <v>#N/A</v>
      </c>
      <c r="N126" s="613" t="e">
        <f t="shared" si="10"/>
        <v>#N/A</v>
      </c>
      <c r="O126" s="442" t="str">
        <f t="shared" si="15"/>
        <v/>
      </c>
    </row>
    <row r="127" spans="1:15">
      <c r="A127" s="626"/>
      <c r="B127" s="484"/>
      <c r="C127" s="628"/>
      <c r="D127" s="628"/>
      <c r="E127" s="484"/>
      <c r="F127" s="484"/>
      <c r="G127" s="613" t="e">
        <f t="shared" si="11"/>
        <v>#N/A</v>
      </c>
      <c r="H127" s="627"/>
      <c r="I127" s="614">
        <f t="shared" si="12"/>
        <v>0</v>
      </c>
      <c r="J127" s="630" t="e">
        <f t="shared" si="13"/>
        <v>#DIV/0!</v>
      </c>
      <c r="K127" s="631" t="e">
        <f t="shared" si="8"/>
        <v>#N/A</v>
      </c>
      <c r="L127" s="631">
        <f t="shared" si="14"/>
        <v>0</v>
      </c>
      <c r="M127" s="615" t="e">
        <f t="shared" si="9"/>
        <v>#N/A</v>
      </c>
      <c r="N127" s="613" t="e">
        <f t="shared" si="10"/>
        <v>#N/A</v>
      </c>
      <c r="O127" s="442" t="str">
        <f t="shared" si="15"/>
        <v/>
      </c>
    </row>
    <row r="128" spans="1:15">
      <c r="A128" s="626"/>
      <c r="B128" s="484"/>
      <c r="C128" s="628"/>
      <c r="D128" s="628"/>
      <c r="E128" s="484"/>
      <c r="F128" s="484"/>
      <c r="G128" s="613" t="e">
        <f t="shared" si="11"/>
        <v>#N/A</v>
      </c>
      <c r="H128" s="627"/>
      <c r="I128" s="614">
        <f t="shared" si="12"/>
        <v>0</v>
      </c>
      <c r="J128" s="630" t="e">
        <f t="shared" si="13"/>
        <v>#DIV/0!</v>
      </c>
      <c r="K128" s="631" t="e">
        <f t="shared" si="8"/>
        <v>#N/A</v>
      </c>
      <c r="L128" s="631">
        <f t="shared" si="14"/>
        <v>0</v>
      </c>
      <c r="M128" s="615" t="e">
        <f t="shared" si="9"/>
        <v>#N/A</v>
      </c>
      <c r="N128" s="613" t="e">
        <f t="shared" si="10"/>
        <v>#N/A</v>
      </c>
      <c r="O128" s="442" t="str">
        <f t="shared" si="15"/>
        <v/>
      </c>
    </row>
    <row r="129" spans="1:15">
      <c r="A129" s="622"/>
      <c r="B129" s="484"/>
      <c r="C129" s="628"/>
      <c r="D129" s="628"/>
      <c r="E129" s="484"/>
      <c r="F129" s="484"/>
      <c r="G129" s="613" t="e">
        <f t="shared" si="11"/>
        <v>#N/A</v>
      </c>
      <c r="H129" s="627"/>
      <c r="I129" s="614">
        <f t="shared" si="12"/>
        <v>0</v>
      </c>
      <c r="J129" s="630" t="e">
        <f t="shared" si="13"/>
        <v>#DIV/0!</v>
      </c>
      <c r="K129" s="631" t="e">
        <f t="shared" si="8"/>
        <v>#N/A</v>
      </c>
      <c r="L129" s="631">
        <f t="shared" si="14"/>
        <v>0</v>
      </c>
      <c r="M129" s="615" t="e">
        <f t="shared" si="9"/>
        <v>#N/A</v>
      </c>
      <c r="N129" s="613" t="e">
        <f t="shared" si="10"/>
        <v>#N/A</v>
      </c>
      <c r="O129" s="442" t="str">
        <f t="shared" si="15"/>
        <v/>
      </c>
    </row>
    <row r="130" spans="1:15">
      <c r="A130" s="622"/>
      <c r="B130" s="484"/>
      <c r="C130" s="628"/>
      <c r="D130" s="628"/>
      <c r="E130" s="484"/>
      <c r="F130" s="484"/>
      <c r="G130" s="613" t="e">
        <f t="shared" si="11"/>
        <v>#N/A</v>
      </c>
      <c r="H130" s="627"/>
      <c r="I130" s="614">
        <f t="shared" si="12"/>
        <v>0</v>
      </c>
      <c r="J130" s="630" t="e">
        <f t="shared" si="13"/>
        <v>#DIV/0!</v>
      </c>
      <c r="K130" s="631" t="e">
        <f t="shared" si="8"/>
        <v>#N/A</v>
      </c>
      <c r="L130" s="631">
        <f t="shared" si="14"/>
        <v>0</v>
      </c>
      <c r="M130" s="615" t="e">
        <f t="shared" si="9"/>
        <v>#N/A</v>
      </c>
      <c r="N130" s="613" t="e">
        <f t="shared" si="10"/>
        <v>#N/A</v>
      </c>
      <c r="O130" s="442" t="str">
        <f t="shared" si="15"/>
        <v/>
      </c>
    </row>
    <row r="131" spans="1:15">
      <c r="A131" s="622"/>
      <c r="B131" s="484"/>
      <c r="C131" s="629"/>
      <c r="D131" s="628"/>
      <c r="E131" s="484"/>
      <c r="F131" s="484"/>
      <c r="G131" s="613" t="e">
        <f t="shared" si="11"/>
        <v>#N/A</v>
      </c>
      <c r="H131" s="627"/>
      <c r="I131" s="614">
        <f t="shared" si="12"/>
        <v>0</v>
      </c>
      <c r="J131" s="630" t="e">
        <f t="shared" si="13"/>
        <v>#DIV/0!</v>
      </c>
      <c r="K131" s="631" t="e">
        <f t="shared" si="8"/>
        <v>#N/A</v>
      </c>
      <c r="L131" s="631">
        <f t="shared" si="14"/>
        <v>0</v>
      </c>
      <c r="M131" s="615" t="e">
        <f t="shared" si="9"/>
        <v>#N/A</v>
      </c>
      <c r="N131" s="613" t="e">
        <f t="shared" si="10"/>
        <v>#N/A</v>
      </c>
      <c r="O131" s="442" t="str">
        <f t="shared" si="15"/>
        <v/>
      </c>
    </row>
    <row r="132" spans="1:15">
      <c r="A132" s="625"/>
      <c r="B132" s="484"/>
      <c r="C132" s="628"/>
      <c r="D132" s="628"/>
      <c r="E132" s="484"/>
      <c r="F132" s="484"/>
      <c r="G132" s="613" t="e">
        <f t="shared" si="11"/>
        <v>#N/A</v>
      </c>
      <c r="H132" s="627"/>
      <c r="I132" s="614">
        <f t="shared" si="12"/>
        <v>0</v>
      </c>
      <c r="J132" s="630" t="e">
        <f t="shared" si="13"/>
        <v>#DIV/0!</v>
      </c>
      <c r="K132" s="631" t="e">
        <f t="shared" si="8"/>
        <v>#N/A</v>
      </c>
      <c r="L132" s="631">
        <f t="shared" si="14"/>
        <v>0</v>
      </c>
      <c r="M132" s="615" t="e">
        <f t="shared" si="9"/>
        <v>#N/A</v>
      </c>
      <c r="N132" s="613" t="e">
        <f t="shared" si="10"/>
        <v>#N/A</v>
      </c>
      <c r="O132" s="442" t="str">
        <f t="shared" si="15"/>
        <v/>
      </c>
    </row>
    <row r="133" spans="1:15">
      <c r="A133" s="622"/>
      <c r="B133" s="484"/>
      <c r="C133" s="628"/>
      <c r="D133" s="628"/>
      <c r="E133" s="484"/>
      <c r="F133" s="484"/>
      <c r="G133" s="613" t="e">
        <f t="shared" si="11"/>
        <v>#N/A</v>
      </c>
      <c r="H133" s="627"/>
      <c r="I133" s="614">
        <f t="shared" si="12"/>
        <v>0</v>
      </c>
      <c r="J133" s="630" t="e">
        <f t="shared" si="13"/>
        <v>#DIV/0!</v>
      </c>
      <c r="K133" s="631" t="e">
        <f t="shared" si="8"/>
        <v>#N/A</v>
      </c>
      <c r="L133" s="631">
        <f t="shared" si="14"/>
        <v>0</v>
      </c>
      <c r="M133" s="615" t="e">
        <f t="shared" si="9"/>
        <v>#N/A</v>
      </c>
      <c r="N133" s="613" t="e">
        <f t="shared" si="10"/>
        <v>#N/A</v>
      </c>
      <c r="O133" s="442" t="str">
        <f t="shared" si="15"/>
        <v/>
      </c>
    </row>
    <row r="134" spans="1:15">
      <c r="A134" s="622"/>
      <c r="B134" s="484"/>
      <c r="C134" s="629"/>
      <c r="D134" s="628"/>
      <c r="E134" s="484"/>
      <c r="F134" s="484"/>
      <c r="G134" s="613" t="e">
        <f t="shared" si="11"/>
        <v>#N/A</v>
      </c>
      <c r="H134" s="627"/>
      <c r="I134" s="614">
        <f t="shared" si="12"/>
        <v>0</v>
      </c>
      <c r="J134" s="630" t="e">
        <f t="shared" si="13"/>
        <v>#DIV/0!</v>
      </c>
      <c r="K134" s="631" t="e">
        <f t="shared" si="8"/>
        <v>#N/A</v>
      </c>
      <c r="L134" s="631">
        <f t="shared" si="14"/>
        <v>0</v>
      </c>
      <c r="M134" s="615" t="e">
        <f t="shared" si="9"/>
        <v>#N/A</v>
      </c>
      <c r="N134" s="613" t="e">
        <f t="shared" si="10"/>
        <v>#N/A</v>
      </c>
      <c r="O134" s="442" t="str">
        <f t="shared" si="15"/>
        <v/>
      </c>
    </row>
    <row r="135" spans="1:15">
      <c r="A135" s="622"/>
      <c r="B135" s="484"/>
      <c r="C135" s="628"/>
      <c r="D135" s="628"/>
      <c r="E135" s="484"/>
      <c r="F135" s="484"/>
      <c r="G135" s="613" t="e">
        <f t="shared" si="11"/>
        <v>#N/A</v>
      </c>
      <c r="H135" s="627"/>
      <c r="I135" s="614">
        <f t="shared" si="12"/>
        <v>0</v>
      </c>
      <c r="J135" s="630" t="e">
        <f t="shared" si="13"/>
        <v>#DIV/0!</v>
      </c>
      <c r="K135" s="631" t="e">
        <f t="shared" si="8"/>
        <v>#N/A</v>
      </c>
      <c r="L135" s="631">
        <f t="shared" si="14"/>
        <v>0</v>
      </c>
      <c r="M135" s="615" t="e">
        <f t="shared" si="9"/>
        <v>#N/A</v>
      </c>
      <c r="N135" s="613" t="e">
        <f t="shared" si="10"/>
        <v>#N/A</v>
      </c>
      <c r="O135" s="442" t="str">
        <f t="shared" si="15"/>
        <v/>
      </c>
    </row>
    <row r="136" spans="1:15">
      <c r="A136" s="622"/>
      <c r="B136" s="484"/>
      <c r="C136" s="628"/>
      <c r="D136" s="628"/>
      <c r="E136" s="484"/>
      <c r="F136" s="484"/>
      <c r="G136" s="613" t="e">
        <f t="shared" si="11"/>
        <v>#N/A</v>
      </c>
      <c r="H136" s="627"/>
      <c r="I136" s="614">
        <f t="shared" si="12"/>
        <v>0</v>
      </c>
      <c r="J136" s="630" t="e">
        <f t="shared" si="13"/>
        <v>#DIV/0!</v>
      </c>
      <c r="K136" s="631" t="e">
        <f t="shared" si="8"/>
        <v>#N/A</v>
      </c>
      <c r="L136" s="631">
        <f t="shared" si="14"/>
        <v>0</v>
      </c>
      <c r="M136" s="615" t="e">
        <f t="shared" si="9"/>
        <v>#N/A</v>
      </c>
      <c r="N136" s="613" t="e">
        <f t="shared" si="10"/>
        <v>#N/A</v>
      </c>
      <c r="O136" s="442" t="str">
        <f t="shared" si="15"/>
        <v/>
      </c>
    </row>
    <row r="137" spans="1:15">
      <c r="A137" s="622"/>
      <c r="B137" s="484"/>
      <c r="C137" s="628"/>
      <c r="D137" s="628"/>
      <c r="E137" s="484"/>
      <c r="F137" s="484"/>
      <c r="G137" s="613" t="e">
        <f t="shared" si="11"/>
        <v>#N/A</v>
      </c>
      <c r="H137" s="627"/>
      <c r="I137" s="614">
        <f t="shared" si="12"/>
        <v>0</v>
      </c>
      <c r="J137" s="630" t="e">
        <f t="shared" si="13"/>
        <v>#DIV/0!</v>
      </c>
      <c r="K137" s="631" t="e">
        <f t="shared" si="8"/>
        <v>#N/A</v>
      </c>
      <c r="L137" s="631">
        <f t="shared" si="14"/>
        <v>0</v>
      </c>
      <c r="M137" s="615" t="e">
        <f t="shared" si="9"/>
        <v>#N/A</v>
      </c>
      <c r="N137" s="613" t="e">
        <f t="shared" si="10"/>
        <v>#N/A</v>
      </c>
      <c r="O137" s="442" t="str">
        <f t="shared" si="15"/>
        <v/>
      </c>
    </row>
    <row r="138" spans="1:15">
      <c r="A138" s="622"/>
      <c r="B138" s="484"/>
      <c r="C138" s="628"/>
      <c r="D138" s="628"/>
      <c r="E138" s="484"/>
      <c r="F138" s="484"/>
      <c r="G138" s="613" t="e">
        <f t="shared" si="11"/>
        <v>#N/A</v>
      </c>
      <c r="H138" s="627"/>
      <c r="I138" s="614">
        <f t="shared" si="12"/>
        <v>0</v>
      </c>
      <c r="J138" s="630" t="e">
        <f t="shared" si="13"/>
        <v>#DIV/0!</v>
      </c>
      <c r="K138" s="631" t="e">
        <f t="shared" si="8"/>
        <v>#N/A</v>
      </c>
      <c r="L138" s="631">
        <f t="shared" si="14"/>
        <v>0</v>
      </c>
      <c r="M138" s="615" t="e">
        <f t="shared" si="9"/>
        <v>#N/A</v>
      </c>
      <c r="N138" s="613" t="e">
        <f t="shared" si="10"/>
        <v>#N/A</v>
      </c>
      <c r="O138" s="442" t="str">
        <f t="shared" si="15"/>
        <v/>
      </c>
    </row>
    <row r="139" spans="1:15">
      <c r="A139" s="625"/>
      <c r="B139" s="484"/>
      <c r="C139" s="628"/>
      <c r="D139" s="628"/>
      <c r="E139" s="484"/>
      <c r="F139" s="484"/>
      <c r="G139" s="613" t="e">
        <f t="shared" si="11"/>
        <v>#N/A</v>
      </c>
      <c r="H139" s="627"/>
      <c r="I139" s="614">
        <f t="shared" si="12"/>
        <v>0</v>
      </c>
      <c r="J139" s="630" t="e">
        <f t="shared" si="13"/>
        <v>#DIV/0!</v>
      </c>
      <c r="K139" s="631" t="e">
        <f t="shared" si="8"/>
        <v>#N/A</v>
      </c>
      <c r="L139" s="631">
        <f t="shared" si="14"/>
        <v>0</v>
      </c>
      <c r="M139" s="615" t="e">
        <f t="shared" si="9"/>
        <v>#N/A</v>
      </c>
      <c r="N139" s="613" t="e">
        <f t="shared" si="10"/>
        <v>#N/A</v>
      </c>
      <c r="O139" s="442" t="str">
        <f t="shared" si="15"/>
        <v/>
      </c>
    </row>
    <row r="140" spans="1:15">
      <c r="A140" s="625"/>
      <c r="B140" s="484"/>
      <c r="C140" s="628"/>
      <c r="D140" s="628"/>
      <c r="E140" s="484"/>
      <c r="F140" s="484"/>
      <c r="G140" s="613" t="e">
        <f t="shared" si="11"/>
        <v>#N/A</v>
      </c>
      <c r="H140" s="627"/>
      <c r="I140" s="614">
        <f t="shared" si="12"/>
        <v>0</v>
      </c>
      <c r="J140" s="630" t="e">
        <f t="shared" si="13"/>
        <v>#DIV/0!</v>
      </c>
      <c r="K140" s="631" t="e">
        <f t="shared" si="8"/>
        <v>#N/A</v>
      </c>
      <c r="L140" s="631">
        <f t="shared" si="14"/>
        <v>0</v>
      </c>
      <c r="M140" s="615" t="e">
        <f t="shared" si="9"/>
        <v>#N/A</v>
      </c>
      <c r="N140" s="613" t="e">
        <f t="shared" si="10"/>
        <v>#N/A</v>
      </c>
      <c r="O140" s="442" t="str">
        <f t="shared" si="15"/>
        <v/>
      </c>
    </row>
    <row r="141" spans="1:15">
      <c r="A141" s="626"/>
      <c r="B141" s="484"/>
      <c r="C141" s="628"/>
      <c r="D141" s="628"/>
      <c r="E141" s="484"/>
      <c r="F141" s="484"/>
      <c r="G141" s="613" t="e">
        <f t="shared" si="11"/>
        <v>#N/A</v>
      </c>
      <c r="H141" s="627"/>
      <c r="I141" s="614">
        <f t="shared" si="12"/>
        <v>0</v>
      </c>
      <c r="J141" s="630" t="e">
        <f t="shared" si="13"/>
        <v>#DIV/0!</v>
      </c>
      <c r="K141" s="631" t="e">
        <f t="shared" si="8"/>
        <v>#N/A</v>
      </c>
      <c r="L141" s="631">
        <f t="shared" si="14"/>
        <v>0</v>
      </c>
      <c r="M141" s="615" t="e">
        <f t="shared" si="9"/>
        <v>#N/A</v>
      </c>
      <c r="N141" s="613" t="e">
        <f t="shared" si="10"/>
        <v>#N/A</v>
      </c>
      <c r="O141" s="442" t="str">
        <f t="shared" si="15"/>
        <v/>
      </c>
    </row>
    <row r="142" spans="1:15">
      <c r="A142" s="626"/>
      <c r="B142" s="484"/>
      <c r="C142" s="629"/>
      <c r="D142" s="628"/>
      <c r="E142" s="484"/>
      <c r="F142" s="484"/>
      <c r="G142" s="613" t="e">
        <f t="shared" si="11"/>
        <v>#N/A</v>
      </c>
      <c r="H142" s="627"/>
      <c r="I142" s="614">
        <f t="shared" si="12"/>
        <v>0</v>
      </c>
      <c r="J142" s="630" t="e">
        <f t="shared" si="13"/>
        <v>#DIV/0!</v>
      </c>
      <c r="K142" s="631" t="e">
        <f t="shared" si="8"/>
        <v>#N/A</v>
      </c>
      <c r="L142" s="631">
        <f t="shared" si="14"/>
        <v>0</v>
      </c>
      <c r="M142" s="615" t="e">
        <f t="shared" si="9"/>
        <v>#N/A</v>
      </c>
      <c r="N142" s="613" t="e">
        <f t="shared" si="10"/>
        <v>#N/A</v>
      </c>
      <c r="O142" s="442" t="str">
        <f t="shared" si="15"/>
        <v/>
      </c>
    </row>
    <row r="143" spans="1:15">
      <c r="A143" s="626"/>
      <c r="B143" s="484"/>
      <c r="C143" s="628"/>
      <c r="D143" s="628"/>
      <c r="E143" s="484"/>
      <c r="F143" s="484"/>
      <c r="G143" s="613" t="e">
        <f t="shared" si="11"/>
        <v>#N/A</v>
      </c>
      <c r="H143" s="627"/>
      <c r="I143" s="614">
        <f t="shared" si="12"/>
        <v>0</v>
      </c>
      <c r="J143" s="630" t="e">
        <f t="shared" si="13"/>
        <v>#DIV/0!</v>
      </c>
      <c r="K143" s="631" t="e">
        <f t="shared" si="8"/>
        <v>#N/A</v>
      </c>
      <c r="L143" s="631">
        <f t="shared" si="14"/>
        <v>0</v>
      </c>
      <c r="M143" s="615" t="e">
        <f t="shared" si="9"/>
        <v>#N/A</v>
      </c>
      <c r="N143" s="613" t="e">
        <f t="shared" si="10"/>
        <v>#N/A</v>
      </c>
      <c r="O143" s="442" t="str">
        <f t="shared" si="15"/>
        <v/>
      </c>
    </row>
    <row r="144" spans="1:15">
      <c r="A144" s="626"/>
      <c r="B144" s="484"/>
      <c r="C144" s="628"/>
      <c r="D144" s="628"/>
      <c r="E144" s="484"/>
      <c r="F144" s="484"/>
      <c r="G144" s="613" t="e">
        <f t="shared" si="11"/>
        <v>#N/A</v>
      </c>
      <c r="H144" s="627"/>
      <c r="I144" s="614">
        <f t="shared" si="12"/>
        <v>0</v>
      </c>
      <c r="J144" s="630" t="e">
        <f t="shared" si="13"/>
        <v>#DIV/0!</v>
      </c>
      <c r="K144" s="631" t="e">
        <f t="shared" si="8"/>
        <v>#N/A</v>
      </c>
      <c r="L144" s="631">
        <f t="shared" si="14"/>
        <v>0</v>
      </c>
      <c r="M144" s="615" t="e">
        <f t="shared" si="9"/>
        <v>#N/A</v>
      </c>
      <c r="N144" s="613" t="e">
        <f t="shared" si="10"/>
        <v>#N/A</v>
      </c>
      <c r="O144" s="442" t="str">
        <f t="shared" si="15"/>
        <v/>
      </c>
    </row>
    <row r="145" spans="1:15">
      <c r="A145" s="626"/>
      <c r="B145" s="484"/>
      <c r="C145" s="628"/>
      <c r="D145" s="628"/>
      <c r="E145" s="484"/>
      <c r="F145" s="484"/>
      <c r="G145" s="613" t="e">
        <f t="shared" si="11"/>
        <v>#N/A</v>
      </c>
      <c r="H145" s="627"/>
      <c r="I145" s="614">
        <f t="shared" si="12"/>
        <v>0</v>
      </c>
      <c r="J145" s="630" t="e">
        <f t="shared" si="13"/>
        <v>#DIV/0!</v>
      </c>
      <c r="K145" s="631" t="e">
        <f t="shared" si="8"/>
        <v>#N/A</v>
      </c>
      <c r="L145" s="631">
        <f t="shared" si="14"/>
        <v>0</v>
      </c>
      <c r="M145" s="615" t="e">
        <f t="shared" si="9"/>
        <v>#N/A</v>
      </c>
      <c r="N145" s="613" t="e">
        <f t="shared" si="10"/>
        <v>#N/A</v>
      </c>
      <c r="O145" s="442" t="str">
        <f t="shared" si="15"/>
        <v/>
      </c>
    </row>
    <row r="146" spans="1:15">
      <c r="A146" s="626"/>
      <c r="B146" s="484"/>
      <c r="C146" s="628"/>
      <c r="D146" s="628"/>
      <c r="E146" s="484"/>
      <c r="F146" s="484"/>
      <c r="G146" s="613" t="e">
        <f t="shared" si="11"/>
        <v>#N/A</v>
      </c>
      <c r="H146" s="627"/>
      <c r="I146" s="614">
        <f t="shared" si="12"/>
        <v>0</v>
      </c>
      <c r="J146" s="630" t="e">
        <f t="shared" si="13"/>
        <v>#DIV/0!</v>
      </c>
      <c r="K146" s="631" t="e">
        <f t="shared" si="8"/>
        <v>#N/A</v>
      </c>
      <c r="L146" s="631">
        <f t="shared" si="14"/>
        <v>0</v>
      </c>
      <c r="M146" s="615" t="e">
        <f t="shared" si="9"/>
        <v>#N/A</v>
      </c>
      <c r="N146" s="613" t="e">
        <f t="shared" si="10"/>
        <v>#N/A</v>
      </c>
      <c r="O146" s="442" t="str">
        <f t="shared" si="15"/>
        <v/>
      </c>
    </row>
    <row r="147" spans="1:15">
      <c r="A147" s="626"/>
      <c r="B147" s="484"/>
      <c r="C147" s="628"/>
      <c r="D147" s="628"/>
      <c r="E147" s="484"/>
      <c r="F147" s="484"/>
      <c r="G147" s="613" t="e">
        <f t="shared" si="11"/>
        <v>#N/A</v>
      </c>
      <c r="H147" s="627"/>
      <c r="I147" s="614">
        <f t="shared" si="12"/>
        <v>0</v>
      </c>
      <c r="J147" s="630" t="e">
        <f t="shared" si="13"/>
        <v>#DIV/0!</v>
      </c>
      <c r="K147" s="631" t="e">
        <f t="shared" si="8"/>
        <v>#N/A</v>
      </c>
      <c r="L147" s="631">
        <f t="shared" si="14"/>
        <v>0</v>
      </c>
      <c r="M147" s="615" t="e">
        <f t="shared" si="9"/>
        <v>#N/A</v>
      </c>
      <c r="N147" s="613" t="e">
        <f t="shared" si="10"/>
        <v>#N/A</v>
      </c>
      <c r="O147" s="442" t="str">
        <f t="shared" si="15"/>
        <v/>
      </c>
    </row>
    <row r="148" spans="1:15">
      <c r="A148" s="626"/>
      <c r="B148" s="484"/>
      <c r="C148" s="629"/>
      <c r="D148" s="628"/>
      <c r="E148" s="484"/>
      <c r="F148" s="484"/>
      <c r="G148" s="613" t="e">
        <f t="shared" si="11"/>
        <v>#N/A</v>
      </c>
      <c r="H148" s="627"/>
      <c r="I148" s="614">
        <f t="shared" si="12"/>
        <v>0</v>
      </c>
      <c r="J148" s="630" t="e">
        <f t="shared" si="13"/>
        <v>#DIV/0!</v>
      </c>
      <c r="K148" s="631" t="e">
        <f t="shared" si="8"/>
        <v>#N/A</v>
      </c>
      <c r="L148" s="631">
        <f t="shared" si="14"/>
        <v>0</v>
      </c>
      <c r="M148" s="615" t="e">
        <f t="shared" si="9"/>
        <v>#N/A</v>
      </c>
      <c r="N148" s="613" t="e">
        <f t="shared" si="10"/>
        <v>#N/A</v>
      </c>
      <c r="O148" s="442" t="str">
        <f t="shared" si="15"/>
        <v/>
      </c>
    </row>
    <row r="149" spans="1:15">
      <c r="A149" s="626"/>
      <c r="B149" s="484"/>
      <c r="C149" s="628"/>
      <c r="D149" s="628"/>
      <c r="E149" s="484"/>
      <c r="F149" s="484"/>
      <c r="G149" s="613" t="e">
        <f t="shared" si="11"/>
        <v>#N/A</v>
      </c>
      <c r="H149" s="627"/>
      <c r="I149" s="614">
        <f t="shared" si="12"/>
        <v>0</v>
      </c>
      <c r="J149" s="630" t="e">
        <f t="shared" si="13"/>
        <v>#DIV/0!</v>
      </c>
      <c r="K149" s="631" t="e">
        <f t="shared" si="8"/>
        <v>#N/A</v>
      </c>
      <c r="L149" s="631">
        <f t="shared" si="14"/>
        <v>0</v>
      </c>
      <c r="M149" s="615" t="e">
        <f t="shared" si="9"/>
        <v>#N/A</v>
      </c>
      <c r="N149" s="613" t="e">
        <f t="shared" si="10"/>
        <v>#N/A</v>
      </c>
      <c r="O149" s="442" t="str">
        <f t="shared" si="15"/>
        <v/>
      </c>
    </row>
    <row r="150" spans="1:15">
      <c r="A150" s="626"/>
      <c r="B150" s="484"/>
      <c r="C150" s="628"/>
      <c r="D150" s="628"/>
      <c r="E150" s="484"/>
      <c r="F150" s="484"/>
      <c r="G150" s="613" t="e">
        <f t="shared" si="11"/>
        <v>#N/A</v>
      </c>
      <c r="H150" s="627"/>
      <c r="I150" s="614">
        <f t="shared" si="12"/>
        <v>0</v>
      </c>
      <c r="J150" s="630" t="e">
        <f t="shared" si="13"/>
        <v>#DIV/0!</v>
      </c>
      <c r="K150" s="631" t="e">
        <f t="shared" si="8"/>
        <v>#N/A</v>
      </c>
      <c r="L150" s="631">
        <f t="shared" si="14"/>
        <v>0</v>
      </c>
      <c r="M150" s="615" t="e">
        <f t="shared" si="9"/>
        <v>#N/A</v>
      </c>
      <c r="N150" s="613" t="e">
        <f t="shared" si="10"/>
        <v>#N/A</v>
      </c>
      <c r="O150" s="442" t="str">
        <f t="shared" si="15"/>
        <v/>
      </c>
    </row>
    <row r="151" spans="1:15">
      <c r="A151" s="626"/>
      <c r="B151" s="484"/>
      <c r="C151" s="628"/>
      <c r="D151" s="628"/>
      <c r="E151" s="484"/>
      <c r="F151" s="484"/>
      <c r="G151" s="613" t="e">
        <f t="shared" si="11"/>
        <v>#N/A</v>
      </c>
      <c r="H151" s="627"/>
      <c r="I151" s="614">
        <f t="shared" si="12"/>
        <v>0</v>
      </c>
      <c r="J151" s="630" t="e">
        <f t="shared" si="13"/>
        <v>#DIV/0!</v>
      </c>
      <c r="K151" s="631" t="e">
        <f t="shared" si="8"/>
        <v>#N/A</v>
      </c>
      <c r="L151" s="631">
        <f t="shared" si="14"/>
        <v>0</v>
      </c>
      <c r="M151" s="615" t="e">
        <f t="shared" si="9"/>
        <v>#N/A</v>
      </c>
      <c r="N151" s="613" t="e">
        <f t="shared" si="10"/>
        <v>#N/A</v>
      </c>
      <c r="O151" s="442" t="str">
        <f t="shared" si="15"/>
        <v/>
      </c>
    </row>
    <row r="152" spans="1:15">
      <c r="A152" s="626"/>
      <c r="B152" s="484"/>
      <c r="C152" s="628"/>
      <c r="D152" s="628"/>
      <c r="E152" s="484"/>
      <c r="F152" s="484"/>
      <c r="G152" s="613" t="e">
        <f t="shared" si="11"/>
        <v>#N/A</v>
      </c>
      <c r="H152" s="627"/>
      <c r="I152" s="614">
        <f t="shared" si="12"/>
        <v>0</v>
      </c>
      <c r="J152" s="630" t="e">
        <f t="shared" si="13"/>
        <v>#DIV/0!</v>
      </c>
      <c r="K152" s="631" t="e">
        <f t="shared" si="8"/>
        <v>#N/A</v>
      </c>
      <c r="L152" s="631">
        <f t="shared" si="14"/>
        <v>0</v>
      </c>
      <c r="M152" s="615" t="e">
        <f t="shared" si="9"/>
        <v>#N/A</v>
      </c>
      <c r="N152" s="613" t="e">
        <f t="shared" si="10"/>
        <v>#N/A</v>
      </c>
      <c r="O152" s="442" t="str">
        <f t="shared" si="15"/>
        <v/>
      </c>
    </row>
    <row r="153" spans="1:15">
      <c r="A153" s="626"/>
      <c r="B153" s="484"/>
      <c r="C153" s="628"/>
      <c r="D153" s="628"/>
      <c r="E153" s="484"/>
      <c r="F153" s="484"/>
      <c r="G153" s="613" t="e">
        <f t="shared" si="11"/>
        <v>#N/A</v>
      </c>
      <c r="H153" s="627"/>
      <c r="I153" s="614">
        <f t="shared" si="12"/>
        <v>0</v>
      </c>
      <c r="J153" s="630" t="e">
        <f t="shared" si="13"/>
        <v>#DIV/0!</v>
      </c>
      <c r="K153" s="631" t="e">
        <f t="shared" si="8"/>
        <v>#N/A</v>
      </c>
      <c r="L153" s="631">
        <f t="shared" si="14"/>
        <v>0</v>
      </c>
      <c r="M153" s="615" t="e">
        <f t="shared" si="9"/>
        <v>#N/A</v>
      </c>
      <c r="N153" s="613" t="e">
        <f t="shared" si="10"/>
        <v>#N/A</v>
      </c>
      <c r="O153" s="442" t="str">
        <f t="shared" si="15"/>
        <v/>
      </c>
    </row>
    <row r="154" spans="1:15">
      <c r="A154" s="626"/>
      <c r="B154" s="484"/>
      <c r="C154" s="629"/>
      <c r="D154" s="628"/>
      <c r="E154" s="484"/>
      <c r="F154" s="484"/>
      <c r="G154" s="613" t="e">
        <f t="shared" si="11"/>
        <v>#N/A</v>
      </c>
      <c r="H154" s="627"/>
      <c r="I154" s="614">
        <f t="shared" si="12"/>
        <v>0</v>
      </c>
      <c r="J154" s="630" t="e">
        <f t="shared" si="13"/>
        <v>#DIV/0!</v>
      </c>
      <c r="K154" s="631" t="e">
        <f t="shared" si="8"/>
        <v>#N/A</v>
      </c>
      <c r="L154" s="631">
        <f t="shared" si="14"/>
        <v>0</v>
      </c>
      <c r="M154" s="615" t="e">
        <f t="shared" si="9"/>
        <v>#N/A</v>
      </c>
      <c r="N154" s="613" t="e">
        <f t="shared" si="10"/>
        <v>#N/A</v>
      </c>
      <c r="O154" s="442" t="str">
        <f t="shared" si="15"/>
        <v/>
      </c>
    </row>
    <row r="155" spans="1:15">
      <c r="A155" s="626"/>
      <c r="B155" s="484"/>
      <c r="C155" s="628"/>
      <c r="D155" s="628"/>
      <c r="E155" s="484"/>
      <c r="F155" s="484"/>
      <c r="G155" s="613" t="e">
        <f t="shared" si="11"/>
        <v>#N/A</v>
      </c>
      <c r="H155" s="627"/>
      <c r="I155" s="614">
        <f t="shared" si="12"/>
        <v>0</v>
      </c>
      <c r="J155" s="630" t="e">
        <f t="shared" si="13"/>
        <v>#DIV/0!</v>
      </c>
      <c r="K155" s="631" t="e">
        <f t="shared" si="8"/>
        <v>#N/A</v>
      </c>
      <c r="L155" s="631">
        <f t="shared" si="14"/>
        <v>0</v>
      </c>
      <c r="M155" s="615" t="e">
        <f t="shared" si="9"/>
        <v>#N/A</v>
      </c>
      <c r="N155" s="613" t="e">
        <f t="shared" si="10"/>
        <v>#N/A</v>
      </c>
      <c r="O155" s="442" t="str">
        <f t="shared" si="15"/>
        <v/>
      </c>
    </row>
    <row r="156" spans="1:15">
      <c r="A156" s="626"/>
      <c r="B156" s="484"/>
      <c r="C156" s="628"/>
      <c r="D156" s="628"/>
      <c r="E156" s="484"/>
      <c r="F156" s="484"/>
      <c r="G156" s="613" t="e">
        <f t="shared" si="11"/>
        <v>#N/A</v>
      </c>
      <c r="H156" s="627"/>
      <c r="I156" s="614">
        <f t="shared" si="12"/>
        <v>0</v>
      </c>
      <c r="J156" s="630" t="e">
        <f t="shared" si="13"/>
        <v>#DIV/0!</v>
      </c>
      <c r="K156" s="631" t="e">
        <f t="shared" si="8"/>
        <v>#N/A</v>
      </c>
      <c r="L156" s="631">
        <f t="shared" si="14"/>
        <v>0</v>
      </c>
      <c r="M156" s="615" t="e">
        <f t="shared" si="9"/>
        <v>#N/A</v>
      </c>
      <c r="N156" s="613" t="e">
        <f t="shared" si="10"/>
        <v>#N/A</v>
      </c>
      <c r="O156" s="442" t="str">
        <f t="shared" si="15"/>
        <v/>
      </c>
    </row>
    <row r="157" spans="1:15">
      <c r="A157" s="626"/>
      <c r="B157" s="484"/>
      <c r="C157" s="628"/>
      <c r="D157" s="628"/>
      <c r="E157" s="484"/>
      <c r="F157" s="484"/>
      <c r="G157" s="613" t="e">
        <f t="shared" si="11"/>
        <v>#N/A</v>
      </c>
      <c r="H157" s="627"/>
      <c r="I157" s="614">
        <f t="shared" si="12"/>
        <v>0</v>
      </c>
      <c r="J157" s="630" t="e">
        <f t="shared" si="13"/>
        <v>#DIV/0!</v>
      </c>
      <c r="K157" s="631" t="e">
        <f t="shared" ref="K157:K220" si="16">LOOKUP(D157, LightingSpaceType, LPD)</f>
        <v>#N/A</v>
      </c>
      <c r="L157" s="631">
        <f t="shared" si="14"/>
        <v>0</v>
      </c>
      <c r="M157" s="615" t="e">
        <f t="shared" ref="M157:M220" si="17">IF(D157="Exit Signs","NA", E157*LOOKUP(F157,$I$4:$I$26,$L$4:$L$26)/B157)</f>
        <v>#N/A</v>
      </c>
      <c r="N157" s="613" t="e">
        <f t="shared" ref="N157:N220" si="18">LOOKUP(D157, LightingSpaceType, Footcandles)</f>
        <v>#N/A</v>
      </c>
      <c r="O157" s="442" t="str">
        <f t="shared" si="15"/>
        <v/>
      </c>
    </row>
    <row r="158" spans="1:15">
      <c r="A158" s="626"/>
      <c r="B158" s="484"/>
      <c r="C158" s="628"/>
      <c r="D158" s="628"/>
      <c r="E158" s="484"/>
      <c r="F158" s="484"/>
      <c r="G158" s="613" t="e">
        <f t="shared" ref="G158:G221" si="19">LOOKUP(F158, $I$4:$I$17, $K$4:$K$17)</f>
        <v>#N/A</v>
      </c>
      <c r="H158" s="627"/>
      <c r="I158" s="614">
        <f t="shared" ref="I158:I221" si="20">IF(E158&gt;0, E158*G158*H158, 0)</f>
        <v>0</v>
      </c>
      <c r="J158" s="630" t="e">
        <f t="shared" ref="J158:J221" si="21">IF(D158="Exit Signs","convert to kW", I158/B158)</f>
        <v>#DIV/0!</v>
      </c>
      <c r="K158" s="631" t="e">
        <f t="shared" si="16"/>
        <v>#N/A</v>
      </c>
      <c r="L158" s="631">
        <f t="shared" ref="L158:L221" si="22">IF(D158="Exit Signs", 5*E158, IF(B158&gt;0, K158*B158, 0))</f>
        <v>0</v>
      </c>
      <c r="M158" s="615" t="e">
        <f t="shared" si="17"/>
        <v>#N/A</v>
      </c>
      <c r="N158" s="613" t="e">
        <f t="shared" si="18"/>
        <v>#N/A</v>
      </c>
      <c r="O158" s="442" t="str">
        <f t="shared" ref="O158:O221" si="23">IF(E158&gt;0, IF(M158&lt;N158, "Insufficient lighting to meet IESNA footcandle recommendations.", ""), "")</f>
        <v/>
      </c>
    </row>
    <row r="159" spans="1:15">
      <c r="A159" s="626"/>
      <c r="B159" s="484"/>
      <c r="C159" s="628"/>
      <c r="D159" s="628"/>
      <c r="E159" s="484"/>
      <c r="F159" s="484"/>
      <c r="G159" s="613" t="e">
        <f t="shared" si="19"/>
        <v>#N/A</v>
      </c>
      <c r="H159" s="627"/>
      <c r="I159" s="614">
        <f t="shared" si="20"/>
        <v>0</v>
      </c>
      <c r="J159" s="630" t="e">
        <f t="shared" si="21"/>
        <v>#DIV/0!</v>
      </c>
      <c r="K159" s="631" t="e">
        <f t="shared" si="16"/>
        <v>#N/A</v>
      </c>
      <c r="L159" s="631">
        <f t="shared" si="22"/>
        <v>0</v>
      </c>
      <c r="M159" s="615" t="e">
        <f t="shared" si="17"/>
        <v>#N/A</v>
      </c>
      <c r="N159" s="613" t="e">
        <f t="shared" si="18"/>
        <v>#N/A</v>
      </c>
      <c r="O159" s="442" t="str">
        <f t="shared" si="23"/>
        <v/>
      </c>
    </row>
    <row r="160" spans="1:15">
      <c r="A160" s="626"/>
      <c r="B160" s="484"/>
      <c r="C160" s="629"/>
      <c r="D160" s="628"/>
      <c r="E160" s="484"/>
      <c r="F160" s="484"/>
      <c r="G160" s="613" t="e">
        <f t="shared" si="19"/>
        <v>#N/A</v>
      </c>
      <c r="H160" s="627"/>
      <c r="I160" s="614">
        <f t="shared" si="20"/>
        <v>0</v>
      </c>
      <c r="J160" s="630" t="e">
        <f t="shared" si="21"/>
        <v>#DIV/0!</v>
      </c>
      <c r="K160" s="631" t="e">
        <f t="shared" si="16"/>
        <v>#N/A</v>
      </c>
      <c r="L160" s="631">
        <f t="shared" si="22"/>
        <v>0</v>
      </c>
      <c r="M160" s="615" t="e">
        <f t="shared" si="17"/>
        <v>#N/A</v>
      </c>
      <c r="N160" s="613" t="e">
        <f t="shared" si="18"/>
        <v>#N/A</v>
      </c>
      <c r="O160" s="442" t="str">
        <f t="shared" si="23"/>
        <v/>
      </c>
    </row>
    <row r="161" spans="1:15">
      <c r="A161" s="626"/>
      <c r="B161" s="484"/>
      <c r="C161" s="628"/>
      <c r="D161" s="628"/>
      <c r="E161" s="484"/>
      <c r="F161" s="484"/>
      <c r="G161" s="613" t="e">
        <f t="shared" si="19"/>
        <v>#N/A</v>
      </c>
      <c r="H161" s="627"/>
      <c r="I161" s="614">
        <f t="shared" si="20"/>
        <v>0</v>
      </c>
      <c r="J161" s="630" t="e">
        <f t="shared" si="21"/>
        <v>#DIV/0!</v>
      </c>
      <c r="K161" s="631" t="e">
        <f t="shared" si="16"/>
        <v>#N/A</v>
      </c>
      <c r="L161" s="631">
        <f t="shared" si="22"/>
        <v>0</v>
      </c>
      <c r="M161" s="615" t="e">
        <f t="shared" si="17"/>
        <v>#N/A</v>
      </c>
      <c r="N161" s="613" t="e">
        <f t="shared" si="18"/>
        <v>#N/A</v>
      </c>
      <c r="O161" s="442" t="str">
        <f t="shared" si="23"/>
        <v/>
      </c>
    </row>
    <row r="162" spans="1:15">
      <c r="A162" s="626"/>
      <c r="B162" s="484"/>
      <c r="C162" s="628"/>
      <c r="D162" s="628"/>
      <c r="E162" s="484"/>
      <c r="F162" s="484"/>
      <c r="G162" s="613" t="e">
        <f t="shared" si="19"/>
        <v>#N/A</v>
      </c>
      <c r="H162" s="627"/>
      <c r="I162" s="614">
        <f t="shared" si="20"/>
        <v>0</v>
      </c>
      <c r="J162" s="630" t="e">
        <f t="shared" si="21"/>
        <v>#DIV/0!</v>
      </c>
      <c r="K162" s="631" t="e">
        <f t="shared" si="16"/>
        <v>#N/A</v>
      </c>
      <c r="L162" s="631">
        <f t="shared" si="22"/>
        <v>0</v>
      </c>
      <c r="M162" s="615" t="e">
        <f t="shared" si="17"/>
        <v>#N/A</v>
      </c>
      <c r="N162" s="613" t="e">
        <f t="shared" si="18"/>
        <v>#N/A</v>
      </c>
      <c r="O162" s="442" t="str">
        <f t="shared" si="23"/>
        <v/>
      </c>
    </row>
    <row r="163" spans="1:15">
      <c r="A163" s="626"/>
      <c r="B163" s="484"/>
      <c r="C163" s="628"/>
      <c r="D163" s="628"/>
      <c r="E163" s="484"/>
      <c r="F163" s="484"/>
      <c r="G163" s="613" t="e">
        <f t="shared" si="19"/>
        <v>#N/A</v>
      </c>
      <c r="H163" s="627"/>
      <c r="I163" s="614">
        <f t="shared" si="20"/>
        <v>0</v>
      </c>
      <c r="J163" s="630" t="e">
        <f t="shared" si="21"/>
        <v>#DIV/0!</v>
      </c>
      <c r="K163" s="631" t="e">
        <f t="shared" si="16"/>
        <v>#N/A</v>
      </c>
      <c r="L163" s="631">
        <f t="shared" si="22"/>
        <v>0</v>
      </c>
      <c r="M163" s="615" t="e">
        <f t="shared" si="17"/>
        <v>#N/A</v>
      </c>
      <c r="N163" s="613" t="e">
        <f t="shared" si="18"/>
        <v>#N/A</v>
      </c>
      <c r="O163" s="442" t="str">
        <f t="shared" si="23"/>
        <v/>
      </c>
    </row>
    <row r="164" spans="1:15">
      <c r="A164" s="626"/>
      <c r="B164" s="484"/>
      <c r="C164" s="628"/>
      <c r="D164" s="628"/>
      <c r="E164" s="484"/>
      <c r="F164" s="484"/>
      <c r="G164" s="613" t="e">
        <f t="shared" si="19"/>
        <v>#N/A</v>
      </c>
      <c r="H164" s="627"/>
      <c r="I164" s="614">
        <f t="shared" si="20"/>
        <v>0</v>
      </c>
      <c r="J164" s="630" t="e">
        <f t="shared" si="21"/>
        <v>#DIV/0!</v>
      </c>
      <c r="K164" s="631" t="e">
        <f t="shared" si="16"/>
        <v>#N/A</v>
      </c>
      <c r="L164" s="631">
        <f t="shared" si="22"/>
        <v>0</v>
      </c>
      <c r="M164" s="615" t="e">
        <f t="shared" si="17"/>
        <v>#N/A</v>
      </c>
      <c r="N164" s="613" t="e">
        <f t="shared" si="18"/>
        <v>#N/A</v>
      </c>
      <c r="O164" s="442" t="str">
        <f t="shared" si="23"/>
        <v/>
      </c>
    </row>
    <row r="165" spans="1:15">
      <c r="A165" s="626"/>
      <c r="B165" s="484"/>
      <c r="C165" s="628"/>
      <c r="D165" s="628"/>
      <c r="E165" s="484"/>
      <c r="F165" s="484"/>
      <c r="G165" s="613" t="e">
        <f t="shared" si="19"/>
        <v>#N/A</v>
      </c>
      <c r="H165" s="627"/>
      <c r="I165" s="614">
        <f t="shared" si="20"/>
        <v>0</v>
      </c>
      <c r="J165" s="630" t="e">
        <f t="shared" si="21"/>
        <v>#DIV/0!</v>
      </c>
      <c r="K165" s="631" t="e">
        <f t="shared" si="16"/>
        <v>#N/A</v>
      </c>
      <c r="L165" s="631">
        <f t="shared" si="22"/>
        <v>0</v>
      </c>
      <c r="M165" s="615" t="e">
        <f t="shared" si="17"/>
        <v>#N/A</v>
      </c>
      <c r="N165" s="613" t="e">
        <f t="shared" si="18"/>
        <v>#N/A</v>
      </c>
      <c r="O165" s="442" t="str">
        <f t="shared" si="23"/>
        <v/>
      </c>
    </row>
    <row r="166" spans="1:15">
      <c r="A166" s="626"/>
      <c r="B166" s="484"/>
      <c r="C166" s="629"/>
      <c r="D166" s="628"/>
      <c r="E166" s="484"/>
      <c r="F166" s="484"/>
      <c r="G166" s="613" t="e">
        <f t="shared" si="19"/>
        <v>#N/A</v>
      </c>
      <c r="H166" s="627"/>
      <c r="I166" s="614">
        <f t="shared" si="20"/>
        <v>0</v>
      </c>
      <c r="J166" s="630" t="e">
        <f t="shared" si="21"/>
        <v>#DIV/0!</v>
      </c>
      <c r="K166" s="631" t="e">
        <f t="shared" si="16"/>
        <v>#N/A</v>
      </c>
      <c r="L166" s="631">
        <f t="shared" si="22"/>
        <v>0</v>
      </c>
      <c r="M166" s="615" t="e">
        <f t="shared" si="17"/>
        <v>#N/A</v>
      </c>
      <c r="N166" s="613" t="e">
        <f t="shared" si="18"/>
        <v>#N/A</v>
      </c>
      <c r="O166" s="442" t="str">
        <f t="shared" si="23"/>
        <v/>
      </c>
    </row>
    <row r="167" spans="1:15">
      <c r="A167" s="626"/>
      <c r="B167" s="484"/>
      <c r="C167" s="628"/>
      <c r="D167" s="628"/>
      <c r="E167" s="484"/>
      <c r="F167" s="484"/>
      <c r="G167" s="613" t="e">
        <f t="shared" si="19"/>
        <v>#N/A</v>
      </c>
      <c r="H167" s="627"/>
      <c r="I167" s="614">
        <f t="shared" si="20"/>
        <v>0</v>
      </c>
      <c r="J167" s="630" t="e">
        <f t="shared" si="21"/>
        <v>#DIV/0!</v>
      </c>
      <c r="K167" s="631" t="e">
        <f t="shared" si="16"/>
        <v>#N/A</v>
      </c>
      <c r="L167" s="631">
        <f t="shared" si="22"/>
        <v>0</v>
      </c>
      <c r="M167" s="615" t="e">
        <f t="shared" si="17"/>
        <v>#N/A</v>
      </c>
      <c r="N167" s="613" t="e">
        <f t="shared" si="18"/>
        <v>#N/A</v>
      </c>
      <c r="O167" s="442" t="str">
        <f t="shared" si="23"/>
        <v/>
      </c>
    </row>
    <row r="168" spans="1:15">
      <c r="A168" s="626"/>
      <c r="B168" s="484"/>
      <c r="C168" s="628"/>
      <c r="D168" s="628"/>
      <c r="E168" s="484"/>
      <c r="F168" s="484"/>
      <c r="G168" s="613" t="e">
        <f t="shared" si="19"/>
        <v>#N/A</v>
      </c>
      <c r="H168" s="627"/>
      <c r="I168" s="614">
        <f t="shared" si="20"/>
        <v>0</v>
      </c>
      <c r="J168" s="630" t="e">
        <f t="shared" si="21"/>
        <v>#DIV/0!</v>
      </c>
      <c r="K168" s="631" t="e">
        <f t="shared" si="16"/>
        <v>#N/A</v>
      </c>
      <c r="L168" s="631">
        <f t="shared" si="22"/>
        <v>0</v>
      </c>
      <c r="M168" s="615" t="e">
        <f t="shared" si="17"/>
        <v>#N/A</v>
      </c>
      <c r="N168" s="613" t="e">
        <f t="shared" si="18"/>
        <v>#N/A</v>
      </c>
      <c r="O168" s="442" t="str">
        <f t="shared" si="23"/>
        <v/>
      </c>
    </row>
    <row r="169" spans="1:15">
      <c r="A169" s="626"/>
      <c r="B169" s="484"/>
      <c r="C169" s="628"/>
      <c r="D169" s="628"/>
      <c r="E169" s="484"/>
      <c r="F169" s="484"/>
      <c r="G169" s="613" t="e">
        <f t="shared" si="19"/>
        <v>#N/A</v>
      </c>
      <c r="H169" s="627"/>
      <c r="I169" s="614">
        <f t="shared" si="20"/>
        <v>0</v>
      </c>
      <c r="J169" s="630" t="e">
        <f t="shared" si="21"/>
        <v>#DIV/0!</v>
      </c>
      <c r="K169" s="631" t="e">
        <f t="shared" si="16"/>
        <v>#N/A</v>
      </c>
      <c r="L169" s="631">
        <f t="shared" si="22"/>
        <v>0</v>
      </c>
      <c r="M169" s="615" t="e">
        <f t="shared" si="17"/>
        <v>#N/A</v>
      </c>
      <c r="N169" s="613" t="e">
        <f t="shared" si="18"/>
        <v>#N/A</v>
      </c>
      <c r="O169" s="442" t="str">
        <f t="shared" si="23"/>
        <v/>
      </c>
    </row>
    <row r="170" spans="1:15">
      <c r="A170" s="626"/>
      <c r="B170" s="484"/>
      <c r="C170" s="628"/>
      <c r="D170" s="628"/>
      <c r="E170" s="484"/>
      <c r="F170" s="484"/>
      <c r="G170" s="613" t="e">
        <f t="shared" si="19"/>
        <v>#N/A</v>
      </c>
      <c r="H170" s="627"/>
      <c r="I170" s="614">
        <f t="shared" si="20"/>
        <v>0</v>
      </c>
      <c r="J170" s="630" t="e">
        <f t="shared" si="21"/>
        <v>#DIV/0!</v>
      </c>
      <c r="K170" s="631" t="e">
        <f t="shared" si="16"/>
        <v>#N/A</v>
      </c>
      <c r="L170" s="631">
        <f t="shared" si="22"/>
        <v>0</v>
      </c>
      <c r="M170" s="615" t="e">
        <f t="shared" si="17"/>
        <v>#N/A</v>
      </c>
      <c r="N170" s="613" t="e">
        <f t="shared" si="18"/>
        <v>#N/A</v>
      </c>
      <c r="O170" s="442" t="str">
        <f t="shared" si="23"/>
        <v/>
      </c>
    </row>
    <row r="171" spans="1:15">
      <c r="A171" s="626"/>
      <c r="B171" s="484"/>
      <c r="C171" s="628"/>
      <c r="D171" s="628"/>
      <c r="E171" s="484"/>
      <c r="F171" s="484"/>
      <c r="G171" s="613" t="e">
        <f t="shared" si="19"/>
        <v>#N/A</v>
      </c>
      <c r="H171" s="627"/>
      <c r="I171" s="614">
        <f t="shared" si="20"/>
        <v>0</v>
      </c>
      <c r="J171" s="630" t="e">
        <f t="shared" si="21"/>
        <v>#DIV/0!</v>
      </c>
      <c r="K171" s="631" t="e">
        <f t="shared" si="16"/>
        <v>#N/A</v>
      </c>
      <c r="L171" s="631">
        <f t="shared" si="22"/>
        <v>0</v>
      </c>
      <c r="M171" s="615" t="e">
        <f t="shared" si="17"/>
        <v>#N/A</v>
      </c>
      <c r="N171" s="613" t="e">
        <f t="shared" si="18"/>
        <v>#N/A</v>
      </c>
      <c r="O171" s="442" t="str">
        <f t="shared" si="23"/>
        <v/>
      </c>
    </row>
    <row r="172" spans="1:15">
      <c r="A172" s="626"/>
      <c r="B172" s="484"/>
      <c r="C172" s="629"/>
      <c r="D172" s="628"/>
      <c r="E172" s="484"/>
      <c r="F172" s="484"/>
      <c r="G172" s="613" t="e">
        <f t="shared" si="19"/>
        <v>#N/A</v>
      </c>
      <c r="H172" s="627"/>
      <c r="I172" s="614">
        <f t="shared" si="20"/>
        <v>0</v>
      </c>
      <c r="J172" s="630" t="e">
        <f t="shared" si="21"/>
        <v>#DIV/0!</v>
      </c>
      <c r="K172" s="631" t="e">
        <f t="shared" si="16"/>
        <v>#N/A</v>
      </c>
      <c r="L172" s="631">
        <f t="shared" si="22"/>
        <v>0</v>
      </c>
      <c r="M172" s="615" t="e">
        <f t="shared" si="17"/>
        <v>#N/A</v>
      </c>
      <c r="N172" s="613" t="e">
        <f t="shared" si="18"/>
        <v>#N/A</v>
      </c>
      <c r="O172" s="442" t="str">
        <f t="shared" si="23"/>
        <v/>
      </c>
    </row>
    <row r="173" spans="1:15">
      <c r="A173" s="626"/>
      <c r="B173" s="484"/>
      <c r="C173" s="628"/>
      <c r="D173" s="628"/>
      <c r="E173" s="484"/>
      <c r="F173" s="484"/>
      <c r="G173" s="613" t="e">
        <f t="shared" si="19"/>
        <v>#N/A</v>
      </c>
      <c r="H173" s="627"/>
      <c r="I173" s="614">
        <f t="shared" si="20"/>
        <v>0</v>
      </c>
      <c r="J173" s="630" t="e">
        <f t="shared" si="21"/>
        <v>#DIV/0!</v>
      </c>
      <c r="K173" s="631" t="e">
        <f t="shared" si="16"/>
        <v>#N/A</v>
      </c>
      <c r="L173" s="631">
        <f t="shared" si="22"/>
        <v>0</v>
      </c>
      <c r="M173" s="615" t="e">
        <f t="shared" si="17"/>
        <v>#N/A</v>
      </c>
      <c r="N173" s="613" t="e">
        <f t="shared" si="18"/>
        <v>#N/A</v>
      </c>
      <c r="O173" s="442" t="str">
        <f t="shared" si="23"/>
        <v/>
      </c>
    </row>
    <row r="174" spans="1:15">
      <c r="A174" s="626"/>
      <c r="B174" s="484"/>
      <c r="C174" s="628"/>
      <c r="D174" s="628"/>
      <c r="E174" s="484"/>
      <c r="F174" s="484"/>
      <c r="G174" s="613" t="e">
        <f t="shared" si="19"/>
        <v>#N/A</v>
      </c>
      <c r="H174" s="627"/>
      <c r="I174" s="614">
        <f t="shared" si="20"/>
        <v>0</v>
      </c>
      <c r="J174" s="630" t="e">
        <f t="shared" si="21"/>
        <v>#DIV/0!</v>
      </c>
      <c r="K174" s="631" t="e">
        <f t="shared" si="16"/>
        <v>#N/A</v>
      </c>
      <c r="L174" s="631">
        <f t="shared" si="22"/>
        <v>0</v>
      </c>
      <c r="M174" s="615" t="e">
        <f t="shared" si="17"/>
        <v>#N/A</v>
      </c>
      <c r="N174" s="613" t="e">
        <f t="shared" si="18"/>
        <v>#N/A</v>
      </c>
      <c r="O174" s="442" t="str">
        <f t="shared" si="23"/>
        <v/>
      </c>
    </row>
    <row r="175" spans="1:15">
      <c r="A175" s="626"/>
      <c r="B175" s="484"/>
      <c r="C175" s="628"/>
      <c r="D175" s="628"/>
      <c r="E175" s="484"/>
      <c r="F175" s="484"/>
      <c r="G175" s="613" t="e">
        <f t="shared" si="19"/>
        <v>#N/A</v>
      </c>
      <c r="H175" s="627"/>
      <c r="I175" s="614">
        <f t="shared" si="20"/>
        <v>0</v>
      </c>
      <c r="J175" s="630" t="e">
        <f t="shared" si="21"/>
        <v>#DIV/0!</v>
      </c>
      <c r="K175" s="631" t="e">
        <f t="shared" si="16"/>
        <v>#N/A</v>
      </c>
      <c r="L175" s="631">
        <f t="shared" si="22"/>
        <v>0</v>
      </c>
      <c r="M175" s="615" t="e">
        <f t="shared" si="17"/>
        <v>#N/A</v>
      </c>
      <c r="N175" s="613" t="e">
        <f t="shared" si="18"/>
        <v>#N/A</v>
      </c>
      <c r="O175" s="442" t="str">
        <f t="shared" si="23"/>
        <v/>
      </c>
    </row>
    <row r="176" spans="1:15">
      <c r="A176" s="626"/>
      <c r="B176" s="484"/>
      <c r="C176" s="628"/>
      <c r="D176" s="628"/>
      <c r="E176" s="484"/>
      <c r="F176" s="484"/>
      <c r="G176" s="613" t="e">
        <f t="shared" si="19"/>
        <v>#N/A</v>
      </c>
      <c r="H176" s="627"/>
      <c r="I176" s="614">
        <f t="shared" si="20"/>
        <v>0</v>
      </c>
      <c r="J176" s="630" t="e">
        <f t="shared" si="21"/>
        <v>#DIV/0!</v>
      </c>
      <c r="K176" s="631" t="e">
        <f t="shared" si="16"/>
        <v>#N/A</v>
      </c>
      <c r="L176" s="631">
        <f t="shared" si="22"/>
        <v>0</v>
      </c>
      <c r="M176" s="615" t="e">
        <f t="shared" si="17"/>
        <v>#N/A</v>
      </c>
      <c r="N176" s="613" t="e">
        <f t="shared" si="18"/>
        <v>#N/A</v>
      </c>
      <c r="O176" s="442" t="str">
        <f t="shared" si="23"/>
        <v/>
      </c>
    </row>
    <row r="177" spans="1:15">
      <c r="A177" s="626"/>
      <c r="B177" s="484"/>
      <c r="C177" s="628"/>
      <c r="D177" s="628"/>
      <c r="E177" s="484"/>
      <c r="F177" s="484"/>
      <c r="G177" s="613" t="e">
        <f t="shared" si="19"/>
        <v>#N/A</v>
      </c>
      <c r="H177" s="627"/>
      <c r="I177" s="614">
        <f t="shared" si="20"/>
        <v>0</v>
      </c>
      <c r="J177" s="630" t="e">
        <f t="shared" si="21"/>
        <v>#DIV/0!</v>
      </c>
      <c r="K177" s="631" t="e">
        <f t="shared" si="16"/>
        <v>#N/A</v>
      </c>
      <c r="L177" s="631">
        <f t="shared" si="22"/>
        <v>0</v>
      </c>
      <c r="M177" s="615" t="e">
        <f t="shared" si="17"/>
        <v>#N/A</v>
      </c>
      <c r="N177" s="613" t="e">
        <f t="shared" si="18"/>
        <v>#N/A</v>
      </c>
      <c r="O177" s="442" t="str">
        <f t="shared" si="23"/>
        <v/>
      </c>
    </row>
    <row r="178" spans="1:15">
      <c r="A178" s="626"/>
      <c r="B178" s="484"/>
      <c r="C178" s="629"/>
      <c r="D178" s="628"/>
      <c r="E178" s="484"/>
      <c r="F178" s="484"/>
      <c r="G178" s="613" t="e">
        <f t="shared" si="19"/>
        <v>#N/A</v>
      </c>
      <c r="H178" s="627"/>
      <c r="I178" s="614">
        <f t="shared" si="20"/>
        <v>0</v>
      </c>
      <c r="J178" s="630" t="e">
        <f t="shared" si="21"/>
        <v>#DIV/0!</v>
      </c>
      <c r="K178" s="631" t="e">
        <f t="shared" si="16"/>
        <v>#N/A</v>
      </c>
      <c r="L178" s="631">
        <f t="shared" si="22"/>
        <v>0</v>
      </c>
      <c r="M178" s="615" t="e">
        <f t="shared" si="17"/>
        <v>#N/A</v>
      </c>
      <c r="N178" s="613" t="e">
        <f t="shared" si="18"/>
        <v>#N/A</v>
      </c>
      <c r="O178" s="442" t="str">
        <f t="shared" si="23"/>
        <v/>
      </c>
    </row>
    <row r="179" spans="1:15">
      <c r="A179" s="626"/>
      <c r="B179" s="484"/>
      <c r="C179" s="628"/>
      <c r="D179" s="628"/>
      <c r="E179" s="484"/>
      <c r="F179" s="484"/>
      <c r="G179" s="613" t="e">
        <f t="shared" si="19"/>
        <v>#N/A</v>
      </c>
      <c r="H179" s="627"/>
      <c r="I179" s="614">
        <f t="shared" si="20"/>
        <v>0</v>
      </c>
      <c r="J179" s="630" t="e">
        <f t="shared" si="21"/>
        <v>#DIV/0!</v>
      </c>
      <c r="K179" s="631" t="e">
        <f t="shared" si="16"/>
        <v>#N/A</v>
      </c>
      <c r="L179" s="631">
        <f t="shared" si="22"/>
        <v>0</v>
      </c>
      <c r="M179" s="615" t="e">
        <f t="shared" si="17"/>
        <v>#N/A</v>
      </c>
      <c r="N179" s="613" t="e">
        <f t="shared" si="18"/>
        <v>#N/A</v>
      </c>
      <c r="O179" s="442" t="str">
        <f t="shared" si="23"/>
        <v/>
      </c>
    </row>
    <row r="180" spans="1:15">
      <c r="A180" s="626"/>
      <c r="B180" s="484"/>
      <c r="C180" s="628"/>
      <c r="D180" s="628"/>
      <c r="E180" s="484"/>
      <c r="F180" s="484"/>
      <c r="G180" s="613" t="e">
        <f t="shared" si="19"/>
        <v>#N/A</v>
      </c>
      <c r="H180" s="627"/>
      <c r="I180" s="614">
        <f t="shared" si="20"/>
        <v>0</v>
      </c>
      <c r="J180" s="630" t="e">
        <f t="shared" si="21"/>
        <v>#DIV/0!</v>
      </c>
      <c r="K180" s="631" t="e">
        <f t="shared" si="16"/>
        <v>#N/A</v>
      </c>
      <c r="L180" s="631">
        <f t="shared" si="22"/>
        <v>0</v>
      </c>
      <c r="M180" s="615" t="e">
        <f t="shared" si="17"/>
        <v>#N/A</v>
      </c>
      <c r="N180" s="613" t="e">
        <f t="shared" si="18"/>
        <v>#N/A</v>
      </c>
      <c r="O180" s="442" t="str">
        <f t="shared" si="23"/>
        <v/>
      </c>
    </row>
    <row r="181" spans="1:15">
      <c r="A181" s="626"/>
      <c r="B181" s="484"/>
      <c r="C181" s="628"/>
      <c r="D181" s="628"/>
      <c r="E181" s="484"/>
      <c r="F181" s="484"/>
      <c r="G181" s="613" t="e">
        <f t="shared" si="19"/>
        <v>#N/A</v>
      </c>
      <c r="H181" s="627"/>
      <c r="I181" s="614">
        <f t="shared" si="20"/>
        <v>0</v>
      </c>
      <c r="J181" s="630" t="e">
        <f t="shared" si="21"/>
        <v>#DIV/0!</v>
      </c>
      <c r="K181" s="631" t="e">
        <f t="shared" si="16"/>
        <v>#N/A</v>
      </c>
      <c r="L181" s="631">
        <f t="shared" si="22"/>
        <v>0</v>
      </c>
      <c r="M181" s="615" t="e">
        <f t="shared" si="17"/>
        <v>#N/A</v>
      </c>
      <c r="N181" s="613" t="e">
        <f t="shared" si="18"/>
        <v>#N/A</v>
      </c>
      <c r="O181" s="442" t="str">
        <f t="shared" si="23"/>
        <v/>
      </c>
    </row>
    <row r="182" spans="1:15">
      <c r="A182" s="626"/>
      <c r="B182" s="484"/>
      <c r="C182" s="628"/>
      <c r="D182" s="628"/>
      <c r="E182" s="484"/>
      <c r="F182" s="484"/>
      <c r="G182" s="613" t="e">
        <f t="shared" si="19"/>
        <v>#N/A</v>
      </c>
      <c r="H182" s="627"/>
      <c r="I182" s="614">
        <f t="shared" si="20"/>
        <v>0</v>
      </c>
      <c r="J182" s="630" t="e">
        <f t="shared" si="21"/>
        <v>#DIV/0!</v>
      </c>
      <c r="K182" s="631" t="e">
        <f t="shared" si="16"/>
        <v>#N/A</v>
      </c>
      <c r="L182" s="631">
        <f t="shared" si="22"/>
        <v>0</v>
      </c>
      <c r="M182" s="615" t="e">
        <f t="shared" si="17"/>
        <v>#N/A</v>
      </c>
      <c r="N182" s="613" t="e">
        <f t="shared" si="18"/>
        <v>#N/A</v>
      </c>
      <c r="O182" s="442" t="str">
        <f t="shared" si="23"/>
        <v/>
      </c>
    </row>
    <row r="183" spans="1:15">
      <c r="A183" s="626"/>
      <c r="B183" s="484"/>
      <c r="C183" s="628"/>
      <c r="D183" s="628"/>
      <c r="E183" s="484"/>
      <c r="F183" s="484"/>
      <c r="G183" s="613" t="e">
        <f t="shared" si="19"/>
        <v>#N/A</v>
      </c>
      <c r="H183" s="627"/>
      <c r="I183" s="614">
        <f t="shared" si="20"/>
        <v>0</v>
      </c>
      <c r="J183" s="630" t="e">
        <f t="shared" si="21"/>
        <v>#DIV/0!</v>
      </c>
      <c r="K183" s="631" t="e">
        <f t="shared" si="16"/>
        <v>#N/A</v>
      </c>
      <c r="L183" s="631">
        <f t="shared" si="22"/>
        <v>0</v>
      </c>
      <c r="M183" s="615" t="e">
        <f t="shared" si="17"/>
        <v>#N/A</v>
      </c>
      <c r="N183" s="613" t="e">
        <f t="shared" si="18"/>
        <v>#N/A</v>
      </c>
      <c r="O183" s="442" t="str">
        <f t="shared" si="23"/>
        <v/>
      </c>
    </row>
    <row r="184" spans="1:15">
      <c r="A184" s="626"/>
      <c r="B184" s="484"/>
      <c r="C184" s="629"/>
      <c r="D184" s="628"/>
      <c r="E184" s="484"/>
      <c r="F184" s="484"/>
      <c r="G184" s="613" t="e">
        <f t="shared" si="19"/>
        <v>#N/A</v>
      </c>
      <c r="H184" s="627"/>
      <c r="I184" s="614">
        <f t="shared" si="20"/>
        <v>0</v>
      </c>
      <c r="J184" s="630" t="e">
        <f t="shared" si="21"/>
        <v>#DIV/0!</v>
      </c>
      <c r="K184" s="631" t="e">
        <f t="shared" si="16"/>
        <v>#N/A</v>
      </c>
      <c r="L184" s="631">
        <f t="shared" si="22"/>
        <v>0</v>
      </c>
      <c r="M184" s="615" t="e">
        <f t="shared" si="17"/>
        <v>#N/A</v>
      </c>
      <c r="N184" s="613" t="e">
        <f t="shared" si="18"/>
        <v>#N/A</v>
      </c>
      <c r="O184" s="442" t="str">
        <f t="shared" si="23"/>
        <v/>
      </c>
    </row>
    <row r="185" spans="1:15">
      <c r="A185" s="626"/>
      <c r="B185" s="484"/>
      <c r="C185" s="628"/>
      <c r="D185" s="628"/>
      <c r="E185" s="484"/>
      <c r="F185" s="484"/>
      <c r="G185" s="613" t="e">
        <f t="shared" si="19"/>
        <v>#N/A</v>
      </c>
      <c r="H185" s="627"/>
      <c r="I185" s="614">
        <f t="shared" si="20"/>
        <v>0</v>
      </c>
      <c r="J185" s="630" t="e">
        <f t="shared" si="21"/>
        <v>#DIV/0!</v>
      </c>
      <c r="K185" s="631" t="e">
        <f t="shared" si="16"/>
        <v>#N/A</v>
      </c>
      <c r="L185" s="631">
        <f t="shared" si="22"/>
        <v>0</v>
      </c>
      <c r="M185" s="615" t="e">
        <f t="shared" si="17"/>
        <v>#N/A</v>
      </c>
      <c r="N185" s="613" t="e">
        <f t="shared" si="18"/>
        <v>#N/A</v>
      </c>
      <c r="O185" s="442" t="str">
        <f t="shared" si="23"/>
        <v/>
      </c>
    </row>
    <row r="186" spans="1:15">
      <c r="A186" s="626"/>
      <c r="B186" s="484"/>
      <c r="C186" s="628"/>
      <c r="D186" s="628"/>
      <c r="E186" s="484"/>
      <c r="F186" s="484"/>
      <c r="G186" s="613" t="e">
        <f t="shared" si="19"/>
        <v>#N/A</v>
      </c>
      <c r="H186" s="627"/>
      <c r="I186" s="614">
        <f t="shared" si="20"/>
        <v>0</v>
      </c>
      <c r="J186" s="630" t="e">
        <f t="shared" si="21"/>
        <v>#DIV/0!</v>
      </c>
      <c r="K186" s="631" t="e">
        <f t="shared" si="16"/>
        <v>#N/A</v>
      </c>
      <c r="L186" s="631">
        <f t="shared" si="22"/>
        <v>0</v>
      </c>
      <c r="M186" s="615" t="e">
        <f t="shared" si="17"/>
        <v>#N/A</v>
      </c>
      <c r="N186" s="613" t="e">
        <f t="shared" si="18"/>
        <v>#N/A</v>
      </c>
      <c r="O186" s="442" t="str">
        <f t="shared" si="23"/>
        <v/>
      </c>
    </row>
    <row r="187" spans="1:15">
      <c r="A187" s="626"/>
      <c r="B187" s="484"/>
      <c r="C187" s="628"/>
      <c r="D187" s="628"/>
      <c r="E187" s="484"/>
      <c r="F187" s="484"/>
      <c r="G187" s="613" t="e">
        <f t="shared" si="19"/>
        <v>#N/A</v>
      </c>
      <c r="H187" s="627"/>
      <c r="I187" s="614">
        <f t="shared" si="20"/>
        <v>0</v>
      </c>
      <c r="J187" s="630" t="e">
        <f t="shared" si="21"/>
        <v>#DIV/0!</v>
      </c>
      <c r="K187" s="631" t="e">
        <f t="shared" si="16"/>
        <v>#N/A</v>
      </c>
      <c r="L187" s="631">
        <f t="shared" si="22"/>
        <v>0</v>
      </c>
      <c r="M187" s="615" t="e">
        <f t="shared" si="17"/>
        <v>#N/A</v>
      </c>
      <c r="N187" s="613" t="e">
        <f t="shared" si="18"/>
        <v>#N/A</v>
      </c>
      <c r="O187" s="442" t="str">
        <f t="shared" si="23"/>
        <v/>
      </c>
    </row>
    <row r="188" spans="1:15">
      <c r="A188" s="626"/>
      <c r="B188" s="484"/>
      <c r="C188" s="628"/>
      <c r="D188" s="628"/>
      <c r="E188" s="484"/>
      <c r="F188" s="484"/>
      <c r="G188" s="613" t="e">
        <f t="shared" si="19"/>
        <v>#N/A</v>
      </c>
      <c r="H188" s="627"/>
      <c r="I188" s="614">
        <f t="shared" si="20"/>
        <v>0</v>
      </c>
      <c r="J188" s="630" t="e">
        <f t="shared" si="21"/>
        <v>#DIV/0!</v>
      </c>
      <c r="K188" s="631" t="e">
        <f t="shared" si="16"/>
        <v>#N/A</v>
      </c>
      <c r="L188" s="631">
        <f t="shared" si="22"/>
        <v>0</v>
      </c>
      <c r="M188" s="615" t="e">
        <f t="shared" si="17"/>
        <v>#N/A</v>
      </c>
      <c r="N188" s="613" t="e">
        <f t="shared" si="18"/>
        <v>#N/A</v>
      </c>
      <c r="O188" s="442" t="str">
        <f t="shared" si="23"/>
        <v/>
      </c>
    </row>
    <row r="189" spans="1:15">
      <c r="A189" s="626"/>
      <c r="B189" s="484"/>
      <c r="C189" s="628"/>
      <c r="D189" s="628"/>
      <c r="E189" s="484"/>
      <c r="F189" s="484"/>
      <c r="G189" s="613" t="e">
        <f t="shared" si="19"/>
        <v>#N/A</v>
      </c>
      <c r="H189" s="627"/>
      <c r="I189" s="614">
        <f t="shared" si="20"/>
        <v>0</v>
      </c>
      <c r="J189" s="630" t="e">
        <f t="shared" si="21"/>
        <v>#DIV/0!</v>
      </c>
      <c r="K189" s="631" t="e">
        <f t="shared" si="16"/>
        <v>#N/A</v>
      </c>
      <c r="L189" s="631">
        <f t="shared" si="22"/>
        <v>0</v>
      </c>
      <c r="M189" s="615" t="e">
        <f t="shared" si="17"/>
        <v>#N/A</v>
      </c>
      <c r="N189" s="613" t="e">
        <f t="shared" si="18"/>
        <v>#N/A</v>
      </c>
      <c r="O189" s="442" t="str">
        <f t="shared" si="23"/>
        <v/>
      </c>
    </row>
    <row r="190" spans="1:15">
      <c r="A190" s="626"/>
      <c r="B190" s="484"/>
      <c r="C190" s="629"/>
      <c r="D190" s="628"/>
      <c r="E190" s="484"/>
      <c r="F190" s="484"/>
      <c r="G190" s="613" t="e">
        <f t="shared" si="19"/>
        <v>#N/A</v>
      </c>
      <c r="H190" s="627"/>
      <c r="I190" s="614">
        <f t="shared" si="20"/>
        <v>0</v>
      </c>
      <c r="J190" s="630" t="e">
        <f t="shared" si="21"/>
        <v>#DIV/0!</v>
      </c>
      <c r="K190" s="631" t="e">
        <f t="shared" si="16"/>
        <v>#N/A</v>
      </c>
      <c r="L190" s="631">
        <f t="shared" si="22"/>
        <v>0</v>
      </c>
      <c r="M190" s="615" t="e">
        <f t="shared" si="17"/>
        <v>#N/A</v>
      </c>
      <c r="N190" s="613" t="e">
        <f t="shared" si="18"/>
        <v>#N/A</v>
      </c>
      <c r="O190" s="442" t="str">
        <f t="shared" si="23"/>
        <v/>
      </c>
    </row>
    <row r="191" spans="1:15">
      <c r="A191" s="626"/>
      <c r="B191" s="484"/>
      <c r="C191" s="628"/>
      <c r="D191" s="628"/>
      <c r="E191" s="484"/>
      <c r="F191" s="484"/>
      <c r="G191" s="613" t="e">
        <f t="shared" si="19"/>
        <v>#N/A</v>
      </c>
      <c r="H191" s="627"/>
      <c r="I191" s="614">
        <f t="shared" si="20"/>
        <v>0</v>
      </c>
      <c r="J191" s="630" t="e">
        <f t="shared" si="21"/>
        <v>#DIV/0!</v>
      </c>
      <c r="K191" s="631" t="e">
        <f t="shared" si="16"/>
        <v>#N/A</v>
      </c>
      <c r="L191" s="631">
        <f t="shared" si="22"/>
        <v>0</v>
      </c>
      <c r="M191" s="615" t="e">
        <f t="shared" si="17"/>
        <v>#N/A</v>
      </c>
      <c r="N191" s="613" t="e">
        <f t="shared" si="18"/>
        <v>#N/A</v>
      </c>
      <c r="O191" s="442" t="str">
        <f t="shared" si="23"/>
        <v/>
      </c>
    </row>
    <row r="192" spans="1:15">
      <c r="A192" s="626"/>
      <c r="B192" s="484"/>
      <c r="C192" s="628"/>
      <c r="D192" s="628"/>
      <c r="E192" s="484"/>
      <c r="F192" s="484"/>
      <c r="G192" s="613" t="e">
        <f t="shared" si="19"/>
        <v>#N/A</v>
      </c>
      <c r="H192" s="627"/>
      <c r="I192" s="614">
        <f t="shared" si="20"/>
        <v>0</v>
      </c>
      <c r="J192" s="630" t="e">
        <f t="shared" si="21"/>
        <v>#DIV/0!</v>
      </c>
      <c r="K192" s="631" t="e">
        <f t="shared" si="16"/>
        <v>#N/A</v>
      </c>
      <c r="L192" s="631">
        <f t="shared" si="22"/>
        <v>0</v>
      </c>
      <c r="M192" s="615" t="e">
        <f t="shared" si="17"/>
        <v>#N/A</v>
      </c>
      <c r="N192" s="613" t="e">
        <f t="shared" si="18"/>
        <v>#N/A</v>
      </c>
      <c r="O192" s="442" t="str">
        <f t="shared" si="23"/>
        <v/>
      </c>
    </row>
    <row r="193" spans="1:15">
      <c r="A193" s="626"/>
      <c r="B193" s="484"/>
      <c r="C193" s="628"/>
      <c r="D193" s="628"/>
      <c r="E193" s="484"/>
      <c r="F193" s="484"/>
      <c r="G193" s="613" t="e">
        <f t="shared" si="19"/>
        <v>#N/A</v>
      </c>
      <c r="H193" s="627"/>
      <c r="I193" s="614">
        <f t="shared" si="20"/>
        <v>0</v>
      </c>
      <c r="J193" s="630" t="e">
        <f t="shared" si="21"/>
        <v>#DIV/0!</v>
      </c>
      <c r="K193" s="631" t="e">
        <f t="shared" si="16"/>
        <v>#N/A</v>
      </c>
      <c r="L193" s="631">
        <f t="shared" si="22"/>
        <v>0</v>
      </c>
      <c r="M193" s="615" t="e">
        <f t="shared" si="17"/>
        <v>#N/A</v>
      </c>
      <c r="N193" s="613" t="e">
        <f t="shared" si="18"/>
        <v>#N/A</v>
      </c>
      <c r="O193" s="442" t="str">
        <f t="shared" si="23"/>
        <v/>
      </c>
    </row>
    <row r="194" spans="1:15">
      <c r="A194" s="626"/>
      <c r="B194" s="484"/>
      <c r="C194" s="628"/>
      <c r="D194" s="628"/>
      <c r="E194" s="484"/>
      <c r="F194" s="484"/>
      <c r="G194" s="613" t="e">
        <f t="shared" si="19"/>
        <v>#N/A</v>
      </c>
      <c r="H194" s="627"/>
      <c r="I194" s="614">
        <f t="shared" si="20"/>
        <v>0</v>
      </c>
      <c r="J194" s="630" t="e">
        <f t="shared" si="21"/>
        <v>#DIV/0!</v>
      </c>
      <c r="K194" s="631" t="e">
        <f t="shared" si="16"/>
        <v>#N/A</v>
      </c>
      <c r="L194" s="631">
        <f t="shared" si="22"/>
        <v>0</v>
      </c>
      <c r="M194" s="615" t="e">
        <f t="shared" si="17"/>
        <v>#N/A</v>
      </c>
      <c r="N194" s="613" t="e">
        <f t="shared" si="18"/>
        <v>#N/A</v>
      </c>
      <c r="O194" s="442" t="str">
        <f t="shared" si="23"/>
        <v/>
      </c>
    </row>
    <row r="195" spans="1:15">
      <c r="A195" s="626"/>
      <c r="B195" s="484"/>
      <c r="C195" s="628"/>
      <c r="D195" s="628"/>
      <c r="E195" s="484"/>
      <c r="F195" s="484"/>
      <c r="G195" s="613" t="e">
        <f t="shared" si="19"/>
        <v>#N/A</v>
      </c>
      <c r="H195" s="627"/>
      <c r="I195" s="614">
        <f t="shared" si="20"/>
        <v>0</v>
      </c>
      <c r="J195" s="630" t="e">
        <f t="shared" si="21"/>
        <v>#DIV/0!</v>
      </c>
      <c r="K195" s="631" t="e">
        <f t="shared" si="16"/>
        <v>#N/A</v>
      </c>
      <c r="L195" s="631">
        <f t="shared" si="22"/>
        <v>0</v>
      </c>
      <c r="M195" s="615" t="e">
        <f t="shared" si="17"/>
        <v>#N/A</v>
      </c>
      <c r="N195" s="613" t="e">
        <f t="shared" si="18"/>
        <v>#N/A</v>
      </c>
      <c r="O195" s="442" t="str">
        <f t="shared" si="23"/>
        <v/>
      </c>
    </row>
    <row r="196" spans="1:15">
      <c r="A196" s="626"/>
      <c r="B196" s="484"/>
      <c r="C196" s="629"/>
      <c r="D196" s="628"/>
      <c r="E196" s="484"/>
      <c r="F196" s="484"/>
      <c r="G196" s="613" t="e">
        <f t="shared" si="19"/>
        <v>#N/A</v>
      </c>
      <c r="H196" s="627"/>
      <c r="I196" s="614">
        <f t="shared" si="20"/>
        <v>0</v>
      </c>
      <c r="J196" s="630" t="e">
        <f t="shared" si="21"/>
        <v>#DIV/0!</v>
      </c>
      <c r="K196" s="631" t="e">
        <f t="shared" si="16"/>
        <v>#N/A</v>
      </c>
      <c r="L196" s="631">
        <f t="shared" si="22"/>
        <v>0</v>
      </c>
      <c r="M196" s="615" t="e">
        <f t="shared" si="17"/>
        <v>#N/A</v>
      </c>
      <c r="N196" s="613" t="e">
        <f t="shared" si="18"/>
        <v>#N/A</v>
      </c>
      <c r="O196" s="442" t="str">
        <f t="shared" si="23"/>
        <v/>
      </c>
    </row>
    <row r="197" spans="1:15">
      <c r="A197" s="626"/>
      <c r="B197" s="484"/>
      <c r="C197" s="628"/>
      <c r="D197" s="628"/>
      <c r="E197" s="484"/>
      <c r="F197" s="484"/>
      <c r="G197" s="613" t="e">
        <f t="shared" si="19"/>
        <v>#N/A</v>
      </c>
      <c r="H197" s="627"/>
      <c r="I197" s="614">
        <f t="shared" si="20"/>
        <v>0</v>
      </c>
      <c r="J197" s="630" t="e">
        <f t="shared" si="21"/>
        <v>#DIV/0!</v>
      </c>
      <c r="K197" s="631" t="e">
        <f t="shared" si="16"/>
        <v>#N/A</v>
      </c>
      <c r="L197" s="631">
        <f t="shared" si="22"/>
        <v>0</v>
      </c>
      <c r="M197" s="615" t="e">
        <f t="shared" si="17"/>
        <v>#N/A</v>
      </c>
      <c r="N197" s="613" t="e">
        <f t="shared" si="18"/>
        <v>#N/A</v>
      </c>
      <c r="O197" s="442" t="str">
        <f t="shared" si="23"/>
        <v/>
      </c>
    </row>
    <row r="198" spans="1:15">
      <c r="A198" s="626"/>
      <c r="B198" s="484"/>
      <c r="C198" s="628"/>
      <c r="D198" s="628"/>
      <c r="E198" s="484"/>
      <c r="F198" s="484"/>
      <c r="G198" s="613" t="e">
        <f t="shared" si="19"/>
        <v>#N/A</v>
      </c>
      <c r="H198" s="627"/>
      <c r="I198" s="614">
        <f t="shared" si="20"/>
        <v>0</v>
      </c>
      <c r="J198" s="630" t="e">
        <f t="shared" si="21"/>
        <v>#DIV/0!</v>
      </c>
      <c r="K198" s="631" t="e">
        <f t="shared" si="16"/>
        <v>#N/A</v>
      </c>
      <c r="L198" s="631">
        <f t="shared" si="22"/>
        <v>0</v>
      </c>
      <c r="M198" s="615" t="e">
        <f t="shared" si="17"/>
        <v>#N/A</v>
      </c>
      <c r="N198" s="613" t="e">
        <f t="shared" si="18"/>
        <v>#N/A</v>
      </c>
      <c r="O198" s="442" t="str">
        <f t="shared" si="23"/>
        <v/>
      </c>
    </row>
    <row r="199" spans="1:15">
      <c r="A199" s="626"/>
      <c r="B199" s="484"/>
      <c r="C199" s="628"/>
      <c r="D199" s="628"/>
      <c r="E199" s="484"/>
      <c r="F199" s="484"/>
      <c r="G199" s="613" t="e">
        <f t="shared" si="19"/>
        <v>#N/A</v>
      </c>
      <c r="H199" s="627"/>
      <c r="I199" s="614">
        <f t="shared" si="20"/>
        <v>0</v>
      </c>
      <c r="J199" s="630" t="e">
        <f t="shared" si="21"/>
        <v>#DIV/0!</v>
      </c>
      <c r="K199" s="631" t="e">
        <f t="shared" si="16"/>
        <v>#N/A</v>
      </c>
      <c r="L199" s="631">
        <f t="shared" si="22"/>
        <v>0</v>
      </c>
      <c r="M199" s="615" t="e">
        <f t="shared" si="17"/>
        <v>#N/A</v>
      </c>
      <c r="N199" s="613" t="e">
        <f t="shared" si="18"/>
        <v>#N/A</v>
      </c>
      <c r="O199" s="442" t="str">
        <f t="shared" si="23"/>
        <v/>
      </c>
    </row>
    <row r="200" spans="1:15">
      <c r="A200" s="626"/>
      <c r="B200" s="484"/>
      <c r="C200" s="628"/>
      <c r="D200" s="628"/>
      <c r="E200" s="484"/>
      <c r="F200" s="484"/>
      <c r="G200" s="613" t="e">
        <f t="shared" si="19"/>
        <v>#N/A</v>
      </c>
      <c r="H200" s="627"/>
      <c r="I200" s="614">
        <f t="shared" si="20"/>
        <v>0</v>
      </c>
      <c r="J200" s="630" t="e">
        <f t="shared" si="21"/>
        <v>#DIV/0!</v>
      </c>
      <c r="K200" s="631" t="e">
        <f t="shared" si="16"/>
        <v>#N/A</v>
      </c>
      <c r="L200" s="631">
        <f t="shared" si="22"/>
        <v>0</v>
      </c>
      <c r="M200" s="615" t="e">
        <f t="shared" si="17"/>
        <v>#N/A</v>
      </c>
      <c r="N200" s="613" t="e">
        <f t="shared" si="18"/>
        <v>#N/A</v>
      </c>
      <c r="O200" s="442" t="str">
        <f t="shared" si="23"/>
        <v/>
      </c>
    </row>
    <row r="201" spans="1:15">
      <c r="A201" s="626"/>
      <c r="B201" s="484"/>
      <c r="C201" s="628"/>
      <c r="D201" s="628"/>
      <c r="E201" s="484"/>
      <c r="F201" s="484"/>
      <c r="G201" s="613" t="e">
        <f t="shared" si="19"/>
        <v>#N/A</v>
      </c>
      <c r="H201" s="627"/>
      <c r="I201" s="614">
        <f t="shared" si="20"/>
        <v>0</v>
      </c>
      <c r="J201" s="630" t="e">
        <f t="shared" si="21"/>
        <v>#DIV/0!</v>
      </c>
      <c r="K201" s="631" t="e">
        <f t="shared" si="16"/>
        <v>#N/A</v>
      </c>
      <c r="L201" s="631">
        <f t="shared" si="22"/>
        <v>0</v>
      </c>
      <c r="M201" s="615" t="e">
        <f t="shared" si="17"/>
        <v>#N/A</v>
      </c>
      <c r="N201" s="613" t="e">
        <f t="shared" si="18"/>
        <v>#N/A</v>
      </c>
      <c r="O201" s="442" t="str">
        <f t="shared" si="23"/>
        <v/>
      </c>
    </row>
    <row r="202" spans="1:15">
      <c r="A202" s="626"/>
      <c r="B202" s="484"/>
      <c r="C202" s="629"/>
      <c r="D202" s="628"/>
      <c r="E202" s="484"/>
      <c r="F202" s="484"/>
      <c r="G202" s="613" t="e">
        <f t="shared" si="19"/>
        <v>#N/A</v>
      </c>
      <c r="H202" s="627"/>
      <c r="I202" s="614">
        <f t="shared" si="20"/>
        <v>0</v>
      </c>
      <c r="J202" s="630" t="e">
        <f t="shared" si="21"/>
        <v>#DIV/0!</v>
      </c>
      <c r="K202" s="631" t="e">
        <f t="shared" si="16"/>
        <v>#N/A</v>
      </c>
      <c r="L202" s="631">
        <f t="shared" si="22"/>
        <v>0</v>
      </c>
      <c r="M202" s="615" t="e">
        <f t="shared" si="17"/>
        <v>#N/A</v>
      </c>
      <c r="N202" s="613" t="e">
        <f t="shared" si="18"/>
        <v>#N/A</v>
      </c>
      <c r="O202" s="442" t="str">
        <f t="shared" si="23"/>
        <v/>
      </c>
    </row>
    <row r="203" spans="1:15">
      <c r="A203" s="626"/>
      <c r="B203" s="484"/>
      <c r="C203" s="628"/>
      <c r="D203" s="628"/>
      <c r="E203" s="484"/>
      <c r="F203" s="484"/>
      <c r="G203" s="613" t="e">
        <f t="shared" si="19"/>
        <v>#N/A</v>
      </c>
      <c r="H203" s="627"/>
      <c r="I203" s="614">
        <f t="shared" si="20"/>
        <v>0</v>
      </c>
      <c r="J203" s="630" t="e">
        <f t="shared" si="21"/>
        <v>#DIV/0!</v>
      </c>
      <c r="K203" s="631" t="e">
        <f t="shared" si="16"/>
        <v>#N/A</v>
      </c>
      <c r="L203" s="631">
        <f t="shared" si="22"/>
        <v>0</v>
      </c>
      <c r="M203" s="615" t="e">
        <f t="shared" si="17"/>
        <v>#N/A</v>
      </c>
      <c r="N203" s="613" t="e">
        <f t="shared" si="18"/>
        <v>#N/A</v>
      </c>
      <c r="O203" s="442" t="str">
        <f t="shared" si="23"/>
        <v/>
      </c>
    </row>
    <row r="204" spans="1:15">
      <c r="A204" s="626"/>
      <c r="B204" s="484"/>
      <c r="C204" s="628"/>
      <c r="D204" s="628"/>
      <c r="E204" s="484"/>
      <c r="F204" s="484"/>
      <c r="G204" s="613" t="e">
        <f t="shared" si="19"/>
        <v>#N/A</v>
      </c>
      <c r="H204" s="627"/>
      <c r="I204" s="614">
        <f t="shared" si="20"/>
        <v>0</v>
      </c>
      <c r="J204" s="630" t="e">
        <f t="shared" si="21"/>
        <v>#DIV/0!</v>
      </c>
      <c r="K204" s="631" t="e">
        <f t="shared" si="16"/>
        <v>#N/A</v>
      </c>
      <c r="L204" s="631">
        <f t="shared" si="22"/>
        <v>0</v>
      </c>
      <c r="M204" s="615" t="e">
        <f t="shared" si="17"/>
        <v>#N/A</v>
      </c>
      <c r="N204" s="613" t="e">
        <f t="shared" si="18"/>
        <v>#N/A</v>
      </c>
      <c r="O204" s="442" t="str">
        <f t="shared" si="23"/>
        <v/>
      </c>
    </row>
    <row r="205" spans="1:15">
      <c r="A205" s="626"/>
      <c r="B205" s="484"/>
      <c r="C205" s="628"/>
      <c r="D205" s="628"/>
      <c r="E205" s="484"/>
      <c r="F205" s="484"/>
      <c r="G205" s="613" t="e">
        <f t="shared" si="19"/>
        <v>#N/A</v>
      </c>
      <c r="H205" s="627"/>
      <c r="I205" s="614">
        <f t="shared" si="20"/>
        <v>0</v>
      </c>
      <c r="J205" s="630" t="e">
        <f t="shared" si="21"/>
        <v>#DIV/0!</v>
      </c>
      <c r="K205" s="631" t="e">
        <f t="shared" si="16"/>
        <v>#N/A</v>
      </c>
      <c r="L205" s="631">
        <f t="shared" si="22"/>
        <v>0</v>
      </c>
      <c r="M205" s="615" t="e">
        <f t="shared" si="17"/>
        <v>#N/A</v>
      </c>
      <c r="N205" s="613" t="e">
        <f t="shared" si="18"/>
        <v>#N/A</v>
      </c>
      <c r="O205" s="442" t="str">
        <f t="shared" si="23"/>
        <v/>
      </c>
    </row>
    <row r="206" spans="1:15">
      <c r="A206" s="626"/>
      <c r="B206" s="484"/>
      <c r="C206" s="628"/>
      <c r="D206" s="628"/>
      <c r="E206" s="484"/>
      <c r="F206" s="484"/>
      <c r="G206" s="613" t="e">
        <f t="shared" si="19"/>
        <v>#N/A</v>
      </c>
      <c r="H206" s="627"/>
      <c r="I206" s="614">
        <f t="shared" si="20"/>
        <v>0</v>
      </c>
      <c r="J206" s="630" t="e">
        <f t="shared" si="21"/>
        <v>#DIV/0!</v>
      </c>
      <c r="K206" s="631" t="e">
        <f t="shared" si="16"/>
        <v>#N/A</v>
      </c>
      <c r="L206" s="631">
        <f t="shared" si="22"/>
        <v>0</v>
      </c>
      <c r="M206" s="615" t="e">
        <f t="shared" si="17"/>
        <v>#N/A</v>
      </c>
      <c r="N206" s="613" t="e">
        <f t="shared" si="18"/>
        <v>#N/A</v>
      </c>
      <c r="O206" s="442" t="str">
        <f t="shared" si="23"/>
        <v/>
      </c>
    </row>
    <row r="207" spans="1:15">
      <c r="A207" s="626"/>
      <c r="B207" s="484"/>
      <c r="C207" s="628"/>
      <c r="D207" s="628"/>
      <c r="E207" s="484"/>
      <c r="F207" s="484"/>
      <c r="G207" s="613" t="e">
        <f t="shared" si="19"/>
        <v>#N/A</v>
      </c>
      <c r="H207" s="627"/>
      <c r="I207" s="614">
        <f t="shared" si="20"/>
        <v>0</v>
      </c>
      <c r="J207" s="630" t="e">
        <f t="shared" si="21"/>
        <v>#DIV/0!</v>
      </c>
      <c r="K207" s="631" t="e">
        <f t="shared" si="16"/>
        <v>#N/A</v>
      </c>
      <c r="L207" s="631">
        <f t="shared" si="22"/>
        <v>0</v>
      </c>
      <c r="M207" s="615" t="e">
        <f t="shared" si="17"/>
        <v>#N/A</v>
      </c>
      <c r="N207" s="613" t="e">
        <f t="shared" si="18"/>
        <v>#N/A</v>
      </c>
      <c r="O207" s="442" t="str">
        <f t="shared" si="23"/>
        <v/>
      </c>
    </row>
    <row r="208" spans="1:15">
      <c r="A208" s="626"/>
      <c r="B208" s="484"/>
      <c r="C208" s="629"/>
      <c r="D208" s="628"/>
      <c r="E208" s="484"/>
      <c r="F208" s="484"/>
      <c r="G208" s="613" t="e">
        <f t="shared" si="19"/>
        <v>#N/A</v>
      </c>
      <c r="H208" s="627"/>
      <c r="I208" s="614">
        <f t="shared" si="20"/>
        <v>0</v>
      </c>
      <c r="J208" s="630" t="e">
        <f t="shared" si="21"/>
        <v>#DIV/0!</v>
      </c>
      <c r="K208" s="631" t="e">
        <f t="shared" si="16"/>
        <v>#N/A</v>
      </c>
      <c r="L208" s="631">
        <f t="shared" si="22"/>
        <v>0</v>
      </c>
      <c r="M208" s="615" t="e">
        <f t="shared" si="17"/>
        <v>#N/A</v>
      </c>
      <c r="N208" s="613" t="e">
        <f t="shared" si="18"/>
        <v>#N/A</v>
      </c>
      <c r="O208" s="442" t="str">
        <f t="shared" si="23"/>
        <v/>
      </c>
    </row>
    <row r="209" spans="1:15">
      <c r="A209" s="626"/>
      <c r="B209" s="484"/>
      <c r="C209" s="628"/>
      <c r="D209" s="628"/>
      <c r="E209" s="484"/>
      <c r="F209" s="484"/>
      <c r="G209" s="613" t="e">
        <f t="shared" si="19"/>
        <v>#N/A</v>
      </c>
      <c r="H209" s="627"/>
      <c r="I209" s="614">
        <f t="shared" si="20"/>
        <v>0</v>
      </c>
      <c r="J209" s="630" t="e">
        <f t="shared" si="21"/>
        <v>#DIV/0!</v>
      </c>
      <c r="K209" s="631" t="e">
        <f t="shared" si="16"/>
        <v>#N/A</v>
      </c>
      <c r="L209" s="631">
        <f t="shared" si="22"/>
        <v>0</v>
      </c>
      <c r="M209" s="615" t="e">
        <f t="shared" si="17"/>
        <v>#N/A</v>
      </c>
      <c r="N209" s="613" t="e">
        <f t="shared" si="18"/>
        <v>#N/A</v>
      </c>
      <c r="O209" s="442" t="str">
        <f t="shared" si="23"/>
        <v/>
      </c>
    </row>
    <row r="210" spans="1:15">
      <c r="A210" s="626"/>
      <c r="B210" s="484"/>
      <c r="C210" s="628"/>
      <c r="D210" s="628"/>
      <c r="E210" s="484"/>
      <c r="F210" s="484"/>
      <c r="G210" s="613" t="e">
        <f t="shared" si="19"/>
        <v>#N/A</v>
      </c>
      <c r="H210" s="627"/>
      <c r="I210" s="614">
        <f t="shared" si="20"/>
        <v>0</v>
      </c>
      <c r="J210" s="630" t="e">
        <f t="shared" si="21"/>
        <v>#DIV/0!</v>
      </c>
      <c r="K210" s="631" t="e">
        <f t="shared" si="16"/>
        <v>#N/A</v>
      </c>
      <c r="L210" s="631">
        <f t="shared" si="22"/>
        <v>0</v>
      </c>
      <c r="M210" s="615" t="e">
        <f t="shared" si="17"/>
        <v>#N/A</v>
      </c>
      <c r="N210" s="613" t="e">
        <f t="shared" si="18"/>
        <v>#N/A</v>
      </c>
      <c r="O210" s="442" t="str">
        <f t="shared" si="23"/>
        <v/>
      </c>
    </row>
    <row r="211" spans="1:15">
      <c r="A211" s="626"/>
      <c r="B211" s="484"/>
      <c r="C211" s="628"/>
      <c r="D211" s="628"/>
      <c r="E211" s="484"/>
      <c r="F211" s="484"/>
      <c r="G211" s="613" t="e">
        <f t="shared" si="19"/>
        <v>#N/A</v>
      </c>
      <c r="H211" s="627"/>
      <c r="I211" s="614">
        <f t="shared" si="20"/>
        <v>0</v>
      </c>
      <c r="J211" s="630" t="e">
        <f t="shared" si="21"/>
        <v>#DIV/0!</v>
      </c>
      <c r="K211" s="631" t="e">
        <f t="shared" si="16"/>
        <v>#N/A</v>
      </c>
      <c r="L211" s="631">
        <f t="shared" si="22"/>
        <v>0</v>
      </c>
      <c r="M211" s="615" t="e">
        <f t="shared" si="17"/>
        <v>#N/A</v>
      </c>
      <c r="N211" s="613" t="e">
        <f t="shared" si="18"/>
        <v>#N/A</v>
      </c>
      <c r="O211" s="442" t="str">
        <f t="shared" si="23"/>
        <v/>
      </c>
    </row>
    <row r="212" spans="1:15">
      <c r="A212" s="626"/>
      <c r="B212" s="484"/>
      <c r="C212" s="628"/>
      <c r="D212" s="628"/>
      <c r="E212" s="484"/>
      <c r="F212" s="484"/>
      <c r="G212" s="613" t="e">
        <f t="shared" si="19"/>
        <v>#N/A</v>
      </c>
      <c r="H212" s="627"/>
      <c r="I212" s="614">
        <f t="shared" si="20"/>
        <v>0</v>
      </c>
      <c r="J212" s="630" t="e">
        <f t="shared" si="21"/>
        <v>#DIV/0!</v>
      </c>
      <c r="K212" s="631" t="e">
        <f t="shared" si="16"/>
        <v>#N/A</v>
      </c>
      <c r="L212" s="631">
        <f t="shared" si="22"/>
        <v>0</v>
      </c>
      <c r="M212" s="615" t="e">
        <f t="shared" si="17"/>
        <v>#N/A</v>
      </c>
      <c r="N212" s="613" t="e">
        <f t="shared" si="18"/>
        <v>#N/A</v>
      </c>
      <c r="O212" s="442" t="str">
        <f t="shared" si="23"/>
        <v/>
      </c>
    </row>
    <row r="213" spans="1:15">
      <c r="A213" s="626"/>
      <c r="B213" s="484"/>
      <c r="C213" s="628"/>
      <c r="D213" s="628"/>
      <c r="E213" s="484"/>
      <c r="F213" s="484"/>
      <c r="G213" s="613" t="e">
        <f t="shared" si="19"/>
        <v>#N/A</v>
      </c>
      <c r="H213" s="627"/>
      <c r="I213" s="614">
        <f t="shared" si="20"/>
        <v>0</v>
      </c>
      <c r="J213" s="630" t="e">
        <f t="shared" si="21"/>
        <v>#DIV/0!</v>
      </c>
      <c r="K213" s="631" t="e">
        <f t="shared" si="16"/>
        <v>#N/A</v>
      </c>
      <c r="L213" s="631">
        <f t="shared" si="22"/>
        <v>0</v>
      </c>
      <c r="M213" s="615" t="e">
        <f t="shared" si="17"/>
        <v>#N/A</v>
      </c>
      <c r="N213" s="613" t="e">
        <f t="shared" si="18"/>
        <v>#N/A</v>
      </c>
      <c r="O213" s="442" t="str">
        <f t="shared" si="23"/>
        <v/>
      </c>
    </row>
    <row r="214" spans="1:15">
      <c r="A214" s="626"/>
      <c r="B214" s="484"/>
      <c r="C214" s="629"/>
      <c r="D214" s="628"/>
      <c r="E214" s="484"/>
      <c r="F214" s="484"/>
      <c r="G214" s="613" t="e">
        <f t="shared" si="19"/>
        <v>#N/A</v>
      </c>
      <c r="H214" s="627"/>
      <c r="I214" s="614">
        <f t="shared" si="20"/>
        <v>0</v>
      </c>
      <c r="J214" s="630" t="e">
        <f t="shared" si="21"/>
        <v>#DIV/0!</v>
      </c>
      <c r="K214" s="631" t="e">
        <f t="shared" si="16"/>
        <v>#N/A</v>
      </c>
      <c r="L214" s="631">
        <f t="shared" si="22"/>
        <v>0</v>
      </c>
      <c r="M214" s="615" t="e">
        <f t="shared" si="17"/>
        <v>#N/A</v>
      </c>
      <c r="N214" s="613" t="e">
        <f t="shared" si="18"/>
        <v>#N/A</v>
      </c>
      <c r="O214" s="442" t="str">
        <f t="shared" si="23"/>
        <v/>
      </c>
    </row>
    <row r="215" spans="1:15">
      <c r="A215" s="626"/>
      <c r="B215" s="484"/>
      <c r="C215" s="628"/>
      <c r="D215" s="628"/>
      <c r="E215" s="484"/>
      <c r="F215" s="484"/>
      <c r="G215" s="613" t="e">
        <f t="shared" si="19"/>
        <v>#N/A</v>
      </c>
      <c r="H215" s="627"/>
      <c r="I215" s="614">
        <f t="shared" si="20"/>
        <v>0</v>
      </c>
      <c r="J215" s="630" t="e">
        <f t="shared" si="21"/>
        <v>#DIV/0!</v>
      </c>
      <c r="K215" s="631" t="e">
        <f t="shared" si="16"/>
        <v>#N/A</v>
      </c>
      <c r="L215" s="631">
        <f t="shared" si="22"/>
        <v>0</v>
      </c>
      <c r="M215" s="615" t="e">
        <f t="shared" si="17"/>
        <v>#N/A</v>
      </c>
      <c r="N215" s="613" t="e">
        <f t="shared" si="18"/>
        <v>#N/A</v>
      </c>
      <c r="O215" s="442" t="str">
        <f t="shared" si="23"/>
        <v/>
      </c>
    </row>
    <row r="216" spans="1:15">
      <c r="A216" s="626"/>
      <c r="B216" s="484"/>
      <c r="C216" s="628"/>
      <c r="D216" s="628"/>
      <c r="E216" s="484"/>
      <c r="F216" s="484"/>
      <c r="G216" s="613" t="e">
        <f t="shared" si="19"/>
        <v>#N/A</v>
      </c>
      <c r="H216" s="627"/>
      <c r="I216" s="614">
        <f t="shared" si="20"/>
        <v>0</v>
      </c>
      <c r="J216" s="630" t="e">
        <f t="shared" si="21"/>
        <v>#DIV/0!</v>
      </c>
      <c r="K216" s="631" t="e">
        <f t="shared" si="16"/>
        <v>#N/A</v>
      </c>
      <c r="L216" s="631">
        <f t="shared" si="22"/>
        <v>0</v>
      </c>
      <c r="M216" s="615" t="e">
        <f t="shared" si="17"/>
        <v>#N/A</v>
      </c>
      <c r="N216" s="613" t="e">
        <f t="shared" si="18"/>
        <v>#N/A</v>
      </c>
      <c r="O216" s="442" t="str">
        <f t="shared" si="23"/>
        <v/>
      </c>
    </row>
    <row r="217" spans="1:15">
      <c r="A217" s="626"/>
      <c r="B217" s="484"/>
      <c r="C217" s="628"/>
      <c r="D217" s="628"/>
      <c r="E217" s="484"/>
      <c r="F217" s="484"/>
      <c r="G217" s="613" t="e">
        <f t="shared" si="19"/>
        <v>#N/A</v>
      </c>
      <c r="H217" s="627"/>
      <c r="I217" s="614">
        <f t="shared" si="20"/>
        <v>0</v>
      </c>
      <c r="J217" s="630" t="e">
        <f t="shared" si="21"/>
        <v>#DIV/0!</v>
      </c>
      <c r="K217" s="631" t="e">
        <f t="shared" si="16"/>
        <v>#N/A</v>
      </c>
      <c r="L217" s="631">
        <f t="shared" si="22"/>
        <v>0</v>
      </c>
      <c r="M217" s="615" t="e">
        <f t="shared" si="17"/>
        <v>#N/A</v>
      </c>
      <c r="N217" s="613" t="e">
        <f t="shared" si="18"/>
        <v>#N/A</v>
      </c>
      <c r="O217" s="442" t="str">
        <f t="shared" si="23"/>
        <v/>
      </c>
    </row>
    <row r="218" spans="1:15">
      <c r="A218" s="626"/>
      <c r="B218" s="484"/>
      <c r="C218" s="628"/>
      <c r="D218" s="628"/>
      <c r="E218" s="484"/>
      <c r="F218" s="484"/>
      <c r="G218" s="613" t="e">
        <f t="shared" si="19"/>
        <v>#N/A</v>
      </c>
      <c r="H218" s="627"/>
      <c r="I218" s="614">
        <f t="shared" si="20"/>
        <v>0</v>
      </c>
      <c r="J218" s="630" t="e">
        <f t="shared" si="21"/>
        <v>#DIV/0!</v>
      </c>
      <c r="K218" s="631" t="e">
        <f t="shared" si="16"/>
        <v>#N/A</v>
      </c>
      <c r="L218" s="631">
        <f t="shared" si="22"/>
        <v>0</v>
      </c>
      <c r="M218" s="615" t="e">
        <f t="shared" si="17"/>
        <v>#N/A</v>
      </c>
      <c r="N218" s="613" t="e">
        <f t="shared" si="18"/>
        <v>#N/A</v>
      </c>
      <c r="O218" s="442" t="str">
        <f t="shared" si="23"/>
        <v/>
      </c>
    </row>
    <row r="219" spans="1:15">
      <c r="A219" s="626"/>
      <c r="B219" s="484"/>
      <c r="C219" s="628"/>
      <c r="D219" s="628"/>
      <c r="E219" s="484"/>
      <c r="F219" s="484"/>
      <c r="G219" s="613" t="e">
        <f t="shared" si="19"/>
        <v>#N/A</v>
      </c>
      <c r="H219" s="627"/>
      <c r="I219" s="614">
        <f t="shared" si="20"/>
        <v>0</v>
      </c>
      <c r="J219" s="630" t="e">
        <f t="shared" si="21"/>
        <v>#DIV/0!</v>
      </c>
      <c r="K219" s="631" t="e">
        <f t="shared" si="16"/>
        <v>#N/A</v>
      </c>
      <c r="L219" s="631">
        <f t="shared" si="22"/>
        <v>0</v>
      </c>
      <c r="M219" s="615" t="e">
        <f t="shared" si="17"/>
        <v>#N/A</v>
      </c>
      <c r="N219" s="613" t="e">
        <f t="shared" si="18"/>
        <v>#N/A</v>
      </c>
      <c r="O219" s="442" t="str">
        <f t="shared" si="23"/>
        <v/>
      </c>
    </row>
    <row r="220" spans="1:15">
      <c r="A220" s="626"/>
      <c r="B220" s="484"/>
      <c r="C220" s="629"/>
      <c r="D220" s="628"/>
      <c r="E220" s="484"/>
      <c r="F220" s="484"/>
      <c r="G220" s="613" t="e">
        <f t="shared" si="19"/>
        <v>#N/A</v>
      </c>
      <c r="H220" s="627"/>
      <c r="I220" s="614">
        <f t="shared" si="20"/>
        <v>0</v>
      </c>
      <c r="J220" s="630" t="e">
        <f t="shared" si="21"/>
        <v>#DIV/0!</v>
      </c>
      <c r="K220" s="631" t="e">
        <f t="shared" si="16"/>
        <v>#N/A</v>
      </c>
      <c r="L220" s="631">
        <f t="shared" si="22"/>
        <v>0</v>
      </c>
      <c r="M220" s="615" t="e">
        <f t="shared" si="17"/>
        <v>#N/A</v>
      </c>
      <c r="N220" s="613" t="e">
        <f t="shared" si="18"/>
        <v>#N/A</v>
      </c>
      <c r="O220" s="442" t="str">
        <f t="shared" si="23"/>
        <v/>
      </c>
    </row>
    <row r="221" spans="1:15">
      <c r="A221" s="626"/>
      <c r="B221" s="484"/>
      <c r="C221" s="628"/>
      <c r="D221" s="628"/>
      <c r="E221" s="484"/>
      <c r="F221" s="484"/>
      <c r="G221" s="613" t="e">
        <f t="shared" si="19"/>
        <v>#N/A</v>
      </c>
      <c r="H221" s="627"/>
      <c r="I221" s="614">
        <f t="shared" si="20"/>
        <v>0</v>
      </c>
      <c r="J221" s="630" t="e">
        <f t="shared" si="21"/>
        <v>#DIV/0!</v>
      </c>
      <c r="K221" s="631" t="e">
        <f t="shared" ref="K221:K284" si="24">LOOKUP(D221, LightingSpaceType, LPD)</f>
        <v>#N/A</v>
      </c>
      <c r="L221" s="631">
        <f t="shared" si="22"/>
        <v>0</v>
      </c>
      <c r="M221" s="615" t="e">
        <f t="shared" ref="M221:M284" si="25">IF(D221="Exit Signs","NA", E221*LOOKUP(F221,$I$4:$I$26,$L$4:$L$26)/B221)</f>
        <v>#N/A</v>
      </c>
      <c r="N221" s="613" t="e">
        <f t="shared" ref="N221:N284" si="26">LOOKUP(D221, LightingSpaceType, Footcandles)</f>
        <v>#N/A</v>
      </c>
      <c r="O221" s="442" t="str">
        <f t="shared" si="23"/>
        <v/>
      </c>
    </row>
    <row r="222" spans="1:15">
      <c r="A222" s="626"/>
      <c r="B222" s="484"/>
      <c r="C222" s="628"/>
      <c r="D222" s="628"/>
      <c r="E222" s="484"/>
      <c r="F222" s="484"/>
      <c r="G222" s="613" t="e">
        <f t="shared" ref="G222:G285" si="27">LOOKUP(F222, $I$4:$I$17, $K$4:$K$17)</f>
        <v>#N/A</v>
      </c>
      <c r="H222" s="627"/>
      <c r="I222" s="614">
        <f t="shared" ref="I222:I285" si="28">IF(E222&gt;0, E222*G222*H222, 0)</f>
        <v>0</v>
      </c>
      <c r="J222" s="630" t="e">
        <f t="shared" ref="J222:J285" si="29">IF(D222="Exit Signs","convert to kW", I222/B222)</f>
        <v>#DIV/0!</v>
      </c>
      <c r="K222" s="631" t="e">
        <f t="shared" si="24"/>
        <v>#N/A</v>
      </c>
      <c r="L222" s="631">
        <f t="shared" ref="L222:L285" si="30">IF(D222="Exit Signs", 5*E222, IF(B222&gt;0, K222*B222, 0))</f>
        <v>0</v>
      </c>
      <c r="M222" s="615" t="e">
        <f t="shared" si="25"/>
        <v>#N/A</v>
      </c>
      <c r="N222" s="613" t="e">
        <f t="shared" si="26"/>
        <v>#N/A</v>
      </c>
      <c r="O222" s="442" t="str">
        <f t="shared" ref="O222:O285" si="31">IF(E222&gt;0, IF(M222&lt;N222, "Insufficient lighting to meet IESNA footcandle recommendations.", ""), "")</f>
        <v/>
      </c>
    </row>
    <row r="223" spans="1:15">
      <c r="A223" s="626"/>
      <c r="B223" s="484"/>
      <c r="C223" s="628"/>
      <c r="D223" s="628"/>
      <c r="E223" s="484"/>
      <c r="F223" s="484"/>
      <c r="G223" s="613" t="e">
        <f t="shared" si="27"/>
        <v>#N/A</v>
      </c>
      <c r="H223" s="627"/>
      <c r="I223" s="614">
        <f t="shared" si="28"/>
        <v>0</v>
      </c>
      <c r="J223" s="630" t="e">
        <f t="shared" si="29"/>
        <v>#DIV/0!</v>
      </c>
      <c r="K223" s="631" t="e">
        <f t="shared" si="24"/>
        <v>#N/A</v>
      </c>
      <c r="L223" s="631">
        <f t="shared" si="30"/>
        <v>0</v>
      </c>
      <c r="M223" s="615" t="e">
        <f t="shared" si="25"/>
        <v>#N/A</v>
      </c>
      <c r="N223" s="613" t="e">
        <f t="shared" si="26"/>
        <v>#N/A</v>
      </c>
      <c r="O223" s="442" t="str">
        <f t="shared" si="31"/>
        <v/>
      </c>
    </row>
    <row r="224" spans="1:15">
      <c r="A224" s="626"/>
      <c r="B224" s="484"/>
      <c r="C224" s="628"/>
      <c r="D224" s="628"/>
      <c r="E224" s="484"/>
      <c r="F224" s="484"/>
      <c r="G224" s="613" t="e">
        <f t="shared" si="27"/>
        <v>#N/A</v>
      </c>
      <c r="H224" s="627"/>
      <c r="I224" s="614">
        <f t="shared" si="28"/>
        <v>0</v>
      </c>
      <c r="J224" s="630" t="e">
        <f t="shared" si="29"/>
        <v>#DIV/0!</v>
      </c>
      <c r="K224" s="631" t="e">
        <f t="shared" si="24"/>
        <v>#N/A</v>
      </c>
      <c r="L224" s="631">
        <f t="shared" si="30"/>
        <v>0</v>
      </c>
      <c r="M224" s="615" t="e">
        <f t="shared" si="25"/>
        <v>#N/A</v>
      </c>
      <c r="N224" s="613" t="e">
        <f t="shared" si="26"/>
        <v>#N/A</v>
      </c>
      <c r="O224" s="442" t="str">
        <f t="shared" si="31"/>
        <v/>
      </c>
    </row>
    <row r="225" spans="1:15">
      <c r="A225" s="622"/>
      <c r="B225" s="484"/>
      <c r="C225" s="628"/>
      <c r="D225" s="628"/>
      <c r="E225" s="484"/>
      <c r="F225" s="484"/>
      <c r="G225" s="613" t="e">
        <f t="shared" si="27"/>
        <v>#N/A</v>
      </c>
      <c r="H225" s="627"/>
      <c r="I225" s="614">
        <f t="shared" si="28"/>
        <v>0</v>
      </c>
      <c r="J225" s="630" t="e">
        <f t="shared" si="29"/>
        <v>#DIV/0!</v>
      </c>
      <c r="K225" s="631" t="e">
        <f t="shared" si="24"/>
        <v>#N/A</v>
      </c>
      <c r="L225" s="631">
        <f t="shared" si="30"/>
        <v>0</v>
      </c>
      <c r="M225" s="615" t="e">
        <f t="shared" si="25"/>
        <v>#N/A</v>
      </c>
      <c r="N225" s="613" t="e">
        <f t="shared" si="26"/>
        <v>#N/A</v>
      </c>
      <c r="O225" s="442" t="str">
        <f t="shared" si="31"/>
        <v/>
      </c>
    </row>
    <row r="226" spans="1:15">
      <c r="A226" s="625"/>
      <c r="B226" s="484"/>
      <c r="C226" s="628"/>
      <c r="D226" s="628"/>
      <c r="E226" s="484"/>
      <c r="F226" s="484"/>
      <c r="G226" s="613" t="e">
        <f t="shared" si="27"/>
        <v>#N/A</v>
      </c>
      <c r="H226" s="627"/>
      <c r="I226" s="614">
        <f t="shared" si="28"/>
        <v>0</v>
      </c>
      <c r="J226" s="630" t="e">
        <f t="shared" si="29"/>
        <v>#DIV/0!</v>
      </c>
      <c r="K226" s="631" t="e">
        <f t="shared" si="24"/>
        <v>#N/A</v>
      </c>
      <c r="L226" s="631">
        <f t="shared" si="30"/>
        <v>0</v>
      </c>
      <c r="M226" s="615" t="e">
        <f t="shared" si="25"/>
        <v>#N/A</v>
      </c>
      <c r="N226" s="613" t="e">
        <f t="shared" si="26"/>
        <v>#N/A</v>
      </c>
      <c r="O226" s="442" t="str">
        <f t="shared" si="31"/>
        <v/>
      </c>
    </row>
    <row r="227" spans="1:15">
      <c r="A227" s="625"/>
      <c r="B227" s="484"/>
      <c r="C227" s="628"/>
      <c r="D227" s="628"/>
      <c r="E227" s="484"/>
      <c r="F227" s="484"/>
      <c r="G227" s="613" t="e">
        <f t="shared" si="27"/>
        <v>#N/A</v>
      </c>
      <c r="H227" s="627"/>
      <c r="I227" s="614">
        <f t="shared" si="28"/>
        <v>0</v>
      </c>
      <c r="J227" s="630" t="e">
        <f t="shared" si="29"/>
        <v>#DIV/0!</v>
      </c>
      <c r="K227" s="631" t="e">
        <f t="shared" si="24"/>
        <v>#N/A</v>
      </c>
      <c r="L227" s="631">
        <f t="shared" si="30"/>
        <v>0</v>
      </c>
      <c r="M227" s="615" t="e">
        <f t="shared" si="25"/>
        <v>#N/A</v>
      </c>
      <c r="N227" s="613" t="e">
        <f t="shared" si="26"/>
        <v>#N/A</v>
      </c>
      <c r="O227" s="442" t="str">
        <f t="shared" si="31"/>
        <v/>
      </c>
    </row>
    <row r="228" spans="1:15">
      <c r="A228" s="622"/>
      <c r="B228" s="484"/>
      <c r="C228" s="628"/>
      <c r="D228" s="628"/>
      <c r="E228" s="484"/>
      <c r="F228" s="484"/>
      <c r="G228" s="613" t="e">
        <f t="shared" si="27"/>
        <v>#N/A</v>
      </c>
      <c r="H228" s="627"/>
      <c r="I228" s="614">
        <f t="shared" si="28"/>
        <v>0</v>
      </c>
      <c r="J228" s="630" t="e">
        <f t="shared" si="29"/>
        <v>#DIV/0!</v>
      </c>
      <c r="K228" s="631" t="e">
        <f t="shared" si="24"/>
        <v>#N/A</v>
      </c>
      <c r="L228" s="631">
        <f t="shared" si="30"/>
        <v>0</v>
      </c>
      <c r="M228" s="615" t="e">
        <f t="shared" si="25"/>
        <v>#N/A</v>
      </c>
      <c r="N228" s="613" t="e">
        <f t="shared" si="26"/>
        <v>#N/A</v>
      </c>
      <c r="O228" s="442" t="str">
        <f t="shared" si="31"/>
        <v/>
      </c>
    </row>
    <row r="229" spans="1:15">
      <c r="A229" s="626"/>
      <c r="B229" s="484"/>
      <c r="C229" s="628"/>
      <c r="D229" s="628"/>
      <c r="E229" s="484"/>
      <c r="F229" s="484"/>
      <c r="G229" s="613" t="e">
        <f t="shared" si="27"/>
        <v>#N/A</v>
      </c>
      <c r="H229" s="627"/>
      <c r="I229" s="614">
        <f t="shared" si="28"/>
        <v>0</v>
      </c>
      <c r="J229" s="630" t="e">
        <f t="shared" si="29"/>
        <v>#DIV/0!</v>
      </c>
      <c r="K229" s="631" t="e">
        <f t="shared" si="24"/>
        <v>#N/A</v>
      </c>
      <c r="L229" s="631">
        <f t="shared" si="30"/>
        <v>0</v>
      </c>
      <c r="M229" s="615" t="e">
        <f t="shared" si="25"/>
        <v>#N/A</v>
      </c>
      <c r="N229" s="613" t="e">
        <f t="shared" si="26"/>
        <v>#N/A</v>
      </c>
      <c r="O229" s="442" t="str">
        <f t="shared" si="31"/>
        <v/>
      </c>
    </row>
    <row r="230" spans="1:15">
      <c r="A230" s="626"/>
      <c r="B230" s="484"/>
      <c r="C230" s="629"/>
      <c r="D230" s="628"/>
      <c r="E230" s="484"/>
      <c r="F230" s="484"/>
      <c r="G230" s="613" t="e">
        <f t="shared" si="27"/>
        <v>#N/A</v>
      </c>
      <c r="H230" s="627"/>
      <c r="I230" s="614">
        <f t="shared" si="28"/>
        <v>0</v>
      </c>
      <c r="J230" s="630" t="e">
        <f t="shared" si="29"/>
        <v>#DIV/0!</v>
      </c>
      <c r="K230" s="631" t="e">
        <f t="shared" si="24"/>
        <v>#N/A</v>
      </c>
      <c r="L230" s="631">
        <f t="shared" si="30"/>
        <v>0</v>
      </c>
      <c r="M230" s="615" t="e">
        <f t="shared" si="25"/>
        <v>#N/A</v>
      </c>
      <c r="N230" s="613" t="e">
        <f t="shared" si="26"/>
        <v>#N/A</v>
      </c>
      <c r="O230" s="442" t="str">
        <f t="shared" si="31"/>
        <v/>
      </c>
    </row>
    <row r="231" spans="1:15">
      <c r="A231" s="626"/>
      <c r="B231" s="484"/>
      <c r="C231" s="628"/>
      <c r="D231" s="628"/>
      <c r="E231" s="484"/>
      <c r="F231" s="484"/>
      <c r="G231" s="613" t="e">
        <f t="shared" si="27"/>
        <v>#N/A</v>
      </c>
      <c r="H231" s="627"/>
      <c r="I231" s="614">
        <f t="shared" si="28"/>
        <v>0</v>
      </c>
      <c r="J231" s="630" t="e">
        <f t="shared" si="29"/>
        <v>#DIV/0!</v>
      </c>
      <c r="K231" s="631" t="e">
        <f t="shared" si="24"/>
        <v>#N/A</v>
      </c>
      <c r="L231" s="631">
        <f t="shared" si="30"/>
        <v>0</v>
      </c>
      <c r="M231" s="615" t="e">
        <f t="shared" si="25"/>
        <v>#N/A</v>
      </c>
      <c r="N231" s="613" t="e">
        <f t="shared" si="26"/>
        <v>#N/A</v>
      </c>
      <c r="O231" s="442" t="str">
        <f t="shared" si="31"/>
        <v/>
      </c>
    </row>
    <row r="232" spans="1:15">
      <c r="A232" s="626"/>
      <c r="B232" s="484"/>
      <c r="C232" s="628"/>
      <c r="D232" s="628"/>
      <c r="E232" s="484"/>
      <c r="F232" s="484"/>
      <c r="G232" s="613" t="e">
        <f t="shared" si="27"/>
        <v>#N/A</v>
      </c>
      <c r="H232" s="627"/>
      <c r="I232" s="614">
        <f t="shared" si="28"/>
        <v>0</v>
      </c>
      <c r="J232" s="630" t="e">
        <f t="shared" si="29"/>
        <v>#DIV/0!</v>
      </c>
      <c r="K232" s="631" t="e">
        <f t="shared" si="24"/>
        <v>#N/A</v>
      </c>
      <c r="L232" s="631">
        <f t="shared" si="30"/>
        <v>0</v>
      </c>
      <c r="M232" s="615" t="e">
        <f t="shared" si="25"/>
        <v>#N/A</v>
      </c>
      <c r="N232" s="613" t="e">
        <f t="shared" si="26"/>
        <v>#N/A</v>
      </c>
      <c r="O232" s="442" t="str">
        <f t="shared" si="31"/>
        <v/>
      </c>
    </row>
    <row r="233" spans="1:15">
      <c r="A233" s="626"/>
      <c r="B233" s="484"/>
      <c r="C233" s="628"/>
      <c r="D233" s="628"/>
      <c r="E233" s="484"/>
      <c r="F233" s="484"/>
      <c r="G233" s="613" t="e">
        <f t="shared" si="27"/>
        <v>#N/A</v>
      </c>
      <c r="H233" s="627"/>
      <c r="I233" s="614">
        <f t="shared" si="28"/>
        <v>0</v>
      </c>
      <c r="J233" s="630" t="e">
        <f t="shared" si="29"/>
        <v>#DIV/0!</v>
      </c>
      <c r="K233" s="631" t="e">
        <f t="shared" si="24"/>
        <v>#N/A</v>
      </c>
      <c r="L233" s="631">
        <f t="shared" si="30"/>
        <v>0</v>
      </c>
      <c r="M233" s="615" t="e">
        <f t="shared" si="25"/>
        <v>#N/A</v>
      </c>
      <c r="N233" s="613" t="e">
        <f t="shared" si="26"/>
        <v>#N/A</v>
      </c>
      <c r="O233" s="442" t="str">
        <f t="shared" si="31"/>
        <v/>
      </c>
    </row>
    <row r="234" spans="1:15">
      <c r="A234" s="626"/>
      <c r="B234" s="484"/>
      <c r="C234" s="628"/>
      <c r="D234" s="628"/>
      <c r="E234" s="484"/>
      <c r="F234" s="484"/>
      <c r="G234" s="613" t="e">
        <f t="shared" si="27"/>
        <v>#N/A</v>
      </c>
      <c r="H234" s="627"/>
      <c r="I234" s="614">
        <f t="shared" si="28"/>
        <v>0</v>
      </c>
      <c r="J234" s="630" t="e">
        <f t="shared" si="29"/>
        <v>#DIV/0!</v>
      </c>
      <c r="K234" s="631" t="e">
        <f t="shared" si="24"/>
        <v>#N/A</v>
      </c>
      <c r="L234" s="631">
        <f t="shared" si="30"/>
        <v>0</v>
      </c>
      <c r="M234" s="615" t="e">
        <f t="shared" si="25"/>
        <v>#N/A</v>
      </c>
      <c r="N234" s="613" t="e">
        <f t="shared" si="26"/>
        <v>#N/A</v>
      </c>
      <c r="O234" s="442" t="str">
        <f t="shared" si="31"/>
        <v/>
      </c>
    </row>
    <row r="235" spans="1:15">
      <c r="A235" s="626"/>
      <c r="B235" s="484"/>
      <c r="C235" s="628"/>
      <c r="D235" s="628"/>
      <c r="E235" s="484"/>
      <c r="F235" s="484"/>
      <c r="G235" s="613" t="e">
        <f t="shared" si="27"/>
        <v>#N/A</v>
      </c>
      <c r="H235" s="627"/>
      <c r="I235" s="614">
        <f t="shared" si="28"/>
        <v>0</v>
      </c>
      <c r="J235" s="630" t="e">
        <f t="shared" si="29"/>
        <v>#DIV/0!</v>
      </c>
      <c r="K235" s="631" t="e">
        <f t="shared" si="24"/>
        <v>#N/A</v>
      </c>
      <c r="L235" s="631">
        <f t="shared" si="30"/>
        <v>0</v>
      </c>
      <c r="M235" s="615" t="e">
        <f t="shared" si="25"/>
        <v>#N/A</v>
      </c>
      <c r="N235" s="613" t="e">
        <f t="shared" si="26"/>
        <v>#N/A</v>
      </c>
      <c r="O235" s="442" t="str">
        <f t="shared" si="31"/>
        <v/>
      </c>
    </row>
    <row r="236" spans="1:15">
      <c r="A236" s="626"/>
      <c r="B236" s="484"/>
      <c r="C236" s="629"/>
      <c r="D236" s="628"/>
      <c r="E236" s="484"/>
      <c r="F236" s="484"/>
      <c r="G236" s="613" t="e">
        <f t="shared" si="27"/>
        <v>#N/A</v>
      </c>
      <c r="H236" s="627"/>
      <c r="I236" s="614">
        <f t="shared" si="28"/>
        <v>0</v>
      </c>
      <c r="J236" s="630" t="e">
        <f t="shared" si="29"/>
        <v>#DIV/0!</v>
      </c>
      <c r="K236" s="631" t="e">
        <f t="shared" si="24"/>
        <v>#N/A</v>
      </c>
      <c r="L236" s="631">
        <f t="shared" si="30"/>
        <v>0</v>
      </c>
      <c r="M236" s="615" t="e">
        <f t="shared" si="25"/>
        <v>#N/A</v>
      </c>
      <c r="N236" s="613" t="e">
        <f t="shared" si="26"/>
        <v>#N/A</v>
      </c>
      <c r="O236" s="442" t="str">
        <f t="shared" si="31"/>
        <v/>
      </c>
    </row>
    <row r="237" spans="1:15">
      <c r="A237" s="626"/>
      <c r="B237" s="484"/>
      <c r="C237" s="628"/>
      <c r="D237" s="628"/>
      <c r="E237" s="484"/>
      <c r="F237" s="484"/>
      <c r="G237" s="613" t="e">
        <f t="shared" si="27"/>
        <v>#N/A</v>
      </c>
      <c r="H237" s="627"/>
      <c r="I237" s="614">
        <f t="shared" si="28"/>
        <v>0</v>
      </c>
      <c r="J237" s="630" t="e">
        <f t="shared" si="29"/>
        <v>#DIV/0!</v>
      </c>
      <c r="K237" s="631" t="e">
        <f t="shared" si="24"/>
        <v>#N/A</v>
      </c>
      <c r="L237" s="631">
        <f t="shared" si="30"/>
        <v>0</v>
      </c>
      <c r="M237" s="615" t="e">
        <f t="shared" si="25"/>
        <v>#N/A</v>
      </c>
      <c r="N237" s="613" t="e">
        <f t="shared" si="26"/>
        <v>#N/A</v>
      </c>
      <c r="O237" s="442" t="str">
        <f t="shared" si="31"/>
        <v/>
      </c>
    </row>
    <row r="238" spans="1:15">
      <c r="A238" s="626"/>
      <c r="B238" s="484"/>
      <c r="C238" s="628"/>
      <c r="D238" s="628"/>
      <c r="E238" s="484"/>
      <c r="F238" s="484"/>
      <c r="G238" s="613" t="e">
        <f t="shared" si="27"/>
        <v>#N/A</v>
      </c>
      <c r="H238" s="627"/>
      <c r="I238" s="614">
        <f t="shared" si="28"/>
        <v>0</v>
      </c>
      <c r="J238" s="630" t="e">
        <f t="shared" si="29"/>
        <v>#DIV/0!</v>
      </c>
      <c r="K238" s="631" t="e">
        <f t="shared" si="24"/>
        <v>#N/A</v>
      </c>
      <c r="L238" s="631">
        <f t="shared" si="30"/>
        <v>0</v>
      </c>
      <c r="M238" s="615" t="e">
        <f t="shared" si="25"/>
        <v>#N/A</v>
      </c>
      <c r="N238" s="613" t="e">
        <f t="shared" si="26"/>
        <v>#N/A</v>
      </c>
      <c r="O238" s="442" t="str">
        <f t="shared" si="31"/>
        <v/>
      </c>
    </row>
    <row r="239" spans="1:15">
      <c r="A239" s="626"/>
      <c r="B239" s="484"/>
      <c r="C239" s="628"/>
      <c r="D239" s="628"/>
      <c r="E239" s="484"/>
      <c r="F239" s="484"/>
      <c r="G239" s="613" t="e">
        <f t="shared" si="27"/>
        <v>#N/A</v>
      </c>
      <c r="H239" s="627"/>
      <c r="I239" s="614">
        <f t="shared" si="28"/>
        <v>0</v>
      </c>
      <c r="J239" s="630" t="e">
        <f t="shared" si="29"/>
        <v>#DIV/0!</v>
      </c>
      <c r="K239" s="631" t="e">
        <f t="shared" si="24"/>
        <v>#N/A</v>
      </c>
      <c r="L239" s="631">
        <f t="shared" si="30"/>
        <v>0</v>
      </c>
      <c r="M239" s="615" t="e">
        <f t="shared" si="25"/>
        <v>#N/A</v>
      </c>
      <c r="N239" s="613" t="e">
        <f t="shared" si="26"/>
        <v>#N/A</v>
      </c>
      <c r="O239" s="442" t="str">
        <f t="shared" si="31"/>
        <v/>
      </c>
    </row>
    <row r="240" spans="1:15">
      <c r="A240" s="626"/>
      <c r="B240" s="484"/>
      <c r="C240" s="628"/>
      <c r="D240" s="628"/>
      <c r="E240" s="484"/>
      <c r="F240" s="484"/>
      <c r="G240" s="613" t="e">
        <f t="shared" si="27"/>
        <v>#N/A</v>
      </c>
      <c r="H240" s="627"/>
      <c r="I240" s="614">
        <f t="shared" si="28"/>
        <v>0</v>
      </c>
      <c r="J240" s="630" t="e">
        <f t="shared" si="29"/>
        <v>#DIV/0!</v>
      </c>
      <c r="K240" s="631" t="e">
        <f t="shared" si="24"/>
        <v>#N/A</v>
      </c>
      <c r="L240" s="631">
        <f t="shared" si="30"/>
        <v>0</v>
      </c>
      <c r="M240" s="615" t="e">
        <f t="shared" si="25"/>
        <v>#N/A</v>
      </c>
      <c r="N240" s="613" t="e">
        <f t="shared" si="26"/>
        <v>#N/A</v>
      </c>
      <c r="O240" s="442" t="str">
        <f t="shared" si="31"/>
        <v/>
      </c>
    </row>
    <row r="241" spans="1:15">
      <c r="A241" s="626"/>
      <c r="B241" s="484"/>
      <c r="C241" s="628"/>
      <c r="D241" s="628"/>
      <c r="E241" s="484"/>
      <c r="F241" s="484"/>
      <c r="G241" s="613" t="e">
        <f t="shared" si="27"/>
        <v>#N/A</v>
      </c>
      <c r="H241" s="627"/>
      <c r="I241" s="614">
        <f t="shared" si="28"/>
        <v>0</v>
      </c>
      <c r="J241" s="630" t="e">
        <f t="shared" si="29"/>
        <v>#DIV/0!</v>
      </c>
      <c r="K241" s="631" t="e">
        <f t="shared" si="24"/>
        <v>#N/A</v>
      </c>
      <c r="L241" s="631">
        <f t="shared" si="30"/>
        <v>0</v>
      </c>
      <c r="M241" s="615" t="e">
        <f t="shared" si="25"/>
        <v>#N/A</v>
      </c>
      <c r="N241" s="613" t="e">
        <f t="shared" si="26"/>
        <v>#N/A</v>
      </c>
      <c r="O241" s="442" t="str">
        <f t="shared" si="31"/>
        <v/>
      </c>
    </row>
    <row r="242" spans="1:15">
      <c r="A242" s="626"/>
      <c r="B242" s="484"/>
      <c r="C242" s="629"/>
      <c r="D242" s="628"/>
      <c r="E242" s="484"/>
      <c r="F242" s="484"/>
      <c r="G242" s="613" t="e">
        <f t="shared" si="27"/>
        <v>#N/A</v>
      </c>
      <c r="H242" s="627"/>
      <c r="I242" s="614">
        <f t="shared" si="28"/>
        <v>0</v>
      </c>
      <c r="J242" s="630" t="e">
        <f t="shared" si="29"/>
        <v>#DIV/0!</v>
      </c>
      <c r="K242" s="631" t="e">
        <f t="shared" si="24"/>
        <v>#N/A</v>
      </c>
      <c r="L242" s="631">
        <f t="shared" si="30"/>
        <v>0</v>
      </c>
      <c r="M242" s="615" t="e">
        <f t="shared" si="25"/>
        <v>#N/A</v>
      </c>
      <c r="N242" s="613" t="e">
        <f t="shared" si="26"/>
        <v>#N/A</v>
      </c>
      <c r="O242" s="442" t="str">
        <f t="shared" si="31"/>
        <v/>
      </c>
    </row>
    <row r="243" spans="1:15">
      <c r="A243" s="626"/>
      <c r="B243" s="484"/>
      <c r="C243" s="628"/>
      <c r="D243" s="628"/>
      <c r="E243" s="484"/>
      <c r="F243" s="484"/>
      <c r="G243" s="613" t="e">
        <f t="shared" si="27"/>
        <v>#N/A</v>
      </c>
      <c r="H243" s="627"/>
      <c r="I243" s="614">
        <f t="shared" si="28"/>
        <v>0</v>
      </c>
      <c r="J243" s="630" t="e">
        <f t="shared" si="29"/>
        <v>#DIV/0!</v>
      </c>
      <c r="K243" s="631" t="e">
        <f t="shared" si="24"/>
        <v>#N/A</v>
      </c>
      <c r="L243" s="631">
        <f t="shared" si="30"/>
        <v>0</v>
      </c>
      <c r="M243" s="615" t="e">
        <f t="shared" si="25"/>
        <v>#N/A</v>
      </c>
      <c r="N243" s="613" t="e">
        <f t="shared" si="26"/>
        <v>#N/A</v>
      </c>
      <c r="O243" s="442" t="str">
        <f t="shared" si="31"/>
        <v/>
      </c>
    </row>
    <row r="244" spans="1:15">
      <c r="A244" s="626"/>
      <c r="B244" s="484"/>
      <c r="C244" s="628"/>
      <c r="D244" s="628"/>
      <c r="E244" s="484"/>
      <c r="F244" s="484"/>
      <c r="G244" s="613" t="e">
        <f t="shared" si="27"/>
        <v>#N/A</v>
      </c>
      <c r="H244" s="627"/>
      <c r="I244" s="614">
        <f t="shared" si="28"/>
        <v>0</v>
      </c>
      <c r="J244" s="630" t="e">
        <f t="shared" si="29"/>
        <v>#DIV/0!</v>
      </c>
      <c r="K244" s="631" t="e">
        <f t="shared" si="24"/>
        <v>#N/A</v>
      </c>
      <c r="L244" s="631">
        <f t="shared" si="30"/>
        <v>0</v>
      </c>
      <c r="M244" s="615" t="e">
        <f t="shared" si="25"/>
        <v>#N/A</v>
      </c>
      <c r="N244" s="613" t="e">
        <f t="shared" si="26"/>
        <v>#N/A</v>
      </c>
      <c r="O244" s="442" t="str">
        <f t="shared" si="31"/>
        <v/>
      </c>
    </row>
    <row r="245" spans="1:15">
      <c r="A245" s="626"/>
      <c r="B245" s="484"/>
      <c r="C245" s="628"/>
      <c r="D245" s="628"/>
      <c r="E245" s="484"/>
      <c r="F245" s="484"/>
      <c r="G245" s="613" t="e">
        <f t="shared" si="27"/>
        <v>#N/A</v>
      </c>
      <c r="H245" s="627"/>
      <c r="I245" s="614">
        <f t="shared" si="28"/>
        <v>0</v>
      </c>
      <c r="J245" s="630" t="e">
        <f t="shared" si="29"/>
        <v>#DIV/0!</v>
      </c>
      <c r="K245" s="631" t="e">
        <f t="shared" si="24"/>
        <v>#N/A</v>
      </c>
      <c r="L245" s="631">
        <f t="shared" si="30"/>
        <v>0</v>
      </c>
      <c r="M245" s="615" t="e">
        <f t="shared" si="25"/>
        <v>#N/A</v>
      </c>
      <c r="N245" s="613" t="e">
        <f t="shared" si="26"/>
        <v>#N/A</v>
      </c>
      <c r="O245" s="442" t="str">
        <f t="shared" si="31"/>
        <v/>
      </c>
    </row>
    <row r="246" spans="1:15">
      <c r="A246" s="626"/>
      <c r="B246" s="484"/>
      <c r="C246" s="628"/>
      <c r="D246" s="628"/>
      <c r="E246" s="484"/>
      <c r="F246" s="484"/>
      <c r="G246" s="613" t="e">
        <f t="shared" si="27"/>
        <v>#N/A</v>
      </c>
      <c r="H246" s="627"/>
      <c r="I246" s="614">
        <f t="shared" si="28"/>
        <v>0</v>
      </c>
      <c r="J246" s="630" t="e">
        <f t="shared" si="29"/>
        <v>#DIV/0!</v>
      </c>
      <c r="K246" s="631" t="e">
        <f t="shared" si="24"/>
        <v>#N/A</v>
      </c>
      <c r="L246" s="631">
        <f t="shared" si="30"/>
        <v>0</v>
      </c>
      <c r="M246" s="615" t="e">
        <f t="shared" si="25"/>
        <v>#N/A</v>
      </c>
      <c r="N246" s="613" t="e">
        <f t="shared" si="26"/>
        <v>#N/A</v>
      </c>
      <c r="O246" s="442" t="str">
        <f t="shared" si="31"/>
        <v/>
      </c>
    </row>
    <row r="247" spans="1:15">
      <c r="A247" s="626"/>
      <c r="B247" s="484"/>
      <c r="C247" s="628"/>
      <c r="D247" s="628"/>
      <c r="E247" s="484"/>
      <c r="F247" s="484"/>
      <c r="G247" s="613" t="e">
        <f t="shared" si="27"/>
        <v>#N/A</v>
      </c>
      <c r="H247" s="627"/>
      <c r="I247" s="614">
        <f t="shared" si="28"/>
        <v>0</v>
      </c>
      <c r="J247" s="630" t="e">
        <f t="shared" si="29"/>
        <v>#DIV/0!</v>
      </c>
      <c r="K247" s="631" t="e">
        <f t="shared" si="24"/>
        <v>#N/A</v>
      </c>
      <c r="L247" s="631">
        <f t="shared" si="30"/>
        <v>0</v>
      </c>
      <c r="M247" s="615" t="e">
        <f t="shared" si="25"/>
        <v>#N/A</v>
      </c>
      <c r="N247" s="613" t="e">
        <f t="shared" si="26"/>
        <v>#N/A</v>
      </c>
      <c r="O247" s="442" t="str">
        <f t="shared" si="31"/>
        <v/>
      </c>
    </row>
    <row r="248" spans="1:15">
      <c r="A248" s="626"/>
      <c r="B248" s="484"/>
      <c r="C248" s="629"/>
      <c r="D248" s="628"/>
      <c r="E248" s="484"/>
      <c r="F248" s="484"/>
      <c r="G248" s="613" t="e">
        <f t="shared" si="27"/>
        <v>#N/A</v>
      </c>
      <c r="H248" s="627"/>
      <c r="I248" s="614">
        <f t="shared" si="28"/>
        <v>0</v>
      </c>
      <c r="J248" s="630" t="e">
        <f t="shared" si="29"/>
        <v>#DIV/0!</v>
      </c>
      <c r="K248" s="631" t="e">
        <f t="shared" si="24"/>
        <v>#N/A</v>
      </c>
      <c r="L248" s="631">
        <f t="shared" si="30"/>
        <v>0</v>
      </c>
      <c r="M248" s="615" t="e">
        <f t="shared" si="25"/>
        <v>#N/A</v>
      </c>
      <c r="N248" s="613" t="e">
        <f t="shared" si="26"/>
        <v>#N/A</v>
      </c>
      <c r="O248" s="442" t="str">
        <f t="shared" si="31"/>
        <v/>
      </c>
    </row>
    <row r="249" spans="1:15">
      <c r="A249" s="626"/>
      <c r="B249" s="484"/>
      <c r="C249" s="628"/>
      <c r="D249" s="628"/>
      <c r="E249" s="484"/>
      <c r="F249" s="484"/>
      <c r="G249" s="613" t="e">
        <f t="shared" si="27"/>
        <v>#N/A</v>
      </c>
      <c r="H249" s="627"/>
      <c r="I249" s="614">
        <f t="shared" si="28"/>
        <v>0</v>
      </c>
      <c r="J249" s="630" t="e">
        <f t="shared" si="29"/>
        <v>#DIV/0!</v>
      </c>
      <c r="K249" s="631" t="e">
        <f t="shared" si="24"/>
        <v>#N/A</v>
      </c>
      <c r="L249" s="631">
        <f t="shared" si="30"/>
        <v>0</v>
      </c>
      <c r="M249" s="615" t="e">
        <f t="shared" si="25"/>
        <v>#N/A</v>
      </c>
      <c r="N249" s="613" t="e">
        <f t="shared" si="26"/>
        <v>#N/A</v>
      </c>
      <c r="O249" s="442" t="str">
        <f t="shared" si="31"/>
        <v/>
      </c>
    </row>
    <row r="250" spans="1:15">
      <c r="A250" s="626"/>
      <c r="B250" s="484"/>
      <c r="C250" s="628"/>
      <c r="D250" s="628"/>
      <c r="E250" s="484"/>
      <c r="F250" s="484"/>
      <c r="G250" s="613" t="e">
        <f t="shared" si="27"/>
        <v>#N/A</v>
      </c>
      <c r="H250" s="627"/>
      <c r="I250" s="614">
        <f t="shared" si="28"/>
        <v>0</v>
      </c>
      <c r="J250" s="630" t="e">
        <f t="shared" si="29"/>
        <v>#DIV/0!</v>
      </c>
      <c r="K250" s="631" t="e">
        <f t="shared" si="24"/>
        <v>#N/A</v>
      </c>
      <c r="L250" s="631">
        <f t="shared" si="30"/>
        <v>0</v>
      </c>
      <c r="M250" s="615" t="e">
        <f t="shared" si="25"/>
        <v>#N/A</v>
      </c>
      <c r="N250" s="613" t="e">
        <f t="shared" si="26"/>
        <v>#N/A</v>
      </c>
      <c r="O250" s="442" t="str">
        <f t="shared" si="31"/>
        <v/>
      </c>
    </row>
    <row r="251" spans="1:15">
      <c r="A251" s="626"/>
      <c r="B251" s="484"/>
      <c r="C251" s="628"/>
      <c r="D251" s="628"/>
      <c r="E251" s="484"/>
      <c r="F251" s="484"/>
      <c r="G251" s="613" t="e">
        <f t="shared" si="27"/>
        <v>#N/A</v>
      </c>
      <c r="H251" s="627"/>
      <c r="I251" s="614">
        <f t="shared" si="28"/>
        <v>0</v>
      </c>
      <c r="J251" s="630" t="e">
        <f t="shared" si="29"/>
        <v>#DIV/0!</v>
      </c>
      <c r="K251" s="631" t="e">
        <f t="shared" si="24"/>
        <v>#N/A</v>
      </c>
      <c r="L251" s="631">
        <f t="shared" si="30"/>
        <v>0</v>
      </c>
      <c r="M251" s="615" t="e">
        <f t="shared" si="25"/>
        <v>#N/A</v>
      </c>
      <c r="N251" s="613" t="e">
        <f t="shared" si="26"/>
        <v>#N/A</v>
      </c>
      <c r="O251" s="442" t="str">
        <f t="shared" si="31"/>
        <v/>
      </c>
    </row>
    <row r="252" spans="1:15">
      <c r="A252" s="626"/>
      <c r="B252" s="484"/>
      <c r="C252" s="628"/>
      <c r="D252" s="628"/>
      <c r="E252" s="484"/>
      <c r="F252" s="484"/>
      <c r="G252" s="613" t="e">
        <f t="shared" si="27"/>
        <v>#N/A</v>
      </c>
      <c r="H252" s="627"/>
      <c r="I252" s="614">
        <f t="shared" si="28"/>
        <v>0</v>
      </c>
      <c r="J252" s="630" t="e">
        <f t="shared" si="29"/>
        <v>#DIV/0!</v>
      </c>
      <c r="K252" s="631" t="e">
        <f t="shared" si="24"/>
        <v>#N/A</v>
      </c>
      <c r="L252" s="631">
        <f t="shared" si="30"/>
        <v>0</v>
      </c>
      <c r="M252" s="615" t="e">
        <f t="shared" si="25"/>
        <v>#N/A</v>
      </c>
      <c r="N252" s="613" t="e">
        <f t="shared" si="26"/>
        <v>#N/A</v>
      </c>
      <c r="O252" s="442" t="str">
        <f t="shared" si="31"/>
        <v/>
      </c>
    </row>
    <row r="253" spans="1:15">
      <c r="A253" s="626"/>
      <c r="B253" s="484"/>
      <c r="C253" s="628"/>
      <c r="D253" s="628"/>
      <c r="E253" s="484"/>
      <c r="F253" s="484"/>
      <c r="G253" s="613" t="e">
        <f t="shared" si="27"/>
        <v>#N/A</v>
      </c>
      <c r="H253" s="627"/>
      <c r="I253" s="614">
        <f t="shared" si="28"/>
        <v>0</v>
      </c>
      <c r="J253" s="630" t="e">
        <f t="shared" si="29"/>
        <v>#DIV/0!</v>
      </c>
      <c r="K253" s="631" t="e">
        <f t="shared" si="24"/>
        <v>#N/A</v>
      </c>
      <c r="L253" s="631">
        <f t="shared" si="30"/>
        <v>0</v>
      </c>
      <c r="M253" s="615" t="e">
        <f t="shared" si="25"/>
        <v>#N/A</v>
      </c>
      <c r="N253" s="613" t="e">
        <f t="shared" si="26"/>
        <v>#N/A</v>
      </c>
      <c r="O253" s="442" t="str">
        <f t="shared" si="31"/>
        <v/>
      </c>
    </row>
    <row r="254" spans="1:15">
      <c r="A254" s="626"/>
      <c r="B254" s="484"/>
      <c r="C254" s="629"/>
      <c r="D254" s="628"/>
      <c r="E254" s="484"/>
      <c r="F254" s="484"/>
      <c r="G254" s="613" t="e">
        <f t="shared" si="27"/>
        <v>#N/A</v>
      </c>
      <c r="H254" s="627"/>
      <c r="I254" s="614">
        <f t="shared" si="28"/>
        <v>0</v>
      </c>
      <c r="J254" s="630" t="e">
        <f t="shared" si="29"/>
        <v>#DIV/0!</v>
      </c>
      <c r="K254" s="631" t="e">
        <f t="shared" si="24"/>
        <v>#N/A</v>
      </c>
      <c r="L254" s="631">
        <f t="shared" si="30"/>
        <v>0</v>
      </c>
      <c r="M254" s="615" t="e">
        <f t="shared" si="25"/>
        <v>#N/A</v>
      </c>
      <c r="N254" s="613" t="e">
        <f t="shared" si="26"/>
        <v>#N/A</v>
      </c>
      <c r="O254" s="442" t="str">
        <f t="shared" si="31"/>
        <v/>
      </c>
    </row>
    <row r="255" spans="1:15">
      <c r="A255" s="626"/>
      <c r="B255" s="484"/>
      <c r="C255" s="628"/>
      <c r="D255" s="628"/>
      <c r="E255" s="484"/>
      <c r="F255" s="484"/>
      <c r="G255" s="613" t="e">
        <f t="shared" si="27"/>
        <v>#N/A</v>
      </c>
      <c r="H255" s="627"/>
      <c r="I255" s="614">
        <f t="shared" si="28"/>
        <v>0</v>
      </c>
      <c r="J255" s="630" t="e">
        <f t="shared" si="29"/>
        <v>#DIV/0!</v>
      </c>
      <c r="K255" s="631" t="e">
        <f t="shared" si="24"/>
        <v>#N/A</v>
      </c>
      <c r="L255" s="631">
        <f t="shared" si="30"/>
        <v>0</v>
      </c>
      <c r="M255" s="615" t="e">
        <f t="shared" si="25"/>
        <v>#N/A</v>
      </c>
      <c r="N255" s="613" t="e">
        <f t="shared" si="26"/>
        <v>#N/A</v>
      </c>
      <c r="O255" s="442" t="str">
        <f t="shared" si="31"/>
        <v/>
      </c>
    </row>
    <row r="256" spans="1:15">
      <c r="A256" s="626"/>
      <c r="B256" s="484"/>
      <c r="C256" s="628"/>
      <c r="D256" s="628"/>
      <c r="E256" s="484"/>
      <c r="F256" s="484"/>
      <c r="G256" s="613" t="e">
        <f t="shared" si="27"/>
        <v>#N/A</v>
      </c>
      <c r="H256" s="627"/>
      <c r="I256" s="614">
        <f t="shared" si="28"/>
        <v>0</v>
      </c>
      <c r="J256" s="630" t="e">
        <f t="shared" si="29"/>
        <v>#DIV/0!</v>
      </c>
      <c r="K256" s="631" t="e">
        <f t="shared" si="24"/>
        <v>#N/A</v>
      </c>
      <c r="L256" s="631">
        <f t="shared" si="30"/>
        <v>0</v>
      </c>
      <c r="M256" s="615" t="e">
        <f t="shared" si="25"/>
        <v>#N/A</v>
      </c>
      <c r="N256" s="613" t="e">
        <f t="shared" si="26"/>
        <v>#N/A</v>
      </c>
      <c r="O256" s="442" t="str">
        <f t="shared" si="31"/>
        <v/>
      </c>
    </row>
    <row r="257" spans="1:15">
      <c r="A257" s="626"/>
      <c r="B257" s="484"/>
      <c r="C257" s="628"/>
      <c r="D257" s="628"/>
      <c r="E257" s="484"/>
      <c r="F257" s="484"/>
      <c r="G257" s="613" t="e">
        <f t="shared" si="27"/>
        <v>#N/A</v>
      </c>
      <c r="H257" s="627"/>
      <c r="I257" s="614">
        <f t="shared" si="28"/>
        <v>0</v>
      </c>
      <c r="J257" s="630" t="e">
        <f t="shared" si="29"/>
        <v>#DIV/0!</v>
      </c>
      <c r="K257" s="631" t="e">
        <f t="shared" si="24"/>
        <v>#N/A</v>
      </c>
      <c r="L257" s="631">
        <f t="shared" si="30"/>
        <v>0</v>
      </c>
      <c r="M257" s="615" t="e">
        <f t="shared" si="25"/>
        <v>#N/A</v>
      </c>
      <c r="N257" s="613" t="e">
        <f t="shared" si="26"/>
        <v>#N/A</v>
      </c>
      <c r="O257" s="442" t="str">
        <f t="shared" si="31"/>
        <v/>
      </c>
    </row>
    <row r="258" spans="1:15">
      <c r="A258" s="626"/>
      <c r="B258" s="484"/>
      <c r="C258" s="628"/>
      <c r="D258" s="628"/>
      <c r="E258" s="484"/>
      <c r="F258" s="484"/>
      <c r="G258" s="613" t="e">
        <f t="shared" si="27"/>
        <v>#N/A</v>
      </c>
      <c r="H258" s="627"/>
      <c r="I258" s="614">
        <f t="shared" si="28"/>
        <v>0</v>
      </c>
      <c r="J258" s="630" t="e">
        <f t="shared" si="29"/>
        <v>#DIV/0!</v>
      </c>
      <c r="K258" s="631" t="e">
        <f t="shared" si="24"/>
        <v>#N/A</v>
      </c>
      <c r="L258" s="631">
        <f t="shared" si="30"/>
        <v>0</v>
      </c>
      <c r="M258" s="615" t="e">
        <f t="shared" si="25"/>
        <v>#N/A</v>
      </c>
      <c r="N258" s="613" t="e">
        <f t="shared" si="26"/>
        <v>#N/A</v>
      </c>
      <c r="O258" s="442" t="str">
        <f t="shared" si="31"/>
        <v/>
      </c>
    </row>
    <row r="259" spans="1:15">
      <c r="A259" s="626"/>
      <c r="B259" s="484"/>
      <c r="C259" s="628"/>
      <c r="D259" s="628"/>
      <c r="E259" s="484"/>
      <c r="F259" s="484"/>
      <c r="G259" s="613" t="e">
        <f t="shared" si="27"/>
        <v>#N/A</v>
      </c>
      <c r="H259" s="627"/>
      <c r="I259" s="614">
        <f t="shared" si="28"/>
        <v>0</v>
      </c>
      <c r="J259" s="630" t="e">
        <f t="shared" si="29"/>
        <v>#DIV/0!</v>
      </c>
      <c r="K259" s="631" t="e">
        <f t="shared" si="24"/>
        <v>#N/A</v>
      </c>
      <c r="L259" s="631">
        <f t="shared" si="30"/>
        <v>0</v>
      </c>
      <c r="M259" s="615" t="e">
        <f t="shared" si="25"/>
        <v>#N/A</v>
      </c>
      <c r="N259" s="613" t="e">
        <f t="shared" si="26"/>
        <v>#N/A</v>
      </c>
      <c r="O259" s="442" t="str">
        <f t="shared" si="31"/>
        <v/>
      </c>
    </row>
    <row r="260" spans="1:15">
      <c r="A260" s="626"/>
      <c r="B260" s="484"/>
      <c r="C260" s="629"/>
      <c r="D260" s="628"/>
      <c r="E260" s="484"/>
      <c r="F260" s="484"/>
      <c r="G260" s="613" t="e">
        <f t="shared" si="27"/>
        <v>#N/A</v>
      </c>
      <c r="H260" s="627"/>
      <c r="I260" s="614">
        <f t="shared" si="28"/>
        <v>0</v>
      </c>
      <c r="J260" s="630" t="e">
        <f t="shared" si="29"/>
        <v>#DIV/0!</v>
      </c>
      <c r="K260" s="631" t="e">
        <f t="shared" si="24"/>
        <v>#N/A</v>
      </c>
      <c r="L260" s="631">
        <f t="shared" si="30"/>
        <v>0</v>
      </c>
      <c r="M260" s="615" t="e">
        <f t="shared" si="25"/>
        <v>#N/A</v>
      </c>
      <c r="N260" s="613" t="e">
        <f t="shared" si="26"/>
        <v>#N/A</v>
      </c>
      <c r="O260" s="442" t="str">
        <f t="shared" si="31"/>
        <v/>
      </c>
    </row>
    <row r="261" spans="1:15">
      <c r="A261" s="626"/>
      <c r="B261" s="484"/>
      <c r="C261" s="628"/>
      <c r="D261" s="628"/>
      <c r="E261" s="484"/>
      <c r="F261" s="484"/>
      <c r="G261" s="613" t="e">
        <f t="shared" si="27"/>
        <v>#N/A</v>
      </c>
      <c r="H261" s="627"/>
      <c r="I261" s="614">
        <f t="shared" si="28"/>
        <v>0</v>
      </c>
      <c r="J261" s="630" t="e">
        <f t="shared" si="29"/>
        <v>#DIV/0!</v>
      </c>
      <c r="K261" s="631" t="e">
        <f t="shared" si="24"/>
        <v>#N/A</v>
      </c>
      <c r="L261" s="631">
        <f t="shared" si="30"/>
        <v>0</v>
      </c>
      <c r="M261" s="615" t="e">
        <f t="shared" si="25"/>
        <v>#N/A</v>
      </c>
      <c r="N261" s="613" t="e">
        <f t="shared" si="26"/>
        <v>#N/A</v>
      </c>
      <c r="O261" s="442" t="str">
        <f t="shared" si="31"/>
        <v/>
      </c>
    </row>
    <row r="262" spans="1:15">
      <c r="A262" s="626"/>
      <c r="B262" s="484"/>
      <c r="C262" s="628"/>
      <c r="D262" s="628"/>
      <c r="E262" s="484"/>
      <c r="F262" s="484"/>
      <c r="G262" s="613" t="e">
        <f t="shared" si="27"/>
        <v>#N/A</v>
      </c>
      <c r="H262" s="627"/>
      <c r="I262" s="614">
        <f t="shared" si="28"/>
        <v>0</v>
      </c>
      <c r="J262" s="630" t="e">
        <f t="shared" si="29"/>
        <v>#DIV/0!</v>
      </c>
      <c r="K262" s="631" t="e">
        <f t="shared" si="24"/>
        <v>#N/A</v>
      </c>
      <c r="L262" s="631">
        <f t="shared" si="30"/>
        <v>0</v>
      </c>
      <c r="M262" s="615" t="e">
        <f t="shared" si="25"/>
        <v>#N/A</v>
      </c>
      <c r="N262" s="613" t="e">
        <f t="shared" si="26"/>
        <v>#N/A</v>
      </c>
      <c r="O262" s="442" t="str">
        <f t="shared" si="31"/>
        <v/>
      </c>
    </row>
    <row r="263" spans="1:15">
      <c r="A263" s="626"/>
      <c r="B263" s="484"/>
      <c r="C263" s="628"/>
      <c r="D263" s="628"/>
      <c r="E263" s="484"/>
      <c r="F263" s="484"/>
      <c r="G263" s="613" t="e">
        <f t="shared" si="27"/>
        <v>#N/A</v>
      </c>
      <c r="H263" s="627"/>
      <c r="I263" s="614">
        <f t="shared" si="28"/>
        <v>0</v>
      </c>
      <c r="J263" s="630" t="e">
        <f t="shared" si="29"/>
        <v>#DIV/0!</v>
      </c>
      <c r="K263" s="631" t="e">
        <f t="shared" si="24"/>
        <v>#N/A</v>
      </c>
      <c r="L263" s="631">
        <f t="shared" si="30"/>
        <v>0</v>
      </c>
      <c r="M263" s="615" t="e">
        <f t="shared" si="25"/>
        <v>#N/A</v>
      </c>
      <c r="N263" s="613" t="e">
        <f t="shared" si="26"/>
        <v>#N/A</v>
      </c>
      <c r="O263" s="442" t="str">
        <f t="shared" si="31"/>
        <v/>
      </c>
    </row>
    <row r="264" spans="1:15">
      <c r="A264" s="626"/>
      <c r="B264" s="484"/>
      <c r="C264" s="628"/>
      <c r="D264" s="628"/>
      <c r="E264" s="484"/>
      <c r="F264" s="484"/>
      <c r="G264" s="613" t="e">
        <f t="shared" si="27"/>
        <v>#N/A</v>
      </c>
      <c r="H264" s="627"/>
      <c r="I264" s="614">
        <f t="shared" si="28"/>
        <v>0</v>
      </c>
      <c r="J264" s="630" t="e">
        <f t="shared" si="29"/>
        <v>#DIV/0!</v>
      </c>
      <c r="K264" s="631" t="e">
        <f t="shared" si="24"/>
        <v>#N/A</v>
      </c>
      <c r="L264" s="631">
        <f t="shared" si="30"/>
        <v>0</v>
      </c>
      <c r="M264" s="615" t="e">
        <f t="shared" si="25"/>
        <v>#N/A</v>
      </c>
      <c r="N264" s="613" t="e">
        <f t="shared" si="26"/>
        <v>#N/A</v>
      </c>
      <c r="O264" s="442" t="str">
        <f t="shared" si="31"/>
        <v/>
      </c>
    </row>
    <row r="265" spans="1:15">
      <c r="A265" s="626"/>
      <c r="B265" s="484"/>
      <c r="C265" s="628"/>
      <c r="D265" s="628"/>
      <c r="E265" s="484"/>
      <c r="F265" s="484"/>
      <c r="G265" s="613" t="e">
        <f t="shared" si="27"/>
        <v>#N/A</v>
      </c>
      <c r="H265" s="627"/>
      <c r="I265" s="614">
        <f t="shared" si="28"/>
        <v>0</v>
      </c>
      <c r="J265" s="630" t="e">
        <f t="shared" si="29"/>
        <v>#DIV/0!</v>
      </c>
      <c r="K265" s="631" t="e">
        <f t="shared" si="24"/>
        <v>#N/A</v>
      </c>
      <c r="L265" s="631">
        <f t="shared" si="30"/>
        <v>0</v>
      </c>
      <c r="M265" s="615" t="e">
        <f t="shared" si="25"/>
        <v>#N/A</v>
      </c>
      <c r="N265" s="613" t="e">
        <f t="shared" si="26"/>
        <v>#N/A</v>
      </c>
      <c r="O265" s="442" t="str">
        <f t="shared" si="31"/>
        <v/>
      </c>
    </row>
    <row r="266" spans="1:15">
      <c r="A266" s="626"/>
      <c r="B266" s="484"/>
      <c r="C266" s="629"/>
      <c r="D266" s="628"/>
      <c r="E266" s="484"/>
      <c r="F266" s="484"/>
      <c r="G266" s="613" t="e">
        <f t="shared" si="27"/>
        <v>#N/A</v>
      </c>
      <c r="H266" s="627"/>
      <c r="I266" s="614">
        <f t="shared" si="28"/>
        <v>0</v>
      </c>
      <c r="J266" s="630" t="e">
        <f t="shared" si="29"/>
        <v>#DIV/0!</v>
      </c>
      <c r="K266" s="631" t="e">
        <f t="shared" si="24"/>
        <v>#N/A</v>
      </c>
      <c r="L266" s="631">
        <f t="shared" si="30"/>
        <v>0</v>
      </c>
      <c r="M266" s="615" t="e">
        <f t="shared" si="25"/>
        <v>#N/A</v>
      </c>
      <c r="N266" s="613" t="e">
        <f t="shared" si="26"/>
        <v>#N/A</v>
      </c>
      <c r="O266" s="442" t="str">
        <f t="shared" si="31"/>
        <v/>
      </c>
    </row>
    <row r="267" spans="1:15">
      <c r="A267" s="626"/>
      <c r="B267" s="484"/>
      <c r="C267" s="628"/>
      <c r="D267" s="628"/>
      <c r="E267" s="484"/>
      <c r="F267" s="484"/>
      <c r="G267" s="613" t="e">
        <f t="shared" si="27"/>
        <v>#N/A</v>
      </c>
      <c r="H267" s="627"/>
      <c r="I267" s="614">
        <f t="shared" si="28"/>
        <v>0</v>
      </c>
      <c r="J267" s="630" t="e">
        <f t="shared" si="29"/>
        <v>#DIV/0!</v>
      </c>
      <c r="K267" s="631" t="e">
        <f t="shared" si="24"/>
        <v>#N/A</v>
      </c>
      <c r="L267" s="631">
        <f t="shared" si="30"/>
        <v>0</v>
      </c>
      <c r="M267" s="615" t="e">
        <f t="shared" si="25"/>
        <v>#N/A</v>
      </c>
      <c r="N267" s="613" t="e">
        <f t="shared" si="26"/>
        <v>#N/A</v>
      </c>
      <c r="O267" s="442" t="str">
        <f t="shared" si="31"/>
        <v/>
      </c>
    </row>
    <row r="268" spans="1:15">
      <c r="A268" s="626"/>
      <c r="B268" s="484"/>
      <c r="C268" s="628"/>
      <c r="D268" s="628"/>
      <c r="E268" s="484"/>
      <c r="F268" s="484"/>
      <c r="G268" s="613" t="e">
        <f t="shared" si="27"/>
        <v>#N/A</v>
      </c>
      <c r="H268" s="627"/>
      <c r="I268" s="614">
        <f t="shared" si="28"/>
        <v>0</v>
      </c>
      <c r="J268" s="630" t="e">
        <f t="shared" si="29"/>
        <v>#DIV/0!</v>
      </c>
      <c r="K268" s="631" t="e">
        <f t="shared" si="24"/>
        <v>#N/A</v>
      </c>
      <c r="L268" s="631">
        <f t="shared" si="30"/>
        <v>0</v>
      </c>
      <c r="M268" s="615" t="e">
        <f t="shared" si="25"/>
        <v>#N/A</v>
      </c>
      <c r="N268" s="613" t="e">
        <f t="shared" si="26"/>
        <v>#N/A</v>
      </c>
      <c r="O268" s="442" t="str">
        <f t="shared" si="31"/>
        <v/>
      </c>
    </row>
    <row r="269" spans="1:15">
      <c r="A269" s="626"/>
      <c r="B269" s="484"/>
      <c r="C269" s="628"/>
      <c r="D269" s="628"/>
      <c r="E269" s="484"/>
      <c r="F269" s="484"/>
      <c r="G269" s="613" t="e">
        <f t="shared" si="27"/>
        <v>#N/A</v>
      </c>
      <c r="H269" s="627"/>
      <c r="I269" s="614">
        <f t="shared" si="28"/>
        <v>0</v>
      </c>
      <c r="J269" s="630" t="e">
        <f t="shared" si="29"/>
        <v>#DIV/0!</v>
      </c>
      <c r="K269" s="631" t="e">
        <f t="shared" si="24"/>
        <v>#N/A</v>
      </c>
      <c r="L269" s="631">
        <f t="shared" si="30"/>
        <v>0</v>
      </c>
      <c r="M269" s="615" t="e">
        <f t="shared" si="25"/>
        <v>#N/A</v>
      </c>
      <c r="N269" s="613" t="e">
        <f t="shared" si="26"/>
        <v>#N/A</v>
      </c>
      <c r="O269" s="442" t="str">
        <f t="shared" si="31"/>
        <v/>
      </c>
    </row>
    <row r="270" spans="1:15">
      <c r="A270" s="626"/>
      <c r="B270" s="484"/>
      <c r="C270" s="628"/>
      <c r="D270" s="628"/>
      <c r="E270" s="484"/>
      <c r="F270" s="484"/>
      <c r="G270" s="613" t="e">
        <f t="shared" si="27"/>
        <v>#N/A</v>
      </c>
      <c r="H270" s="627"/>
      <c r="I270" s="614">
        <f t="shared" si="28"/>
        <v>0</v>
      </c>
      <c r="J270" s="630" t="e">
        <f t="shared" si="29"/>
        <v>#DIV/0!</v>
      </c>
      <c r="K270" s="631" t="e">
        <f t="shared" si="24"/>
        <v>#N/A</v>
      </c>
      <c r="L270" s="631">
        <f t="shared" si="30"/>
        <v>0</v>
      </c>
      <c r="M270" s="615" t="e">
        <f t="shared" si="25"/>
        <v>#N/A</v>
      </c>
      <c r="N270" s="613" t="e">
        <f t="shared" si="26"/>
        <v>#N/A</v>
      </c>
      <c r="O270" s="442" t="str">
        <f t="shared" si="31"/>
        <v/>
      </c>
    </row>
    <row r="271" spans="1:15">
      <c r="A271" s="625"/>
      <c r="B271" s="484"/>
      <c r="C271" s="628"/>
      <c r="D271" s="628"/>
      <c r="E271" s="484"/>
      <c r="F271" s="484"/>
      <c r="G271" s="613" t="e">
        <f t="shared" si="27"/>
        <v>#N/A</v>
      </c>
      <c r="H271" s="627"/>
      <c r="I271" s="614">
        <f t="shared" si="28"/>
        <v>0</v>
      </c>
      <c r="J271" s="630" t="e">
        <f t="shared" si="29"/>
        <v>#DIV/0!</v>
      </c>
      <c r="K271" s="631" t="e">
        <f t="shared" si="24"/>
        <v>#N/A</v>
      </c>
      <c r="L271" s="631">
        <f t="shared" si="30"/>
        <v>0</v>
      </c>
      <c r="M271" s="615" t="e">
        <f t="shared" si="25"/>
        <v>#N/A</v>
      </c>
      <c r="N271" s="613" t="e">
        <f t="shared" si="26"/>
        <v>#N/A</v>
      </c>
      <c r="O271" s="442" t="str">
        <f t="shared" si="31"/>
        <v/>
      </c>
    </row>
    <row r="272" spans="1:15">
      <c r="A272" s="622"/>
      <c r="B272" s="484"/>
      <c r="C272" s="628"/>
      <c r="D272" s="628"/>
      <c r="E272" s="484"/>
      <c r="F272" s="484"/>
      <c r="G272" s="613" t="e">
        <f t="shared" si="27"/>
        <v>#N/A</v>
      </c>
      <c r="H272" s="627"/>
      <c r="I272" s="614">
        <f t="shared" si="28"/>
        <v>0</v>
      </c>
      <c r="J272" s="630" t="e">
        <f t="shared" si="29"/>
        <v>#DIV/0!</v>
      </c>
      <c r="K272" s="631" t="e">
        <f t="shared" si="24"/>
        <v>#N/A</v>
      </c>
      <c r="L272" s="631">
        <f t="shared" si="30"/>
        <v>0</v>
      </c>
      <c r="M272" s="615" t="e">
        <f t="shared" si="25"/>
        <v>#N/A</v>
      </c>
      <c r="N272" s="613" t="e">
        <f t="shared" si="26"/>
        <v>#N/A</v>
      </c>
      <c r="O272" s="442" t="str">
        <f t="shared" si="31"/>
        <v/>
      </c>
    </row>
    <row r="273" spans="1:15">
      <c r="A273" s="622"/>
      <c r="B273" s="484"/>
      <c r="C273" s="628"/>
      <c r="D273" s="628"/>
      <c r="E273" s="484"/>
      <c r="F273" s="484"/>
      <c r="G273" s="613" t="e">
        <f t="shared" si="27"/>
        <v>#N/A</v>
      </c>
      <c r="H273" s="627"/>
      <c r="I273" s="614">
        <f t="shared" si="28"/>
        <v>0</v>
      </c>
      <c r="J273" s="630" t="e">
        <f t="shared" si="29"/>
        <v>#DIV/0!</v>
      </c>
      <c r="K273" s="631" t="e">
        <f t="shared" si="24"/>
        <v>#N/A</v>
      </c>
      <c r="L273" s="631">
        <f t="shared" si="30"/>
        <v>0</v>
      </c>
      <c r="M273" s="615" t="e">
        <f t="shared" si="25"/>
        <v>#N/A</v>
      </c>
      <c r="N273" s="613" t="e">
        <f t="shared" si="26"/>
        <v>#N/A</v>
      </c>
      <c r="O273" s="442" t="str">
        <f t="shared" si="31"/>
        <v/>
      </c>
    </row>
    <row r="274" spans="1:15">
      <c r="A274" s="625"/>
      <c r="B274" s="484"/>
      <c r="C274" s="628"/>
      <c r="D274" s="628"/>
      <c r="E274" s="484"/>
      <c r="F274" s="484"/>
      <c r="G274" s="613" t="e">
        <f t="shared" si="27"/>
        <v>#N/A</v>
      </c>
      <c r="H274" s="627"/>
      <c r="I274" s="614">
        <f t="shared" si="28"/>
        <v>0</v>
      </c>
      <c r="J274" s="630" t="e">
        <f t="shared" si="29"/>
        <v>#DIV/0!</v>
      </c>
      <c r="K274" s="631" t="e">
        <f t="shared" si="24"/>
        <v>#N/A</v>
      </c>
      <c r="L274" s="631">
        <f t="shared" si="30"/>
        <v>0</v>
      </c>
      <c r="M274" s="615" t="e">
        <f t="shared" si="25"/>
        <v>#N/A</v>
      </c>
      <c r="N274" s="613" t="e">
        <f t="shared" si="26"/>
        <v>#N/A</v>
      </c>
      <c r="O274" s="442" t="str">
        <f t="shared" si="31"/>
        <v/>
      </c>
    </row>
    <row r="275" spans="1:15">
      <c r="A275" s="625"/>
      <c r="B275" s="484"/>
      <c r="C275" s="628"/>
      <c r="D275" s="628"/>
      <c r="E275" s="484"/>
      <c r="F275" s="484"/>
      <c r="G275" s="613" t="e">
        <f t="shared" si="27"/>
        <v>#N/A</v>
      </c>
      <c r="H275" s="627"/>
      <c r="I275" s="614">
        <f t="shared" si="28"/>
        <v>0</v>
      </c>
      <c r="J275" s="630" t="e">
        <f t="shared" si="29"/>
        <v>#DIV/0!</v>
      </c>
      <c r="K275" s="631" t="e">
        <f t="shared" si="24"/>
        <v>#N/A</v>
      </c>
      <c r="L275" s="631">
        <f t="shared" si="30"/>
        <v>0</v>
      </c>
      <c r="M275" s="615" t="e">
        <f t="shared" si="25"/>
        <v>#N/A</v>
      </c>
      <c r="N275" s="613" t="e">
        <f t="shared" si="26"/>
        <v>#N/A</v>
      </c>
      <c r="O275" s="442" t="str">
        <f t="shared" si="31"/>
        <v/>
      </c>
    </row>
    <row r="276" spans="1:15">
      <c r="A276" s="626"/>
      <c r="B276" s="484"/>
      <c r="C276" s="628"/>
      <c r="D276" s="628"/>
      <c r="E276" s="484"/>
      <c r="F276" s="484"/>
      <c r="G276" s="613" t="e">
        <f t="shared" si="27"/>
        <v>#N/A</v>
      </c>
      <c r="H276" s="627"/>
      <c r="I276" s="614">
        <f t="shared" si="28"/>
        <v>0</v>
      </c>
      <c r="J276" s="630" t="e">
        <f t="shared" si="29"/>
        <v>#DIV/0!</v>
      </c>
      <c r="K276" s="631" t="e">
        <f t="shared" si="24"/>
        <v>#N/A</v>
      </c>
      <c r="L276" s="631">
        <f t="shared" si="30"/>
        <v>0</v>
      </c>
      <c r="M276" s="615" t="e">
        <f t="shared" si="25"/>
        <v>#N/A</v>
      </c>
      <c r="N276" s="613" t="e">
        <f t="shared" si="26"/>
        <v>#N/A</v>
      </c>
      <c r="O276" s="442" t="str">
        <f t="shared" si="31"/>
        <v/>
      </c>
    </row>
    <row r="277" spans="1:15">
      <c r="A277" s="626"/>
      <c r="B277" s="484"/>
      <c r="C277" s="629"/>
      <c r="D277" s="628"/>
      <c r="E277" s="484"/>
      <c r="F277" s="484"/>
      <c r="G277" s="613" t="e">
        <f t="shared" si="27"/>
        <v>#N/A</v>
      </c>
      <c r="H277" s="627"/>
      <c r="I277" s="614">
        <f t="shared" si="28"/>
        <v>0</v>
      </c>
      <c r="J277" s="630" t="e">
        <f t="shared" si="29"/>
        <v>#DIV/0!</v>
      </c>
      <c r="K277" s="631" t="e">
        <f t="shared" si="24"/>
        <v>#N/A</v>
      </c>
      <c r="L277" s="631">
        <f t="shared" si="30"/>
        <v>0</v>
      </c>
      <c r="M277" s="615" t="e">
        <f t="shared" si="25"/>
        <v>#N/A</v>
      </c>
      <c r="N277" s="613" t="e">
        <f t="shared" si="26"/>
        <v>#N/A</v>
      </c>
      <c r="O277" s="442" t="str">
        <f t="shared" si="31"/>
        <v/>
      </c>
    </row>
    <row r="278" spans="1:15">
      <c r="A278" s="626"/>
      <c r="B278" s="484"/>
      <c r="C278" s="628"/>
      <c r="D278" s="628"/>
      <c r="E278" s="484"/>
      <c r="F278" s="484"/>
      <c r="G278" s="613" t="e">
        <f t="shared" si="27"/>
        <v>#N/A</v>
      </c>
      <c r="H278" s="627"/>
      <c r="I278" s="614">
        <f t="shared" si="28"/>
        <v>0</v>
      </c>
      <c r="J278" s="630" t="e">
        <f t="shared" si="29"/>
        <v>#DIV/0!</v>
      </c>
      <c r="K278" s="631" t="e">
        <f t="shared" si="24"/>
        <v>#N/A</v>
      </c>
      <c r="L278" s="631">
        <f t="shared" si="30"/>
        <v>0</v>
      </c>
      <c r="M278" s="615" t="e">
        <f t="shared" si="25"/>
        <v>#N/A</v>
      </c>
      <c r="N278" s="613" t="e">
        <f t="shared" si="26"/>
        <v>#N/A</v>
      </c>
      <c r="O278" s="442" t="str">
        <f t="shared" si="31"/>
        <v/>
      </c>
    </row>
    <row r="279" spans="1:15">
      <c r="A279" s="626"/>
      <c r="B279" s="484"/>
      <c r="C279" s="628"/>
      <c r="D279" s="628"/>
      <c r="E279" s="484"/>
      <c r="F279" s="484"/>
      <c r="G279" s="613" t="e">
        <f t="shared" si="27"/>
        <v>#N/A</v>
      </c>
      <c r="H279" s="627"/>
      <c r="I279" s="614">
        <f t="shared" si="28"/>
        <v>0</v>
      </c>
      <c r="J279" s="630" t="e">
        <f t="shared" si="29"/>
        <v>#DIV/0!</v>
      </c>
      <c r="K279" s="631" t="e">
        <f t="shared" si="24"/>
        <v>#N/A</v>
      </c>
      <c r="L279" s="631">
        <f t="shared" si="30"/>
        <v>0</v>
      </c>
      <c r="M279" s="615" t="e">
        <f t="shared" si="25"/>
        <v>#N/A</v>
      </c>
      <c r="N279" s="613" t="e">
        <f t="shared" si="26"/>
        <v>#N/A</v>
      </c>
      <c r="O279" s="442" t="str">
        <f t="shared" si="31"/>
        <v/>
      </c>
    </row>
    <row r="280" spans="1:15">
      <c r="A280" s="626"/>
      <c r="B280" s="484"/>
      <c r="C280" s="628"/>
      <c r="D280" s="628"/>
      <c r="E280" s="484"/>
      <c r="F280" s="484"/>
      <c r="G280" s="613" t="e">
        <f t="shared" si="27"/>
        <v>#N/A</v>
      </c>
      <c r="H280" s="627"/>
      <c r="I280" s="614">
        <f t="shared" si="28"/>
        <v>0</v>
      </c>
      <c r="J280" s="630" t="e">
        <f t="shared" si="29"/>
        <v>#DIV/0!</v>
      </c>
      <c r="K280" s="631" t="e">
        <f t="shared" si="24"/>
        <v>#N/A</v>
      </c>
      <c r="L280" s="631">
        <f t="shared" si="30"/>
        <v>0</v>
      </c>
      <c r="M280" s="615" t="e">
        <f t="shared" si="25"/>
        <v>#N/A</v>
      </c>
      <c r="N280" s="613" t="e">
        <f t="shared" si="26"/>
        <v>#N/A</v>
      </c>
      <c r="O280" s="442" t="str">
        <f t="shared" si="31"/>
        <v/>
      </c>
    </row>
    <row r="281" spans="1:15">
      <c r="A281" s="626"/>
      <c r="B281" s="484"/>
      <c r="C281" s="628"/>
      <c r="D281" s="628"/>
      <c r="E281" s="484"/>
      <c r="F281" s="484"/>
      <c r="G281" s="613" t="e">
        <f t="shared" si="27"/>
        <v>#N/A</v>
      </c>
      <c r="H281" s="627"/>
      <c r="I281" s="614">
        <f t="shared" si="28"/>
        <v>0</v>
      </c>
      <c r="J281" s="630" t="e">
        <f t="shared" si="29"/>
        <v>#DIV/0!</v>
      </c>
      <c r="K281" s="631" t="e">
        <f t="shared" si="24"/>
        <v>#N/A</v>
      </c>
      <c r="L281" s="631">
        <f t="shared" si="30"/>
        <v>0</v>
      </c>
      <c r="M281" s="615" t="e">
        <f t="shared" si="25"/>
        <v>#N/A</v>
      </c>
      <c r="N281" s="613" t="e">
        <f t="shared" si="26"/>
        <v>#N/A</v>
      </c>
      <c r="O281" s="442" t="str">
        <f t="shared" si="31"/>
        <v/>
      </c>
    </row>
    <row r="282" spans="1:15">
      <c r="A282" s="626"/>
      <c r="B282" s="484"/>
      <c r="C282" s="628"/>
      <c r="D282" s="628"/>
      <c r="E282" s="484"/>
      <c r="F282" s="484"/>
      <c r="G282" s="613" t="e">
        <f t="shared" si="27"/>
        <v>#N/A</v>
      </c>
      <c r="H282" s="627"/>
      <c r="I282" s="614">
        <f t="shared" si="28"/>
        <v>0</v>
      </c>
      <c r="J282" s="630" t="e">
        <f t="shared" si="29"/>
        <v>#DIV/0!</v>
      </c>
      <c r="K282" s="631" t="e">
        <f t="shared" si="24"/>
        <v>#N/A</v>
      </c>
      <c r="L282" s="631">
        <f t="shared" si="30"/>
        <v>0</v>
      </c>
      <c r="M282" s="615" t="e">
        <f t="shared" si="25"/>
        <v>#N/A</v>
      </c>
      <c r="N282" s="613" t="e">
        <f t="shared" si="26"/>
        <v>#N/A</v>
      </c>
      <c r="O282" s="442" t="str">
        <f t="shared" si="31"/>
        <v/>
      </c>
    </row>
    <row r="283" spans="1:15">
      <c r="A283" s="626"/>
      <c r="B283" s="484"/>
      <c r="C283" s="629"/>
      <c r="D283" s="628"/>
      <c r="E283" s="484"/>
      <c r="F283" s="484"/>
      <c r="G283" s="613" t="e">
        <f t="shared" si="27"/>
        <v>#N/A</v>
      </c>
      <c r="H283" s="627"/>
      <c r="I283" s="614">
        <f t="shared" si="28"/>
        <v>0</v>
      </c>
      <c r="J283" s="630" t="e">
        <f t="shared" si="29"/>
        <v>#DIV/0!</v>
      </c>
      <c r="K283" s="631" t="e">
        <f t="shared" si="24"/>
        <v>#N/A</v>
      </c>
      <c r="L283" s="631">
        <f t="shared" si="30"/>
        <v>0</v>
      </c>
      <c r="M283" s="615" t="e">
        <f t="shared" si="25"/>
        <v>#N/A</v>
      </c>
      <c r="N283" s="613" t="e">
        <f t="shared" si="26"/>
        <v>#N/A</v>
      </c>
      <c r="O283" s="442" t="str">
        <f t="shared" si="31"/>
        <v/>
      </c>
    </row>
    <row r="284" spans="1:15">
      <c r="A284" s="626"/>
      <c r="B284" s="484"/>
      <c r="C284" s="628"/>
      <c r="D284" s="628"/>
      <c r="E284" s="484"/>
      <c r="F284" s="484"/>
      <c r="G284" s="613" t="e">
        <f t="shared" si="27"/>
        <v>#N/A</v>
      </c>
      <c r="H284" s="627"/>
      <c r="I284" s="614">
        <f t="shared" si="28"/>
        <v>0</v>
      </c>
      <c r="J284" s="630" t="e">
        <f t="shared" si="29"/>
        <v>#DIV/0!</v>
      </c>
      <c r="K284" s="631" t="e">
        <f t="shared" si="24"/>
        <v>#N/A</v>
      </c>
      <c r="L284" s="631">
        <f t="shared" si="30"/>
        <v>0</v>
      </c>
      <c r="M284" s="615" t="e">
        <f t="shared" si="25"/>
        <v>#N/A</v>
      </c>
      <c r="N284" s="613" t="e">
        <f t="shared" si="26"/>
        <v>#N/A</v>
      </c>
      <c r="O284" s="442" t="str">
        <f t="shared" si="31"/>
        <v/>
      </c>
    </row>
    <row r="285" spans="1:15">
      <c r="A285" s="626"/>
      <c r="B285" s="484"/>
      <c r="C285" s="628"/>
      <c r="D285" s="628"/>
      <c r="E285" s="484"/>
      <c r="F285" s="484"/>
      <c r="G285" s="613" t="e">
        <f t="shared" si="27"/>
        <v>#N/A</v>
      </c>
      <c r="H285" s="627"/>
      <c r="I285" s="614">
        <f t="shared" si="28"/>
        <v>0</v>
      </c>
      <c r="J285" s="630" t="e">
        <f t="shared" si="29"/>
        <v>#DIV/0!</v>
      </c>
      <c r="K285" s="631" t="e">
        <f t="shared" ref="K285:K348" si="32">LOOKUP(D285, LightingSpaceType, LPD)</f>
        <v>#N/A</v>
      </c>
      <c r="L285" s="631">
        <f t="shared" si="30"/>
        <v>0</v>
      </c>
      <c r="M285" s="615" t="e">
        <f t="shared" ref="M285:M348" si="33">IF(D285="Exit Signs","NA", E285*LOOKUP(F285,$I$4:$I$26,$L$4:$L$26)/B285)</f>
        <v>#N/A</v>
      </c>
      <c r="N285" s="613" t="e">
        <f t="shared" ref="N285:N348" si="34">LOOKUP(D285, LightingSpaceType, Footcandles)</f>
        <v>#N/A</v>
      </c>
      <c r="O285" s="442" t="str">
        <f t="shared" si="31"/>
        <v/>
      </c>
    </row>
    <row r="286" spans="1:15">
      <c r="A286" s="626"/>
      <c r="B286" s="484"/>
      <c r="C286" s="628"/>
      <c r="D286" s="628"/>
      <c r="E286" s="484"/>
      <c r="F286" s="484"/>
      <c r="G286" s="613" t="e">
        <f t="shared" ref="G286:G349" si="35">LOOKUP(F286, $I$4:$I$17, $K$4:$K$17)</f>
        <v>#N/A</v>
      </c>
      <c r="H286" s="627"/>
      <c r="I286" s="614">
        <f t="shared" ref="I286:I349" si="36">IF(E286&gt;0, E286*G286*H286, 0)</f>
        <v>0</v>
      </c>
      <c r="J286" s="630" t="e">
        <f t="shared" ref="J286:J349" si="37">IF(D286="Exit Signs","convert to kW", I286/B286)</f>
        <v>#DIV/0!</v>
      </c>
      <c r="K286" s="631" t="e">
        <f t="shared" si="32"/>
        <v>#N/A</v>
      </c>
      <c r="L286" s="631">
        <f t="shared" ref="L286:L349" si="38">IF(D286="Exit Signs", 5*E286, IF(B286&gt;0, K286*B286, 0))</f>
        <v>0</v>
      </c>
      <c r="M286" s="615" t="e">
        <f t="shared" si="33"/>
        <v>#N/A</v>
      </c>
      <c r="N286" s="613" t="e">
        <f t="shared" si="34"/>
        <v>#N/A</v>
      </c>
      <c r="O286" s="442" t="str">
        <f t="shared" ref="O286:O349" si="39">IF(E286&gt;0, IF(M286&lt;N286, "Insufficient lighting to meet IESNA footcandle recommendations.", ""), "")</f>
        <v/>
      </c>
    </row>
    <row r="287" spans="1:15">
      <c r="A287" s="626"/>
      <c r="B287" s="484"/>
      <c r="C287" s="628"/>
      <c r="D287" s="628"/>
      <c r="E287" s="484"/>
      <c r="F287" s="484"/>
      <c r="G287" s="613" t="e">
        <f t="shared" si="35"/>
        <v>#N/A</v>
      </c>
      <c r="H287" s="627"/>
      <c r="I287" s="614">
        <f t="shared" si="36"/>
        <v>0</v>
      </c>
      <c r="J287" s="630" t="e">
        <f t="shared" si="37"/>
        <v>#DIV/0!</v>
      </c>
      <c r="K287" s="631" t="e">
        <f t="shared" si="32"/>
        <v>#N/A</v>
      </c>
      <c r="L287" s="631">
        <f t="shared" si="38"/>
        <v>0</v>
      </c>
      <c r="M287" s="615" t="e">
        <f t="shared" si="33"/>
        <v>#N/A</v>
      </c>
      <c r="N287" s="613" t="e">
        <f t="shared" si="34"/>
        <v>#N/A</v>
      </c>
      <c r="O287" s="442" t="str">
        <f t="shared" si="39"/>
        <v/>
      </c>
    </row>
    <row r="288" spans="1:15">
      <c r="A288" s="626"/>
      <c r="B288" s="484"/>
      <c r="C288" s="628"/>
      <c r="D288" s="628"/>
      <c r="E288" s="484"/>
      <c r="F288" s="484"/>
      <c r="G288" s="613" t="e">
        <f t="shared" si="35"/>
        <v>#N/A</v>
      </c>
      <c r="H288" s="627"/>
      <c r="I288" s="614">
        <f t="shared" si="36"/>
        <v>0</v>
      </c>
      <c r="J288" s="630" t="e">
        <f t="shared" si="37"/>
        <v>#DIV/0!</v>
      </c>
      <c r="K288" s="631" t="e">
        <f t="shared" si="32"/>
        <v>#N/A</v>
      </c>
      <c r="L288" s="631">
        <f t="shared" si="38"/>
        <v>0</v>
      </c>
      <c r="M288" s="615" t="e">
        <f t="shared" si="33"/>
        <v>#N/A</v>
      </c>
      <c r="N288" s="613" t="e">
        <f t="shared" si="34"/>
        <v>#N/A</v>
      </c>
      <c r="O288" s="442" t="str">
        <f t="shared" si="39"/>
        <v/>
      </c>
    </row>
    <row r="289" spans="1:15">
      <c r="A289" s="626"/>
      <c r="B289" s="484"/>
      <c r="C289" s="629"/>
      <c r="D289" s="628"/>
      <c r="E289" s="484"/>
      <c r="F289" s="484"/>
      <c r="G289" s="613" t="e">
        <f t="shared" si="35"/>
        <v>#N/A</v>
      </c>
      <c r="H289" s="627"/>
      <c r="I289" s="614">
        <f t="shared" si="36"/>
        <v>0</v>
      </c>
      <c r="J289" s="630" t="e">
        <f t="shared" si="37"/>
        <v>#DIV/0!</v>
      </c>
      <c r="K289" s="631" t="e">
        <f t="shared" si="32"/>
        <v>#N/A</v>
      </c>
      <c r="L289" s="631">
        <f t="shared" si="38"/>
        <v>0</v>
      </c>
      <c r="M289" s="615" t="e">
        <f t="shared" si="33"/>
        <v>#N/A</v>
      </c>
      <c r="N289" s="613" t="e">
        <f t="shared" si="34"/>
        <v>#N/A</v>
      </c>
      <c r="O289" s="442" t="str">
        <f t="shared" si="39"/>
        <v/>
      </c>
    </row>
    <row r="290" spans="1:15">
      <c r="A290" s="626"/>
      <c r="B290" s="484"/>
      <c r="C290" s="628"/>
      <c r="D290" s="628"/>
      <c r="E290" s="484"/>
      <c r="F290" s="484"/>
      <c r="G290" s="613" t="e">
        <f t="shared" si="35"/>
        <v>#N/A</v>
      </c>
      <c r="H290" s="627"/>
      <c r="I290" s="614">
        <f t="shared" si="36"/>
        <v>0</v>
      </c>
      <c r="J290" s="630" t="e">
        <f t="shared" si="37"/>
        <v>#DIV/0!</v>
      </c>
      <c r="K290" s="631" t="e">
        <f t="shared" si="32"/>
        <v>#N/A</v>
      </c>
      <c r="L290" s="631">
        <f t="shared" si="38"/>
        <v>0</v>
      </c>
      <c r="M290" s="615" t="e">
        <f t="shared" si="33"/>
        <v>#N/A</v>
      </c>
      <c r="N290" s="613" t="e">
        <f t="shared" si="34"/>
        <v>#N/A</v>
      </c>
      <c r="O290" s="442" t="str">
        <f t="shared" si="39"/>
        <v/>
      </c>
    </row>
    <row r="291" spans="1:15">
      <c r="A291" s="626"/>
      <c r="B291" s="484"/>
      <c r="C291" s="628"/>
      <c r="D291" s="628"/>
      <c r="E291" s="484"/>
      <c r="F291" s="484"/>
      <c r="G291" s="613" t="e">
        <f t="shared" si="35"/>
        <v>#N/A</v>
      </c>
      <c r="H291" s="627"/>
      <c r="I291" s="614">
        <f t="shared" si="36"/>
        <v>0</v>
      </c>
      <c r="J291" s="630" t="e">
        <f t="shared" si="37"/>
        <v>#DIV/0!</v>
      </c>
      <c r="K291" s="631" t="e">
        <f t="shared" si="32"/>
        <v>#N/A</v>
      </c>
      <c r="L291" s="631">
        <f t="shared" si="38"/>
        <v>0</v>
      </c>
      <c r="M291" s="615" t="e">
        <f t="shared" si="33"/>
        <v>#N/A</v>
      </c>
      <c r="N291" s="613" t="e">
        <f t="shared" si="34"/>
        <v>#N/A</v>
      </c>
      <c r="O291" s="442" t="str">
        <f t="shared" si="39"/>
        <v/>
      </c>
    </row>
    <row r="292" spans="1:15">
      <c r="A292" s="626"/>
      <c r="B292" s="484"/>
      <c r="C292" s="628"/>
      <c r="D292" s="628"/>
      <c r="E292" s="484"/>
      <c r="F292" s="484"/>
      <c r="G292" s="613" t="e">
        <f t="shared" si="35"/>
        <v>#N/A</v>
      </c>
      <c r="H292" s="627"/>
      <c r="I292" s="614">
        <f t="shared" si="36"/>
        <v>0</v>
      </c>
      <c r="J292" s="630" t="e">
        <f t="shared" si="37"/>
        <v>#DIV/0!</v>
      </c>
      <c r="K292" s="631" t="e">
        <f t="shared" si="32"/>
        <v>#N/A</v>
      </c>
      <c r="L292" s="631">
        <f t="shared" si="38"/>
        <v>0</v>
      </c>
      <c r="M292" s="615" t="e">
        <f t="shared" si="33"/>
        <v>#N/A</v>
      </c>
      <c r="N292" s="613" t="e">
        <f t="shared" si="34"/>
        <v>#N/A</v>
      </c>
      <c r="O292" s="442" t="str">
        <f t="shared" si="39"/>
        <v/>
      </c>
    </row>
    <row r="293" spans="1:15">
      <c r="A293" s="626"/>
      <c r="B293" s="484"/>
      <c r="C293" s="628"/>
      <c r="D293" s="628"/>
      <c r="E293" s="484"/>
      <c r="F293" s="484"/>
      <c r="G293" s="613" t="e">
        <f t="shared" si="35"/>
        <v>#N/A</v>
      </c>
      <c r="H293" s="627"/>
      <c r="I293" s="614">
        <f t="shared" si="36"/>
        <v>0</v>
      </c>
      <c r="J293" s="630" t="e">
        <f t="shared" si="37"/>
        <v>#DIV/0!</v>
      </c>
      <c r="K293" s="631" t="e">
        <f t="shared" si="32"/>
        <v>#N/A</v>
      </c>
      <c r="L293" s="631">
        <f t="shared" si="38"/>
        <v>0</v>
      </c>
      <c r="M293" s="615" t="e">
        <f t="shared" si="33"/>
        <v>#N/A</v>
      </c>
      <c r="N293" s="613" t="e">
        <f t="shared" si="34"/>
        <v>#N/A</v>
      </c>
      <c r="O293" s="442" t="str">
        <f t="shared" si="39"/>
        <v/>
      </c>
    </row>
    <row r="294" spans="1:15">
      <c r="A294" s="626"/>
      <c r="B294" s="484"/>
      <c r="C294" s="628"/>
      <c r="D294" s="628"/>
      <c r="E294" s="484"/>
      <c r="F294" s="484"/>
      <c r="G294" s="613" t="e">
        <f t="shared" si="35"/>
        <v>#N/A</v>
      </c>
      <c r="H294" s="627"/>
      <c r="I294" s="614">
        <f t="shared" si="36"/>
        <v>0</v>
      </c>
      <c r="J294" s="630" t="e">
        <f t="shared" si="37"/>
        <v>#DIV/0!</v>
      </c>
      <c r="K294" s="631" t="e">
        <f t="shared" si="32"/>
        <v>#N/A</v>
      </c>
      <c r="L294" s="631">
        <f t="shared" si="38"/>
        <v>0</v>
      </c>
      <c r="M294" s="615" t="e">
        <f t="shared" si="33"/>
        <v>#N/A</v>
      </c>
      <c r="N294" s="613" t="e">
        <f t="shared" si="34"/>
        <v>#N/A</v>
      </c>
      <c r="O294" s="442" t="str">
        <f t="shared" si="39"/>
        <v/>
      </c>
    </row>
    <row r="295" spans="1:15">
      <c r="A295" s="626"/>
      <c r="B295" s="484"/>
      <c r="C295" s="629"/>
      <c r="D295" s="628"/>
      <c r="E295" s="484"/>
      <c r="F295" s="484"/>
      <c r="G295" s="613" t="e">
        <f t="shared" si="35"/>
        <v>#N/A</v>
      </c>
      <c r="H295" s="627"/>
      <c r="I295" s="614">
        <f t="shared" si="36"/>
        <v>0</v>
      </c>
      <c r="J295" s="630" t="e">
        <f t="shared" si="37"/>
        <v>#DIV/0!</v>
      </c>
      <c r="K295" s="631" t="e">
        <f t="shared" si="32"/>
        <v>#N/A</v>
      </c>
      <c r="L295" s="631">
        <f t="shared" si="38"/>
        <v>0</v>
      </c>
      <c r="M295" s="615" t="e">
        <f t="shared" si="33"/>
        <v>#N/A</v>
      </c>
      <c r="N295" s="613" t="e">
        <f t="shared" si="34"/>
        <v>#N/A</v>
      </c>
      <c r="O295" s="442" t="str">
        <f t="shared" si="39"/>
        <v/>
      </c>
    </row>
    <row r="296" spans="1:15">
      <c r="A296" s="626"/>
      <c r="B296" s="484"/>
      <c r="C296" s="628"/>
      <c r="D296" s="628"/>
      <c r="E296" s="484"/>
      <c r="F296" s="484"/>
      <c r="G296" s="613" t="e">
        <f t="shared" si="35"/>
        <v>#N/A</v>
      </c>
      <c r="H296" s="627"/>
      <c r="I296" s="614">
        <f t="shared" si="36"/>
        <v>0</v>
      </c>
      <c r="J296" s="630" t="e">
        <f t="shared" si="37"/>
        <v>#DIV/0!</v>
      </c>
      <c r="K296" s="631" t="e">
        <f t="shared" si="32"/>
        <v>#N/A</v>
      </c>
      <c r="L296" s="631">
        <f t="shared" si="38"/>
        <v>0</v>
      </c>
      <c r="M296" s="615" t="e">
        <f t="shared" si="33"/>
        <v>#N/A</v>
      </c>
      <c r="N296" s="613" t="e">
        <f t="shared" si="34"/>
        <v>#N/A</v>
      </c>
      <c r="O296" s="442" t="str">
        <f t="shared" si="39"/>
        <v/>
      </c>
    </row>
    <row r="297" spans="1:15">
      <c r="A297" s="626"/>
      <c r="B297" s="484"/>
      <c r="C297" s="628"/>
      <c r="D297" s="628"/>
      <c r="E297" s="484"/>
      <c r="F297" s="484"/>
      <c r="G297" s="613" t="e">
        <f t="shared" si="35"/>
        <v>#N/A</v>
      </c>
      <c r="H297" s="627"/>
      <c r="I297" s="614">
        <f t="shared" si="36"/>
        <v>0</v>
      </c>
      <c r="J297" s="630" t="e">
        <f t="shared" si="37"/>
        <v>#DIV/0!</v>
      </c>
      <c r="K297" s="631" t="e">
        <f t="shared" si="32"/>
        <v>#N/A</v>
      </c>
      <c r="L297" s="631">
        <f t="shared" si="38"/>
        <v>0</v>
      </c>
      <c r="M297" s="615" t="e">
        <f t="shared" si="33"/>
        <v>#N/A</v>
      </c>
      <c r="N297" s="613" t="e">
        <f t="shared" si="34"/>
        <v>#N/A</v>
      </c>
      <c r="O297" s="442" t="str">
        <f t="shared" si="39"/>
        <v/>
      </c>
    </row>
    <row r="298" spans="1:15">
      <c r="A298" s="626"/>
      <c r="B298" s="484"/>
      <c r="C298" s="628"/>
      <c r="D298" s="628"/>
      <c r="E298" s="484"/>
      <c r="F298" s="484"/>
      <c r="G298" s="613" t="e">
        <f t="shared" si="35"/>
        <v>#N/A</v>
      </c>
      <c r="H298" s="627"/>
      <c r="I298" s="614">
        <f t="shared" si="36"/>
        <v>0</v>
      </c>
      <c r="J298" s="630" t="e">
        <f t="shared" si="37"/>
        <v>#DIV/0!</v>
      </c>
      <c r="K298" s="631" t="e">
        <f t="shared" si="32"/>
        <v>#N/A</v>
      </c>
      <c r="L298" s="631">
        <f t="shared" si="38"/>
        <v>0</v>
      </c>
      <c r="M298" s="615" t="e">
        <f t="shared" si="33"/>
        <v>#N/A</v>
      </c>
      <c r="N298" s="613" t="e">
        <f t="shared" si="34"/>
        <v>#N/A</v>
      </c>
      <c r="O298" s="442" t="str">
        <f t="shared" si="39"/>
        <v/>
      </c>
    </row>
    <row r="299" spans="1:15">
      <c r="A299" s="626"/>
      <c r="B299" s="484"/>
      <c r="C299" s="628"/>
      <c r="D299" s="628"/>
      <c r="E299" s="484"/>
      <c r="F299" s="484"/>
      <c r="G299" s="613" t="e">
        <f t="shared" si="35"/>
        <v>#N/A</v>
      </c>
      <c r="H299" s="627"/>
      <c r="I299" s="614">
        <f t="shared" si="36"/>
        <v>0</v>
      </c>
      <c r="J299" s="630" t="e">
        <f t="shared" si="37"/>
        <v>#DIV/0!</v>
      </c>
      <c r="K299" s="631" t="e">
        <f t="shared" si="32"/>
        <v>#N/A</v>
      </c>
      <c r="L299" s="631">
        <f t="shared" si="38"/>
        <v>0</v>
      </c>
      <c r="M299" s="615" t="e">
        <f t="shared" si="33"/>
        <v>#N/A</v>
      </c>
      <c r="N299" s="613" t="e">
        <f t="shared" si="34"/>
        <v>#N/A</v>
      </c>
      <c r="O299" s="442" t="str">
        <f t="shared" si="39"/>
        <v/>
      </c>
    </row>
    <row r="300" spans="1:15">
      <c r="A300" s="626"/>
      <c r="B300" s="484"/>
      <c r="C300" s="628"/>
      <c r="D300" s="628"/>
      <c r="E300" s="484"/>
      <c r="F300" s="484"/>
      <c r="G300" s="613" t="e">
        <f t="shared" si="35"/>
        <v>#N/A</v>
      </c>
      <c r="H300" s="627"/>
      <c r="I300" s="614">
        <f t="shared" si="36"/>
        <v>0</v>
      </c>
      <c r="J300" s="630" t="e">
        <f t="shared" si="37"/>
        <v>#DIV/0!</v>
      </c>
      <c r="K300" s="631" t="e">
        <f t="shared" si="32"/>
        <v>#N/A</v>
      </c>
      <c r="L300" s="631">
        <f t="shared" si="38"/>
        <v>0</v>
      </c>
      <c r="M300" s="615" t="e">
        <f t="shared" si="33"/>
        <v>#N/A</v>
      </c>
      <c r="N300" s="613" t="e">
        <f t="shared" si="34"/>
        <v>#N/A</v>
      </c>
      <c r="O300" s="442" t="str">
        <f t="shared" si="39"/>
        <v/>
      </c>
    </row>
    <row r="301" spans="1:15">
      <c r="A301" s="626"/>
      <c r="B301" s="484"/>
      <c r="C301" s="629"/>
      <c r="D301" s="628"/>
      <c r="E301" s="484"/>
      <c r="F301" s="484"/>
      <c r="G301" s="613" t="e">
        <f t="shared" si="35"/>
        <v>#N/A</v>
      </c>
      <c r="H301" s="627"/>
      <c r="I301" s="614">
        <f t="shared" si="36"/>
        <v>0</v>
      </c>
      <c r="J301" s="630" t="e">
        <f t="shared" si="37"/>
        <v>#DIV/0!</v>
      </c>
      <c r="K301" s="631" t="e">
        <f t="shared" si="32"/>
        <v>#N/A</v>
      </c>
      <c r="L301" s="631">
        <f t="shared" si="38"/>
        <v>0</v>
      </c>
      <c r="M301" s="615" t="e">
        <f t="shared" si="33"/>
        <v>#N/A</v>
      </c>
      <c r="N301" s="613" t="e">
        <f t="shared" si="34"/>
        <v>#N/A</v>
      </c>
      <c r="O301" s="442" t="str">
        <f t="shared" si="39"/>
        <v/>
      </c>
    </row>
    <row r="302" spans="1:15" ht="11.25" customHeight="1">
      <c r="A302" s="626"/>
      <c r="B302" s="484"/>
      <c r="C302" s="628"/>
      <c r="D302" s="628"/>
      <c r="E302" s="484"/>
      <c r="F302" s="484"/>
      <c r="G302" s="613" t="e">
        <f t="shared" si="35"/>
        <v>#N/A</v>
      </c>
      <c r="H302" s="627"/>
      <c r="I302" s="614">
        <f t="shared" si="36"/>
        <v>0</v>
      </c>
      <c r="J302" s="630" t="e">
        <f t="shared" si="37"/>
        <v>#DIV/0!</v>
      </c>
      <c r="K302" s="631" t="e">
        <f t="shared" si="32"/>
        <v>#N/A</v>
      </c>
      <c r="L302" s="631">
        <f t="shared" si="38"/>
        <v>0</v>
      </c>
      <c r="M302" s="615" t="e">
        <f t="shared" si="33"/>
        <v>#N/A</v>
      </c>
      <c r="N302" s="613" t="e">
        <f t="shared" si="34"/>
        <v>#N/A</v>
      </c>
      <c r="O302" s="442" t="str">
        <f t="shared" si="39"/>
        <v/>
      </c>
    </row>
    <row r="303" spans="1:15" ht="12.75" customHeight="1">
      <c r="A303" s="626"/>
      <c r="B303" s="484"/>
      <c r="C303" s="628"/>
      <c r="D303" s="628"/>
      <c r="E303" s="484"/>
      <c r="F303" s="484"/>
      <c r="G303" s="613" t="e">
        <f t="shared" si="35"/>
        <v>#N/A</v>
      </c>
      <c r="H303" s="627"/>
      <c r="I303" s="614">
        <f t="shared" si="36"/>
        <v>0</v>
      </c>
      <c r="J303" s="630" t="e">
        <f t="shared" si="37"/>
        <v>#DIV/0!</v>
      </c>
      <c r="K303" s="631" t="e">
        <f t="shared" si="32"/>
        <v>#N/A</v>
      </c>
      <c r="L303" s="631">
        <f t="shared" si="38"/>
        <v>0</v>
      </c>
      <c r="M303" s="615" t="e">
        <f t="shared" si="33"/>
        <v>#N/A</v>
      </c>
      <c r="N303" s="613" t="e">
        <f t="shared" si="34"/>
        <v>#N/A</v>
      </c>
      <c r="O303" s="442" t="str">
        <f t="shared" si="39"/>
        <v/>
      </c>
    </row>
    <row r="304" spans="1:15" ht="12.75" customHeight="1">
      <c r="A304" s="626"/>
      <c r="B304" s="484"/>
      <c r="C304" s="628"/>
      <c r="D304" s="628"/>
      <c r="E304" s="484"/>
      <c r="F304" s="484"/>
      <c r="G304" s="613" t="e">
        <f t="shared" si="35"/>
        <v>#N/A</v>
      </c>
      <c r="H304" s="627"/>
      <c r="I304" s="614">
        <f t="shared" si="36"/>
        <v>0</v>
      </c>
      <c r="J304" s="630" t="e">
        <f t="shared" si="37"/>
        <v>#DIV/0!</v>
      </c>
      <c r="K304" s="631" t="e">
        <f t="shared" si="32"/>
        <v>#N/A</v>
      </c>
      <c r="L304" s="631">
        <f t="shared" si="38"/>
        <v>0</v>
      </c>
      <c r="M304" s="615" t="e">
        <f t="shared" si="33"/>
        <v>#N/A</v>
      </c>
      <c r="N304" s="613" t="e">
        <f t="shared" si="34"/>
        <v>#N/A</v>
      </c>
      <c r="O304" s="442" t="str">
        <f t="shared" si="39"/>
        <v/>
      </c>
    </row>
    <row r="305" spans="1:15">
      <c r="A305" s="626"/>
      <c r="B305" s="484"/>
      <c r="C305" s="628"/>
      <c r="D305" s="628"/>
      <c r="E305" s="484"/>
      <c r="F305" s="484"/>
      <c r="G305" s="613" t="e">
        <f t="shared" si="35"/>
        <v>#N/A</v>
      </c>
      <c r="H305" s="627"/>
      <c r="I305" s="614">
        <f t="shared" si="36"/>
        <v>0</v>
      </c>
      <c r="J305" s="630" t="e">
        <f t="shared" si="37"/>
        <v>#DIV/0!</v>
      </c>
      <c r="K305" s="631" t="e">
        <f t="shared" si="32"/>
        <v>#N/A</v>
      </c>
      <c r="L305" s="631">
        <f t="shared" si="38"/>
        <v>0</v>
      </c>
      <c r="M305" s="615" t="e">
        <f t="shared" si="33"/>
        <v>#N/A</v>
      </c>
      <c r="N305" s="613" t="e">
        <f t="shared" si="34"/>
        <v>#N/A</v>
      </c>
      <c r="O305" s="442" t="str">
        <f t="shared" si="39"/>
        <v/>
      </c>
    </row>
    <row r="306" spans="1:15">
      <c r="A306" s="626"/>
      <c r="B306" s="484"/>
      <c r="C306" s="628"/>
      <c r="D306" s="628"/>
      <c r="E306" s="484"/>
      <c r="F306" s="484"/>
      <c r="G306" s="613" t="e">
        <f t="shared" si="35"/>
        <v>#N/A</v>
      </c>
      <c r="H306" s="627"/>
      <c r="I306" s="614">
        <f t="shared" si="36"/>
        <v>0</v>
      </c>
      <c r="J306" s="630" t="e">
        <f t="shared" si="37"/>
        <v>#DIV/0!</v>
      </c>
      <c r="K306" s="631" t="e">
        <f t="shared" si="32"/>
        <v>#N/A</v>
      </c>
      <c r="L306" s="631">
        <f t="shared" si="38"/>
        <v>0</v>
      </c>
      <c r="M306" s="615" t="e">
        <f t="shared" si="33"/>
        <v>#N/A</v>
      </c>
      <c r="N306" s="613" t="e">
        <f t="shared" si="34"/>
        <v>#N/A</v>
      </c>
      <c r="O306" s="442" t="str">
        <f t="shared" si="39"/>
        <v/>
      </c>
    </row>
    <row r="307" spans="1:15">
      <c r="A307" s="626"/>
      <c r="B307" s="484"/>
      <c r="C307" s="629"/>
      <c r="D307" s="628"/>
      <c r="E307" s="484"/>
      <c r="F307" s="484"/>
      <c r="G307" s="613" t="e">
        <f t="shared" si="35"/>
        <v>#N/A</v>
      </c>
      <c r="H307" s="627"/>
      <c r="I307" s="614">
        <f t="shared" si="36"/>
        <v>0</v>
      </c>
      <c r="J307" s="630" t="e">
        <f t="shared" si="37"/>
        <v>#DIV/0!</v>
      </c>
      <c r="K307" s="631" t="e">
        <f t="shared" si="32"/>
        <v>#N/A</v>
      </c>
      <c r="L307" s="631">
        <f t="shared" si="38"/>
        <v>0</v>
      </c>
      <c r="M307" s="615" t="e">
        <f t="shared" si="33"/>
        <v>#N/A</v>
      </c>
      <c r="N307" s="613" t="e">
        <f t="shared" si="34"/>
        <v>#N/A</v>
      </c>
      <c r="O307" s="442" t="str">
        <f t="shared" si="39"/>
        <v/>
      </c>
    </row>
    <row r="308" spans="1:15" ht="11.25" customHeight="1">
      <c r="A308" s="626"/>
      <c r="B308" s="484"/>
      <c r="C308" s="628"/>
      <c r="D308" s="628"/>
      <c r="E308" s="484"/>
      <c r="F308" s="484"/>
      <c r="G308" s="613" t="e">
        <f t="shared" si="35"/>
        <v>#N/A</v>
      </c>
      <c r="H308" s="627"/>
      <c r="I308" s="614">
        <f t="shared" si="36"/>
        <v>0</v>
      </c>
      <c r="J308" s="630" t="e">
        <f t="shared" si="37"/>
        <v>#DIV/0!</v>
      </c>
      <c r="K308" s="631" t="e">
        <f t="shared" si="32"/>
        <v>#N/A</v>
      </c>
      <c r="L308" s="631">
        <f t="shared" si="38"/>
        <v>0</v>
      </c>
      <c r="M308" s="615" t="e">
        <f t="shared" si="33"/>
        <v>#N/A</v>
      </c>
      <c r="N308" s="613" t="e">
        <f t="shared" si="34"/>
        <v>#N/A</v>
      </c>
      <c r="O308" s="442" t="str">
        <f t="shared" si="39"/>
        <v/>
      </c>
    </row>
    <row r="309" spans="1:15">
      <c r="A309" s="626"/>
      <c r="B309" s="484"/>
      <c r="C309" s="628"/>
      <c r="D309" s="628"/>
      <c r="E309" s="484"/>
      <c r="F309" s="484"/>
      <c r="G309" s="613" t="e">
        <f t="shared" si="35"/>
        <v>#N/A</v>
      </c>
      <c r="H309" s="627"/>
      <c r="I309" s="614">
        <f t="shared" si="36"/>
        <v>0</v>
      </c>
      <c r="J309" s="630" t="e">
        <f t="shared" si="37"/>
        <v>#DIV/0!</v>
      </c>
      <c r="K309" s="631" t="e">
        <f t="shared" si="32"/>
        <v>#N/A</v>
      </c>
      <c r="L309" s="631">
        <f t="shared" si="38"/>
        <v>0</v>
      </c>
      <c r="M309" s="615" t="e">
        <f t="shared" si="33"/>
        <v>#N/A</v>
      </c>
      <c r="N309" s="613" t="e">
        <f t="shared" si="34"/>
        <v>#N/A</v>
      </c>
      <c r="O309" s="442" t="str">
        <f t="shared" si="39"/>
        <v/>
      </c>
    </row>
    <row r="310" spans="1:15">
      <c r="A310" s="626"/>
      <c r="B310" s="484"/>
      <c r="C310" s="628"/>
      <c r="D310" s="628"/>
      <c r="E310" s="484"/>
      <c r="F310" s="484"/>
      <c r="G310" s="613" t="e">
        <f t="shared" si="35"/>
        <v>#N/A</v>
      </c>
      <c r="H310" s="627"/>
      <c r="I310" s="614">
        <f t="shared" si="36"/>
        <v>0</v>
      </c>
      <c r="J310" s="630" t="e">
        <f t="shared" si="37"/>
        <v>#DIV/0!</v>
      </c>
      <c r="K310" s="631" t="e">
        <f t="shared" si="32"/>
        <v>#N/A</v>
      </c>
      <c r="L310" s="631">
        <f t="shared" si="38"/>
        <v>0</v>
      </c>
      <c r="M310" s="615" t="e">
        <f t="shared" si="33"/>
        <v>#N/A</v>
      </c>
      <c r="N310" s="613" t="e">
        <f t="shared" si="34"/>
        <v>#N/A</v>
      </c>
      <c r="O310" s="442" t="str">
        <f t="shared" si="39"/>
        <v/>
      </c>
    </row>
    <row r="311" spans="1:15">
      <c r="A311" s="626"/>
      <c r="B311" s="484"/>
      <c r="C311" s="628"/>
      <c r="D311" s="628"/>
      <c r="E311" s="484"/>
      <c r="F311" s="484"/>
      <c r="G311" s="613" t="e">
        <f t="shared" si="35"/>
        <v>#N/A</v>
      </c>
      <c r="H311" s="627"/>
      <c r="I311" s="614">
        <f t="shared" si="36"/>
        <v>0</v>
      </c>
      <c r="J311" s="630" t="e">
        <f t="shared" si="37"/>
        <v>#DIV/0!</v>
      </c>
      <c r="K311" s="631" t="e">
        <f t="shared" si="32"/>
        <v>#N/A</v>
      </c>
      <c r="L311" s="631">
        <f t="shared" si="38"/>
        <v>0</v>
      </c>
      <c r="M311" s="615" t="e">
        <f t="shared" si="33"/>
        <v>#N/A</v>
      </c>
      <c r="N311" s="613" t="e">
        <f t="shared" si="34"/>
        <v>#N/A</v>
      </c>
      <c r="O311" s="442" t="str">
        <f t="shared" si="39"/>
        <v/>
      </c>
    </row>
    <row r="312" spans="1:15">
      <c r="A312" s="626"/>
      <c r="B312" s="484"/>
      <c r="C312" s="628"/>
      <c r="D312" s="628"/>
      <c r="E312" s="484"/>
      <c r="F312" s="484"/>
      <c r="G312" s="613" t="e">
        <f t="shared" si="35"/>
        <v>#N/A</v>
      </c>
      <c r="H312" s="627"/>
      <c r="I312" s="614">
        <f t="shared" si="36"/>
        <v>0</v>
      </c>
      <c r="J312" s="630" t="e">
        <f t="shared" si="37"/>
        <v>#DIV/0!</v>
      </c>
      <c r="K312" s="631" t="e">
        <f t="shared" si="32"/>
        <v>#N/A</v>
      </c>
      <c r="L312" s="631">
        <f t="shared" si="38"/>
        <v>0</v>
      </c>
      <c r="M312" s="615" t="e">
        <f t="shared" si="33"/>
        <v>#N/A</v>
      </c>
      <c r="N312" s="613" t="e">
        <f t="shared" si="34"/>
        <v>#N/A</v>
      </c>
      <c r="O312" s="442" t="str">
        <f t="shared" si="39"/>
        <v/>
      </c>
    </row>
    <row r="313" spans="1:15">
      <c r="A313" s="626"/>
      <c r="B313" s="484"/>
      <c r="C313" s="629"/>
      <c r="D313" s="628"/>
      <c r="E313" s="484"/>
      <c r="F313" s="484"/>
      <c r="G313" s="613" t="e">
        <f t="shared" si="35"/>
        <v>#N/A</v>
      </c>
      <c r="H313" s="627"/>
      <c r="I313" s="614">
        <f t="shared" si="36"/>
        <v>0</v>
      </c>
      <c r="J313" s="630" t="e">
        <f t="shared" si="37"/>
        <v>#DIV/0!</v>
      </c>
      <c r="K313" s="631" t="e">
        <f t="shared" si="32"/>
        <v>#N/A</v>
      </c>
      <c r="L313" s="631">
        <f t="shared" si="38"/>
        <v>0</v>
      </c>
      <c r="M313" s="615" t="e">
        <f t="shared" si="33"/>
        <v>#N/A</v>
      </c>
      <c r="N313" s="613" t="e">
        <f t="shared" si="34"/>
        <v>#N/A</v>
      </c>
      <c r="O313" s="442" t="str">
        <f t="shared" si="39"/>
        <v/>
      </c>
    </row>
    <row r="314" spans="1:15" ht="11.25" customHeight="1">
      <c r="A314" s="626"/>
      <c r="B314" s="484"/>
      <c r="C314" s="628"/>
      <c r="D314" s="628"/>
      <c r="E314" s="484"/>
      <c r="F314" s="484"/>
      <c r="G314" s="613" t="e">
        <f t="shared" si="35"/>
        <v>#N/A</v>
      </c>
      <c r="H314" s="627"/>
      <c r="I314" s="614">
        <f t="shared" si="36"/>
        <v>0</v>
      </c>
      <c r="J314" s="630" t="e">
        <f t="shared" si="37"/>
        <v>#DIV/0!</v>
      </c>
      <c r="K314" s="631" t="e">
        <f t="shared" si="32"/>
        <v>#N/A</v>
      </c>
      <c r="L314" s="631">
        <f t="shared" si="38"/>
        <v>0</v>
      </c>
      <c r="M314" s="615" t="e">
        <f t="shared" si="33"/>
        <v>#N/A</v>
      </c>
      <c r="N314" s="613" t="e">
        <f t="shared" si="34"/>
        <v>#N/A</v>
      </c>
      <c r="O314" s="442" t="str">
        <f t="shared" si="39"/>
        <v/>
      </c>
    </row>
    <row r="315" spans="1:15">
      <c r="A315" s="626"/>
      <c r="B315" s="484"/>
      <c r="C315" s="628"/>
      <c r="D315" s="628"/>
      <c r="E315" s="484"/>
      <c r="F315" s="484"/>
      <c r="G315" s="613" t="e">
        <f t="shared" si="35"/>
        <v>#N/A</v>
      </c>
      <c r="H315" s="627"/>
      <c r="I315" s="614">
        <f t="shared" si="36"/>
        <v>0</v>
      </c>
      <c r="J315" s="630" t="e">
        <f t="shared" si="37"/>
        <v>#DIV/0!</v>
      </c>
      <c r="K315" s="631" t="e">
        <f t="shared" si="32"/>
        <v>#N/A</v>
      </c>
      <c r="L315" s="631">
        <f t="shared" si="38"/>
        <v>0</v>
      </c>
      <c r="M315" s="615" t="e">
        <f t="shared" si="33"/>
        <v>#N/A</v>
      </c>
      <c r="N315" s="613" t="e">
        <f t="shared" si="34"/>
        <v>#N/A</v>
      </c>
      <c r="O315" s="442" t="str">
        <f t="shared" si="39"/>
        <v/>
      </c>
    </row>
    <row r="316" spans="1:15">
      <c r="A316" s="626"/>
      <c r="B316" s="484"/>
      <c r="C316" s="628"/>
      <c r="D316" s="628"/>
      <c r="E316" s="484"/>
      <c r="F316" s="484"/>
      <c r="G316" s="613" t="e">
        <f t="shared" si="35"/>
        <v>#N/A</v>
      </c>
      <c r="H316" s="627"/>
      <c r="I316" s="614">
        <f t="shared" si="36"/>
        <v>0</v>
      </c>
      <c r="J316" s="630" t="e">
        <f t="shared" si="37"/>
        <v>#DIV/0!</v>
      </c>
      <c r="K316" s="631" t="e">
        <f t="shared" si="32"/>
        <v>#N/A</v>
      </c>
      <c r="L316" s="631">
        <f t="shared" si="38"/>
        <v>0</v>
      </c>
      <c r="M316" s="615" t="e">
        <f t="shared" si="33"/>
        <v>#N/A</v>
      </c>
      <c r="N316" s="613" t="e">
        <f t="shared" si="34"/>
        <v>#N/A</v>
      </c>
      <c r="O316" s="442" t="str">
        <f t="shared" si="39"/>
        <v/>
      </c>
    </row>
    <row r="317" spans="1:15">
      <c r="A317" s="626"/>
      <c r="B317" s="484"/>
      <c r="C317" s="628"/>
      <c r="D317" s="628"/>
      <c r="E317" s="484"/>
      <c r="F317" s="484"/>
      <c r="G317" s="613" t="e">
        <f t="shared" si="35"/>
        <v>#N/A</v>
      </c>
      <c r="H317" s="627"/>
      <c r="I317" s="614">
        <f t="shared" si="36"/>
        <v>0</v>
      </c>
      <c r="J317" s="630" t="e">
        <f t="shared" si="37"/>
        <v>#DIV/0!</v>
      </c>
      <c r="K317" s="631" t="e">
        <f t="shared" si="32"/>
        <v>#N/A</v>
      </c>
      <c r="L317" s="631">
        <f t="shared" si="38"/>
        <v>0</v>
      </c>
      <c r="M317" s="615" t="e">
        <f t="shared" si="33"/>
        <v>#N/A</v>
      </c>
      <c r="N317" s="613" t="e">
        <f t="shared" si="34"/>
        <v>#N/A</v>
      </c>
      <c r="O317" s="442" t="str">
        <f t="shared" si="39"/>
        <v/>
      </c>
    </row>
    <row r="318" spans="1:15">
      <c r="A318" s="626"/>
      <c r="B318" s="484"/>
      <c r="C318" s="628"/>
      <c r="D318" s="628"/>
      <c r="E318" s="484"/>
      <c r="F318" s="484"/>
      <c r="G318" s="613" t="e">
        <f t="shared" si="35"/>
        <v>#N/A</v>
      </c>
      <c r="H318" s="627"/>
      <c r="I318" s="614">
        <f t="shared" si="36"/>
        <v>0</v>
      </c>
      <c r="J318" s="630" t="e">
        <f t="shared" si="37"/>
        <v>#DIV/0!</v>
      </c>
      <c r="K318" s="631" t="e">
        <f t="shared" si="32"/>
        <v>#N/A</v>
      </c>
      <c r="L318" s="631">
        <f t="shared" si="38"/>
        <v>0</v>
      </c>
      <c r="M318" s="615" t="e">
        <f t="shared" si="33"/>
        <v>#N/A</v>
      </c>
      <c r="N318" s="613" t="e">
        <f t="shared" si="34"/>
        <v>#N/A</v>
      </c>
      <c r="O318" s="442" t="str">
        <f t="shared" si="39"/>
        <v/>
      </c>
    </row>
    <row r="319" spans="1:15">
      <c r="A319" s="626"/>
      <c r="B319" s="484"/>
      <c r="C319" s="629"/>
      <c r="D319" s="628"/>
      <c r="E319" s="484"/>
      <c r="F319" s="484"/>
      <c r="G319" s="613" t="e">
        <f t="shared" si="35"/>
        <v>#N/A</v>
      </c>
      <c r="H319" s="627"/>
      <c r="I319" s="614">
        <f t="shared" si="36"/>
        <v>0</v>
      </c>
      <c r="J319" s="630" t="e">
        <f t="shared" si="37"/>
        <v>#DIV/0!</v>
      </c>
      <c r="K319" s="631" t="e">
        <f t="shared" si="32"/>
        <v>#N/A</v>
      </c>
      <c r="L319" s="631">
        <f t="shared" si="38"/>
        <v>0</v>
      </c>
      <c r="M319" s="615" t="e">
        <f t="shared" si="33"/>
        <v>#N/A</v>
      </c>
      <c r="N319" s="613" t="e">
        <f t="shared" si="34"/>
        <v>#N/A</v>
      </c>
      <c r="O319" s="442" t="str">
        <f t="shared" si="39"/>
        <v/>
      </c>
    </row>
    <row r="320" spans="1:15" ht="11.25" customHeight="1">
      <c r="A320" s="626"/>
      <c r="B320" s="484"/>
      <c r="C320" s="628"/>
      <c r="D320" s="628"/>
      <c r="E320" s="484"/>
      <c r="F320" s="484"/>
      <c r="G320" s="613" t="e">
        <f t="shared" si="35"/>
        <v>#N/A</v>
      </c>
      <c r="H320" s="627"/>
      <c r="I320" s="614">
        <f t="shared" si="36"/>
        <v>0</v>
      </c>
      <c r="J320" s="630" t="e">
        <f t="shared" si="37"/>
        <v>#DIV/0!</v>
      </c>
      <c r="K320" s="631" t="e">
        <f t="shared" si="32"/>
        <v>#N/A</v>
      </c>
      <c r="L320" s="631">
        <f t="shared" si="38"/>
        <v>0</v>
      </c>
      <c r="M320" s="615" t="e">
        <f t="shared" si="33"/>
        <v>#N/A</v>
      </c>
      <c r="N320" s="613" t="e">
        <f t="shared" si="34"/>
        <v>#N/A</v>
      </c>
      <c r="O320" s="442" t="str">
        <f t="shared" si="39"/>
        <v/>
      </c>
    </row>
    <row r="321" spans="1:15">
      <c r="A321" s="626"/>
      <c r="B321" s="484"/>
      <c r="C321" s="628"/>
      <c r="D321" s="628"/>
      <c r="E321" s="484"/>
      <c r="F321" s="484"/>
      <c r="G321" s="613" t="e">
        <f t="shared" si="35"/>
        <v>#N/A</v>
      </c>
      <c r="H321" s="627"/>
      <c r="I321" s="614">
        <f t="shared" si="36"/>
        <v>0</v>
      </c>
      <c r="J321" s="630" t="e">
        <f t="shared" si="37"/>
        <v>#DIV/0!</v>
      </c>
      <c r="K321" s="631" t="e">
        <f t="shared" si="32"/>
        <v>#N/A</v>
      </c>
      <c r="L321" s="631">
        <f t="shared" si="38"/>
        <v>0</v>
      </c>
      <c r="M321" s="615" t="e">
        <f t="shared" si="33"/>
        <v>#N/A</v>
      </c>
      <c r="N321" s="613" t="e">
        <f t="shared" si="34"/>
        <v>#N/A</v>
      </c>
      <c r="O321" s="442" t="str">
        <f t="shared" si="39"/>
        <v/>
      </c>
    </row>
    <row r="322" spans="1:15">
      <c r="A322" s="626"/>
      <c r="B322" s="484"/>
      <c r="C322" s="628"/>
      <c r="D322" s="628"/>
      <c r="E322" s="484"/>
      <c r="F322" s="484"/>
      <c r="G322" s="613" t="e">
        <f t="shared" si="35"/>
        <v>#N/A</v>
      </c>
      <c r="H322" s="627"/>
      <c r="I322" s="614">
        <f t="shared" si="36"/>
        <v>0</v>
      </c>
      <c r="J322" s="630" t="e">
        <f t="shared" si="37"/>
        <v>#DIV/0!</v>
      </c>
      <c r="K322" s="631" t="e">
        <f t="shared" si="32"/>
        <v>#N/A</v>
      </c>
      <c r="L322" s="631">
        <f t="shared" si="38"/>
        <v>0</v>
      </c>
      <c r="M322" s="615" t="e">
        <f t="shared" si="33"/>
        <v>#N/A</v>
      </c>
      <c r="N322" s="613" t="e">
        <f t="shared" si="34"/>
        <v>#N/A</v>
      </c>
      <c r="O322" s="442" t="str">
        <f t="shared" si="39"/>
        <v/>
      </c>
    </row>
    <row r="323" spans="1:15">
      <c r="A323" s="626"/>
      <c r="B323" s="484"/>
      <c r="C323" s="628"/>
      <c r="D323" s="628"/>
      <c r="E323" s="484"/>
      <c r="F323" s="484"/>
      <c r="G323" s="613" t="e">
        <f t="shared" si="35"/>
        <v>#N/A</v>
      </c>
      <c r="H323" s="627"/>
      <c r="I323" s="614">
        <f t="shared" si="36"/>
        <v>0</v>
      </c>
      <c r="J323" s="630" t="e">
        <f t="shared" si="37"/>
        <v>#DIV/0!</v>
      </c>
      <c r="K323" s="631" t="e">
        <f t="shared" si="32"/>
        <v>#N/A</v>
      </c>
      <c r="L323" s="631">
        <f t="shared" si="38"/>
        <v>0</v>
      </c>
      <c r="M323" s="615" t="e">
        <f t="shared" si="33"/>
        <v>#N/A</v>
      </c>
      <c r="N323" s="613" t="e">
        <f t="shared" si="34"/>
        <v>#N/A</v>
      </c>
      <c r="O323" s="442" t="str">
        <f t="shared" si="39"/>
        <v/>
      </c>
    </row>
    <row r="324" spans="1:15">
      <c r="A324" s="626"/>
      <c r="B324" s="484"/>
      <c r="C324" s="628"/>
      <c r="D324" s="628"/>
      <c r="E324" s="484"/>
      <c r="F324" s="484"/>
      <c r="G324" s="613" t="e">
        <f t="shared" si="35"/>
        <v>#N/A</v>
      </c>
      <c r="H324" s="627"/>
      <c r="I324" s="614">
        <f t="shared" si="36"/>
        <v>0</v>
      </c>
      <c r="J324" s="630" t="e">
        <f t="shared" si="37"/>
        <v>#DIV/0!</v>
      </c>
      <c r="K324" s="631" t="e">
        <f t="shared" si="32"/>
        <v>#N/A</v>
      </c>
      <c r="L324" s="631">
        <f t="shared" si="38"/>
        <v>0</v>
      </c>
      <c r="M324" s="615" t="e">
        <f t="shared" si="33"/>
        <v>#N/A</v>
      </c>
      <c r="N324" s="613" t="e">
        <f t="shared" si="34"/>
        <v>#N/A</v>
      </c>
      <c r="O324" s="442" t="str">
        <f t="shared" si="39"/>
        <v/>
      </c>
    </row>
    <row r="325" spans="1:15">
      <c r="A325" s="626"/>
      <c r="B325" s="484"/>
      <c r="C325" s="629"/>
      <c r="D325" s="628"/>
      <c r="E325" s="484"/>
      <c r="F325" s="484"/>
      <c r="G325" s="613" t="e">
        <f t="shared" si="35"/>
        <v>#N/A</v>
      </c>
      <c r="H325" s="627"/>
      <c r="I325" s="614">
        <f t="shared" si="36"/>
        <v>0</v>
      </c>
      <c r="J325" s="630" t="e">
        <f t="shared" si="37"/>
        <v>#DIV/0!</v>
      </c>
      <c r="K325" s="631" t="e">
        <f t="shared" si="32"/>
        <v>#N/A</v>
      </c>
      <c r="L325" s="631">
        <f t="shared" si="38"/>
        <v>0</v>
      </c>
      <c r="M325" s="615" t="e">
        <f t="shared" si="33"/>
        <v>#N/A</v>
      </c>
      <c r="N325" s="613" t="e">
        <f t="shared" si="34"/>
        <v>#N/A</v>
      </c>
      <c r="O325" s="442" t="str">
        <f t="shared" si="39"/>
        <v/>
      </c>
    </row>
    <row r="326" spans="1:15" ht="11.25" customHeight="1">
      <c r="A326" s="626"/>
      <c r="B326" s="484"/>
      <c r="C326" s="628"/>
      <c r="D326" s="628"/>
      <c r="E326" s="484"/>
      <c r="F326" s="484"/>
      <c r="G326" s="613" t="e">
        <f t="shared" si="35"/>
        <v>#N/A</v>
      </c>
      <c r="H326" s="627"/>
      <c r="I326" s="614">
        <f t="shared" si="36"/>
        <v>0</v>
      </c>
      <c r="J326" s="630" t="e">
        <f t="shared" si="37"/>
        <v>#DIV/0!</v>
      </c>
      <c r="K326" s="631" t="e">
        <f t="shared" si="32"/>
        <v>#N/A</v>
      </c>
      <c r="L326" s="631">
        <f t="shared" si="38"/>
        <v>0</v>
      </c>
      <c r="M326" s="615" t="e">
        <f t="shared" si="33"/>
        <v>#N/A</v>
      </c>
      <c r="N326" s="613" t="e">
        <f t="shared" si="34"/>
        <v>#N/A</v>
      </c>
      <c r="O326" s="442" t="str">
        <f t="shared" si="39"/>
        <v/>
      </c>
    </row>
    <row r="327" spans="1:15">
      <c r="A327" s="626"/>
      <c r="B327" s="484"/>
      <c r="C327" s="628"/>
      <c r="D327" s="628"/>
      <c r="E327" s="484"/>
      <c r="F327" s="484"/>
      <c r="G327" s="613" t="e">
        <f t="shared" si="35"/>
        <v>#N/A</v>
      </c>
      <c r="H327" s="627"/>
      <c r="I327" s="614">
        <f t="shared" si="36"/>
        <v>0</v>
      </c>
      <c r="J327" s="630" t="e">
        <f t="shared" si="37"/>
        <v>#DIV/0!</v>
      </c>
      <c r="K327" s="631" t="e">
        <f t="shared" si="32"/>
        <v>#N/A</v>
      </c>
      <c r="L327" s="631">
        <f t="shared" si="38"/>
        <v>0</v>
      </c>
      <c r="M327" s="615" t="e">
        <f t="shared" si="33"/>
        <v>#N/A</v>
      </c>
      <c r="N327" s="613" t="e">
        <f t="shared" si="34"/>
        <v>#N/A</v>
      </c>
      <c r="O327" s="442" t="str">
        <f t="shared" si="39"/>
        <v/>
      </c>
    </row>
    <row r="328" spans="1:15">
      <c r="A328" s="626"/>
      <c r="B328" s="484"/>
      <c r="C328" s="628"/>
      <c r="D328" s="628"/>
      <c r="E328" s="484"/>
      <c r="F328" s="484"/>
      <c r="G328" s="613" t="e">
        <f t="shared" si="35"/>
        <v>#N/A</v>
      </c>
      <c r="H328" s="627"/>
      <c r="I328" s="614">
        <f t="shared" si="36"/>
        <v>0</v>
      </c>
      <c r="J328" s="630" t="e">
        <f t="shared" si="37"/>
        <v>#DIV/0!</v>
      </c>
      <c r="K328" s="631" t="e">
        <f t="shared" si="32"/>
        <v>#N/A</v>
      </c>
      <c r="L328" s="631">
        <f t="shared" si="38"/>
        <v>0</v>
      </c>
      <c r="M328" s="615" t="e">
        <f t="shared" si="33"/>
        <v>#N/A</v>
      </c>
      <c r="N328" s="613" t="e">
        <f t="shared" si="34"/>
        <v>#N/A</v>
      </c>
      <c r="O328" s="442" t="str">
        <f t="shared" si="39"/>
        <v/>
      </c>
    </row>
    <row r="329" spans="1:15">
      <c r="A329" s="626"/>
      <c r="B329" s="484"/>
      <c r="C329" s="628"/>
      <c r="D329" s="628"/>
      <c r="E329" s="484"/>
      <c r="F329" s="484"/>
      <c r="G329" s="613" t="e">
        <f t="shared" si="35"/>
        <v>#N/A</v>
      </c>
      <c r="H329" s="627"/>
      <c r="I329" s="614">
        <f t="shared" si="36"/>
        <v>0</v>
      </c>
      <c r="J329" s="630" t="e">
        <f t="shared" si="37"/>
        <v>#DIV/0!</v>
      </c>
      <c r="K329" s="631" t="e">
        <f t="shared" si="32"/>
        <v>#N/A</v>
      </c>
      <c r="L329" s="631">
        <f t="shared" si="38"/>
        <v>0</v>
      </c>
      <c r="M329" s="615" t="e">
        <f t="shared" si="33"/>
        <v>#N/A</v>
      </c>
      <c r="N329" s="613" t="e">
        <f t="shared" si="34"/>
        <v>#N/A</v>
      </c>
      <c r="O329" s="442" t="str">
        <f t="shared" si="39"/>
        <v/>
      </c>
    </row>
    <row r="330" spans="1:15">
      <c r="A330" s="626"/>
      <c r="B330" s="484"/>
      <c r="C330" s="628"/>
      <c r="D330" s="628"/>
      <c r="E330" s="484"/>
      <c r="F330" s="484"/>
      <c r="G330" s="613" t="e">
        <f t="shared" si="35"/>
        <v>#N/A</v>
      </c>
      <c r="H330" s="627"/>
      <c r="I330" s="614">
        <f t="shared" si="36"/>
        <v>0</v>
      </c>
      <c r="J330" s="630" t="e">
        <f t="shared" si="37"/>
        <v>#DIV/0!</v>
      </c>
      <c r="K330" s="631" t="e">
        <f t="shared" si="32"/>
        <v>#N/A</v>
      </c>
      <c r="L330" s="631">
        <f t="shared" si="38"/>
        <v>0</v>
      </c>
      <c r="M330" s="615" t="e">
        <f t="shared" si="33"/>
        <v>#N/A</v>
      </c>
      <c r="N330" s="613" t="e">
        <f t="shared" si="34"/>
        <v>#N/A</v>
      </c>
      <c r="O330" s="442" t="str">
        <f t="shared" si="39"/>
        <v/>
      </c>
    </row>
    <row r="331" spans="1:15">
      <c r="A331" s="626"/>
      <c r="B331" s="484"/>
      <c r="C331" s="629"/>
      <c r="D331" s="628"/>
      <c r="E331" s="484"/>
      <c r="F331" s="484"/>
      <c r="G331" s="613" t="e">
        <f t="shared" si="35"/>
        <v>#N/A</v>
      </c>
      <c r="H331" s="627"/>
      <c r="I331" s="614">
        <f t="shared" si="36"/>
        <v>0</v>
      </c>
      <c r="J331" s="630" t="e">
        <f t="shared" si="37"/>
        <v>#DIV/0!</v>
      </c>
      <c r="K331" s="631" t="e">
        <f t="shared" si="32"/>
        <v>#N/A</v>
      </c>
      <c r="L331" s="631">
        <f t="shared" si="38"/>
        <v>0</v>
      </c>
      <c r="M331" s="615" t="e">
        <f t="shared" si="33"/>
        <v>#N/A</v>
      </c>
      <c r="N331" s="613" t="e">
        <f t="shared" si="34"/>
        <v>#N/A</v>
      </c>
      <c r="O331" s="442" t="str">
        <f t="shared" si="39"/>
        <v/>
      </c>
    </row>
    <row r="332" spans="1:15" ht="11.25" customHeight="1">
      <c r="A332" s="626"/>
      <c r="B332" s="484"/>
      <c r="C332" s="628"/>
      <c r="D332" s="628"/>
      <c r="E332" s="484"/>
      <c r="F332" s="484"/>
      <c r="G332" s="613" t="e">
        <f t="shared" si="35"/>
        <v>#N/A</v>
      </c>
      <c r="H332" s="627"/>
      <c r="I332" s="614">
        <f t="shared" si="36"/>
        <v>0</v>
      </c>
      <c r="J332" s="630" t="e">
        <f t="shared" si="37"/>
        <v>#DIV/0!</v>
      </c>
      <c r="K332" s="631" t="e">
        <f t="shared" si="32"/>
        <v>#N/A</v>
      </c>
      <c r="L332" s="631">
        <f t="shared" si="38"/>
        <v>0</v>
      </c>
      <c r="M332" s="615" t="e">
        <f t="shared" si="33"/>
        <v>#N/A</v>
      </c>
      <c r="N332" s="613" t="e">
        <f t="shared" si="34"/>
        <v>#N/A</v>
      </c>
      <c r="O332" s="442" t="str">
        <f t="shared" si="39"/>
        <v/>
      </c>
    </row>
    <row r="333" spans="1:15">
      <c r="A333" s="626"/>
      <c r="B333" s="484"/>
      <c r="C333" s="628"/>
      <c r="D333" s="628"/>
      <c r="E333" s="484"/>
      <c r="F333" s="484"/>
      <c r="G333" s="613" t="e">
        <f t="shared" si="35"/>
        <v>#N/A</v>
      </c>
      <c r="H333" s="627"/>
      <c r="I333" s="614">
        <f t="shared" si="36"/>
        <v>0</v>
      </c>
      <c r="J333" s="630" t="e">
        <f t="shared" si="37"/>
        <v>#DIV/0!</v>
      </c>
      <c r="K333" s="631" t="e">
        <f t="shared" si="32"/>
        <v>#N/A</v>
      </c>
      <c r="L333" s="631">
        <f t="shared" si="38"/>
        <v>0</v>
      </c>
      <c r="M333" s="615" t="e">
        <f t="shared" si="33"/>
        <v>#N/A</v>
      </c>
      <c r="N333" s="613" t="e">
        <f t="shared" si="34"/>
        <v>#N/A</v>
      </c>
      <c r="O333" s="442" t="str">
        <f t="shared" si="39"/>
        <v/>
      </c>
    </row>
    <row r="334" spans="1:15">
      <c r="A334" s="626"/>
      <c r="B334" s="484"/>
      <c r="C334" s="628"/>
      <c r="D334" s="628"/>
      <c r="E334" s="484"/>
      <c r="F334" s="484"/>
      <c r="G334" s="613" t="e">
        <f t="shared" si="35"/>
        <v>#N/A</v>
      </c>
      <c r="H334" s="627"/>
      <c r="I334" s="614">
        <f t="shared" si="36"/>
        <v>0</v>
      </c>
      <c r="J334" s="630" t="e">
        <f t="shared" si="37"/>
        <v>#DIV/0!</v>
      </c>
      <c r="K334" s="631" t="e">
        <f t="shared" si="32"/>
        <v>#N/A</v>
      </c>
      <c r="L334" s="631">
        <f t="shared" si="38"/>
        <v>0</v>
      </c>
      <c r="M334" s="615" t="e">
        <f t="shared" si="33"/>
        <v>#N/A</v>
      </c>
      <c r="N334" s="613" t="e">
        <f t="shared" si="34"/>
        <v>#N/A</v>
      </c>
      <c r="O334" s="442" t="str">
        <f t="shared" si="39"/>
        <v/>
      </c>
    </row>
    <row r="335" spans="1:15">
      <c r="A335" s="626"/>
      <c r="B335" s="484"/>
      <c r="C335" s="628"/>
      <c r="D335" s="628"/>
      <c r="E335" s="484"/>
      <c r="F335" s="484"/>
      <c r="G335" s="613" t="e">
        <f t="shared" si="35"/>
        <v>#N/A</v>
      </c>
      <c r="H335" s="627"/>
      <c r="I335" s="614">
        <f t="shared" si="36"/>
        <v>0</v>
      </c>
      <c r="J335" s="630" t="e">
        <f t="shared" si="37"/>
        <v>#DIV/0!</v>
      </c>
      <c r="K335" s="631" t="e">
        <f t="shared" si="32"/>
        <v>#N/A</v>
      </c>
      <c r="L335" s="631">
        <f t="shared" si="38"/>
        <v>0</v>
      </c>
      <c r="M335" s="615" t="e">
        <f t="shared" si="33"/>
        <v>#N/A</v>
      </c>
      <c r="N335" s="613" t="e">
        <f t="shared" si="34"/>
        <v>#N/A</v>
      </c>
      <c r="O335" s="442" t="str">
        <f t="shared" si="39"/>
        <v/>
      </c>
    </row>
    <row r="336" spans="1:15">
      <c r="A336" s="626"/>
      <c r="B336" s="484"/>
      <c r="C336" s="628"/>
      <c r="D336" s="628"/>
      <c r="E336" s="484"/>
      <c r="F336" s="484"/>
      <c r="G336" s="613" t="e">
        <f t="shared" si="35"/>
        <v>#N/A</v>
      </c>
      <c r="H336" s="627"/>
      <c r="I336" s="614">
        <f t="shared" si="36"/>
        <v>0</v>
      </c>
      <c r="J336" s="630" t="e">
        <f t="shared" si="37"/>
        <v>#DIV/0!</v>
      </c>
      <c r="K336" s="631" t="e">
        <f t="shared" si="32"/>
        <v>#N/A</v>
      </c>
      <c r="L336" s="631">
        <f t="shared" si="38"/>
        <v>0</v>
      </c>
      <c r="M336" s="615" t="e">
        <f t="shared" si="33"/>
        <v>#N/A</v>
      </c>
      <c r="N336" s="613" t="e">
        <f t="shared" si="34"/>
        <v>#N/A</v>
      </c>
      <c r="O336" s="442" t="str">
        <f t="shared" si="39"/>
        <v/>
      </c>
    </row>
    <row r="337" spans="1:15">
      <c r="A337" s="626"/>
      <c r="B337" s="484"/>
      <c r="C337" s="629"/>
      <c r="D337" s="628"/>
      <c r="E337" s="484"/>
      <c r="F337" s="484"/>
      <c r="G337" s="613" t="e">
        <f t="shared" si="35"/>
        <v>#N/A</v>
      </c>
      <c r="H337" s="627"/>
      <c r="I337" s="614">
        <f t="shared" si="36"/>
        <v>0</v>
      </c>
      <c r="J337" s="630" t="e">
        <f t="shared" si="37"/>
        <v>#DIV/0!</v>
      </c>
      <c r="K337" s="631" t="e">
        <f t="shared" si="32"/>
        <v>#N/A</v>
      </c>
      <c r="L337" s="631">
        <f t="shared" si="38"/>
        <v>0</v>
      </c>
      <c r="M337" s="615" t="e">
        <f t="shared" si="33"/>
        <v>#N/A</v>
      </c>
      <c r="N337" s="613" t="e">
        <f t="shared" si="34"/>
        <v>#N/A</v>
      </c>
      <c r="O337" s="442" t="str">
        <f t="shared" si="39"/>
        <v/>
      </c>
    </row>
    <row r="338" spans="1:15">
      <c r="A338" s="626"/>
      <c r="B338" s="484"/>
      <c r="C338" s="628"/>
      <c r="D338" s="628"/>
      <c r="E338" s="484"/>
      <c r="F338" s="484"/>
      <c r="G338" s="613" t="e">
        <f t="shared" si="35"/>
        <v>#N/A</v>
      </c>
      <c r="H338" s="627"/>
      <c r="I338" s="614">
        <f t="shared" si="36"/>
        <v>0</v>
      </c>
      <c r="J338" s="630" t="e">
        <f t="shared" si="37"/>
        <v>#DIV/0!</v>
      </c>
      <c r="K338" s="631" t="e">
        <f t="shared" si="32"/>
        <v>#N/A</v>
      </c>
      <c r="L338" s="631">
        <f t="shared" si="38"/>
        <v>0</v>
      </c>
      <c r="M338" s="615" t="e">
        <f t="shared" si="33"/>
        <v>#N/A</v>
      </c>
      <c r="N338" s="613" t="e">
        <f t="shared" si="34"/>
        <v>#N/A</v>
      </c>
      <c r="O338" s="442" t="str">
        <f t="shared" si="39"/>
        <v/>
      </c>
    </row>
    <row r="339" spans="1:15">
      <c r="A339" s="626"/>
      <c r="B339" s="484"/>
      <c r="C339" s="628"/>
      <c r="D339" s="628"/>
      <c r="E339" s="484"/>
      <c r="F339" s="484"/>
      <c r="G339" s="613" t="e">
        <f t="shared" si="35"/>
        <v>#N/A</v>
      </c>
      <c r="H339" s="627"/>
      <c r="I339" s="614">
        <f t="shared" si="36"/>
        <v>0</v>
      </c>
      <c r="J339" s="630" t="e">
        <f t="shared" si="37"/>
        <v>#DIV/0!</v>
      </c>
      <c r="K339" s="631" t="e">
        <f t="shared" si="32"/>
        <v>#N/A</v>
      </c>
      <c r="L339" s="631">
        <f t="shared" si="38"/>
        <v>0</v>
      </c>
      <c r="M339" s="615" t="e">
        <f t="shared" si="33"/>
        <v>#N/A</v>
      </c>
      <c r="N339" s="613" t="e">
        <f t="shared" si="34"/>
        <v>#N/A</v>
      </c>
      <c r="O339" s="442" t="str">
        <f t="shared" si="39"/>
        <v/>
      </c>
    </row>
    <row r="340" spans="1:15">
      <c r="A340" s="626"/>
      <c r="B340" s="484"/>
      <c r="C340" s="628"/>
      <c r="D340" s="628"/>
      <c r="E340" s="484"/>
      <c r="F340" s="484"/>
      <c r="G340" s="613" t="e">
        <f t="shared" si="35"/>
        <v>#N/A</v>
      </c>
      <c r="H340" s="627"/>
      <c r="I340" s="614">
        <f t="shared" si="36"/>
        <v>0</v>
      </c>
      <c r="J340" s="630" t="e">
        <f t="shared" si="37"/>
        <v>#DIV/0!</v>
      </c>
      <c r="K340" s="631" t="e">
        <f t="shared" si="32"/>
        <v>#N/A</v>
      </c>
      <c r="L340" s="631">
        <f t="shared" si="38"/>
        <v>0</v>
      </c>
      <c r="M340" s="615" t="e">
        <f t="shared" si="33"/>
        <v>#N/A</v>
      </c>
      <c r="N340" s="613" t="e">
        <f t="shared" si="34"/>
        <v>#N/A</v>
      </c>
      <c r="O340" s="442" t="str">
        <f t="shared" si="39"/>
        <v/>
      </c>
    </row>
    <row r="341" spans="1:15">
      <c r="A341" s="626"/>
      <c r="B341" s="484"/>
      <c r="C341" s="628"/>
      <c r="D341" s="628"/>
      <c r="E341" s="484"/>
      <c r="F341" s="484"/>
      <c r="G341" s="613" t="e">
        <f t="shared" si="35"/>
        <v>#N/A</v>
      </c>
      <c r="H341" s="627"/>
      <c r="I341" s="614">
        <f t="shared" si="36"/>
        <v>0</v>
      </c>
      <c r="J341" s="630" t="e">
        <f t="shared" si="37"/>
        <v>#DIV/0!</v>
      </c>
      <c r="K341" s="631" t="e">
        <f t="shared" si="32"/>
        <v>#N/A</v>
      </c>
      <c r="L341" s="631">
        <f t="shared" si="38"/>
        <v>0</v>
      </c>
      <c r="M341" s="615" t="e">
        <f t="shared" si="33"/>
        <v>#N/A</v>
      </c>
      <c r="N341" s="613" t="e">
        <f t="shared" si="34"/>
        <v>#N/A</v>
      </c>
      <c r="O341" s="442" t="str">
        <f t="shared" si="39"/>
        <v/>
      </c>
    </row>
    <row r="342" spans="1:15">
      <c r="A342" s="626"/>
      <c r="B342" s="484"/>
      <c r="C342" s="628"/>
      <c r="D342" s="628"/>
      <c r="E342" s="484"/>
      <c r="F342" s="484"/>
      <c r="G342" s="613" t="e">
        <f t="shared" si="35"/>
        <v>#N/A</v>
      </c>
      <c r="H342" s="627"/>
      <c r="I342" s="614">
        <f t="shared" si="36"/>
        <v>0</v>
      </c>
      <c r="J342" s="630" t="e">
        <f t="shared" si="37"/>
        <v>#DIV/0!</v>
      </c>
      <c r="K342" s="631" t="e">
        <f t="shared" si="32"/>
        <v>#N/A</v>
      </c>
      <c r="L342" s="631">
        <f t="shared" si="38"/>
        <v>0</v>
      </c>
      <c r="M342" s="615" t="e">
        <f t="shared" si="33"/>
        <v>#N/A</v>
      </c>
      <c r="N342" s="613" t="e">
        <f t="shared" si="34"/>
        <v>#N/A</v>
      </c>
      <c r="O342" s="442" t="str">
        <f t="shared" si="39"/>
        <v/>
      </c>
    </row>
    <row r="343" spans="1:15">
      <c r="A343" s="626"/>
      <c r="B343" s="484"/>
      <c r="C343" s="629"/>
      <c r="D343" s="628"/>
      <c r="E343" s="484"/>
      <c r="F343" s="484"/>
      <c r="G343" s="613" t="e">
        <f t="shared" si="35"/>
        <v>#N/A</v>
      </c>
      <c r="H343" s="627"/>
      <c r="I343" s="614">
        <f t="shared" si="36"/>
        <v>0</v>
      </c>
      <c r="J343" s="630" t="e">
        <f t="shared" si="37"/>
        <v>#DIV/0!</v>
      </c>
      <c r="K343" s="631" t="e">
        <f t="shared" si="32"/>
        <v>#N/A</v>
      </c>
      <c r="L343" s="631">
        <f t="shared" si="38"/>
        <v>0</v>
      </c>
      <c r="M343" s="615" t="e">
        <f t="shared" si="33"/>
        <v>#N/A</v>
      </c>
      <c r="N343" s="613" t="e">
        <f t="shared" si="34"/>
        <v>#N/A</v>
      </c>
      <c r="O343" s="442" t="str">
        <f t="shared" si="39"/>
        <v/>
      </c>
    </row>
    <row r="344" spans="1:15">
      <c r="A344" s="626"/>
      <c r="B344" s="484"/>
      <c r="C344" s="628"/>
      <c r="D344" s="628"/>
      <c r="E344" s="484"/>
      <c r="F344" s="484"/>
      <c r="G344" s="613" t="e">
        <f t="shared" si="35"/>
        <v>#N/A</v>
      </c>
      <c r="H344" s="627"/>
      <c r="I344" s="614">
        <f t="shared" si="36"/>
        <v>0</v>
      </c>
      <c r="J344" s="630" t="e">
        <f t="shared" si="37"/>
        <v>#DIV/0!</v>
      </c>
      <c r="K344" s="631" t="e">
        <f t="shared" si="32"/>
        <v>#N/A</v>
      </c>
      <c r="L344" s="631">
        <f t="shared" si="38"/>
        <v>0</v>
      </c>
      <c r="M344" s="615" t="e">
        <f t="shared" si="33"/>
        <v>#N/A</v>
      </c>
      <c r="N344" s="613" t="e">
        <f t="shared" si="34"/>
        <v>#N/A</v>
      </c>
      <c r="O344" s="442" t="str">
        <f t="shared" si="39"/>
        <v/>
      </c>
    </row>
    <row r="345" spans="1:15">
      <c r="A345" s="626"/>
      <c r="B345" s="484"/>
      <c r="C345" s="628"/>
      <c r="D345" s="628"/>
      <c r="E345" s="484"/>
      <c r="F345" s="484"/>
      <c r="G345" s="613" t="e">
        <f t="shared" si="35"/>
        <v>#N/A</v>
      </c>
      <c r="H345" s="627"/>
      <c r="I345" s="614">
        <f t="shared" si="36"/>
        <v>0</v>
      </c>
      <c r="J345" s="630" t="e">
        <f t="shared" si="37"/>
        <v>#DIV/0!</v>
      </c>
      <c r="K345" s="631" t="e">
        <f t="shared" si="32"/>
        <v>#N/A</v>
      </c>
      <c r="L345" s="631">
        <f t="shared" si="38"/>
        <v>0</v>
      </c>
      <c r="M345" s="615" t="e">
        <f t="shared" si="33"/>
        <v>#N/A</v>
      </c>
      <c r="N345" s="613" t="e">
        <f t="shared" si="34"/>
        <v>#N/A</v>
      </c>
      <c r="O345" s="442" t="str">
        <f t="shared" si="39"/>
        <v/>
      </c>
    </row>
    <row r="346" spans="1:15">
      <c r="A346" s="626"/>
      <c r="B346" s="484"/>
      <c r="C346" s="628"/>
      <c r="D346" s="628"/>
      <c r="E346" s="484"/>
      <c r="F346" s="484"/>
      <c r="G346" s="613" t="e">
        <f t="shared" si="35"/>
        <v>#N/A</v>
      </c>
      <c r="H346" s="627"/>
      <c r="I346" s="614">
        <f t="shared" si="36"/>
        <v>0</v>
      </c>
      <c r="J346" s="630" t="e">
        <f t="shared" si="37"/>
        <v>#DIV/0!</v>
      </c>
      <c r="K346" s="631" t="e">
        <f t="shared" si="32"/>
        <v>#N/A</v>
      </c>
      <c r="L346" s="631">
        <f t="shared" si="38"/>
        <v>0</v>
      </c>
      <c r="M346" s="615" t="e">
        <f t="shared" si="33"/>
        <v>#N/A</v>
      </c>
      <c r="N346" s="613" t="e">
        <f t="shared" si="34"/>
        <v>#N/A</v>
      </c>
      <c r="O346" s="442" t="str">
        <f t="shared" si="39"/>
        <v/>
      </c>
    </row>
    <row r="347" spans="1:15">
      <c r="A347" s="626"/>
      <c r="B347" s="484"/>
      <c r="C347" s="628"/>
      <c r="D347" s="628"/>
      <c r="E347" s="484"/>
      <c r="F347" s="484"/>
      <c r="G347" s="613" t="e">
        <f t="shared" si="35"/>
        <v>#N/A</v>
      </c>
      <c r="H347" s="627"/>
      <c r="I347" s="614">
        <f t="shared" si="36"/>
        <v>0</v>
      </c>
      <c r="J347" s="630" t="e">
        <f t="shared" si="37"/>
        <v>#DIV/0!</v>
      </c>
      <c r="K347" s="631" t="e">
        <f t="shared" si="32"/>
        <v>#N/A</v>
      </c>
      <c r="L347" s="631">
        <f t="shared" si="38"/>
        <v>0</v>
      </c>
      <c r="M347" s="615" t="e">
        <f t="shared" si="33"/>
        <v>#N/A</v>
      </c>
      <c r="N347" s="613" t="e">
        <f t="shared" si="34"/>
        <v>#N/A</v>
      </c>
      <c r="O347" s="442" t="str">
        <f t="shared" si="39"/>
        <v/>
      </c>
    </row>
    <row r="348" spans="1:15">
      <c r="A348" s="626"/>
      <c r="B348" s="484"/>
      <c r="C348" s="628"/>
      <c r="D348" s="628"/>
      <c r="E348" s="484"/>
      <c r="F348" s="484"/>
      <c r="G348" s="613" t="e">
        <f t="shared" si="35"/>
        <v>#N/A</v>
      </c>
      <c r="H348" s="627"/>
      <c r="I348" s="614">
        <f t="shared" si="36"/>
        <v>0</v>
      </c>
      <c r="J348" s="630" t="e">
        <f t="shared" si="37"/>
        <v>#DIV/0!</v>
      </c>
      <c r="K348" s="631" t="e">
        <f t="shared" si="32"/>
        <v>#N/A</v>
      </c>
      <c r="L348" s="631">
        <f t="shared" si="38"/>
        <v>0</v>
      </c>
      <c r="M348" s="615" t="e">
        <f t="shared" si="33"/>
        <v>#N/A</v>
      </c>
      <c r="N348" s="613" t="e">
        <f t="shared" si="34"/>
        <v>#N/A</v>
      </c>
      <c r="O348" s="442" t="str">
        <f t="shared" si="39"/>
        <v/>
      </c>
    </row>
    <row r="349" spans="1:15">
      <c r="A349" s="626"/>
      <c r="B349" s="484"/>
      <c r="C349" s="629"/>
      <c r="D349" s="628"/>
      <c r="E349" s="484"/>
      <c r="F349" s="484"/>
      <c r="G349" s="613" t="e">
        <f t="shared" si="35"/>
        <v>#N/A</v>
      </c>
      <c r="H349" s="627"/>
      <c r="I349" s="614">
        <f t="shared" si="36"/>
        <v>0</v>
      </c>
      <c r="J349" s="630" t="e">
        <f t="shared" si="37"/>
        <v>#DIV/0!</v>
      </c>
      <c r="K349" s="631" t="e">
        <f t="shared" ref="K349:K360" si="40">LOOKUP(D349, LightingSpaceType, LPD)</f>
        <v>#N/A</v>
      </c>
      <c r="L349" s="631">
        <f t="shared" si="38"/>
        <v>0</v>
      </c>
      <c r="M349" s="615" t="e">
        <f t="shared" ref="M349:M360" si="41">IF(D349="Exit Signs","NA", E349*LOOKUP(F349,$I$4:$I$26,$L$4:$L$26)/B349)</f>
        <v>#N/A</v>
      </c>
      <c r="N349" s="613" t="e">
        <f t="shared" ref="N349:N360" si="42">LOOKUP(D349, LightingSpaceType, Footcandles)</f>
        <v>#N/A</v>
      </c>
      <c r="O349" s="442" t="str">
        <f t="shared" si="39"/>
        <v/>
      </c>
    </row>
    <row r="350" spans="1:15">
      <c r="A350" s="626"/>
      <c r="B350" s="484"/>
      <c r="C350" s="628"/>
      <c r="D350" s="628"/>
      <c r="E350" s="484"/>
      <c r="F350" s="484"/>
      <c r="G350" s="613" t="e">
        <f t="shared" ref="G350:G360" si="43">LOOKUP(F350, $I$4:$I$17, $K$4:$K$17)</f>
        <v>#N/A</v>
      </c>
      <c r="H350" s="627"/>
      <c r="I350" s="614">
        <f t="shared" ref="I350:I360" si="44">IF(E350&gt;0, E350*G350*H350, 0)</f>
        <v>0</v>
      </c>
      <c r="J350" s="630" t="e">
        <f t="shared" ref="J350:J360" si="45">IF(D350="Exit Signs","convert to kW", I350/B350)</f>
        <v>#DIV/0!</v>
      </c>
      <c r="K350" s="631" t="e">
        <f t="shared" si="40"/>
        <v>#N/A</v>
      </c>
      <c r="L350" s="631">
        <f t="shared" ref="L350:L360" si="46">IF(D350="Exit Signs", 5*E350, IF(B350&gt;0, K350*B350, 0))</f>
        <v>0</v>
      </c>
      <c r="M350" s="615" t="e">
        <f t="shared" si="41"/>
        <v>#N/A</v>
      </c>
      <c r="N350" s="613" t="e">
        <f t="shared" si="42"/>
        <v>#N/A</v>
      </c>
      <c r="O350" s="442" t="str">
        <f t="shared" ref="O350:O360" si="47">IF(E350&gt;0, IF(M350&lt;N350, "Insufficient lighting to meet IESNA footcandle recommendations.", ""), "")</f>
        <v/>
      </c>
    </row>
    <row r="351" spans="1:15">
      <c r="A351" s="626"/>
      <c r="B351" s="484"/>
      <c r="C351" s="628"/>
      <c r="D351" s="628"/>
      <c r="E351" s="484"/>
      <c r="F351" s="484"/>
      <c r="G351" s="613" t="e">
        <f t="shared" si="43"/>
        <v>#N/A</v>
      </c>
      <c r="H351" s="627"/>
      <c r="I351" s="614">
        <f t="shared" si="44"/>
        <v>0</v>
      </c>
      <c r="J351" s="630" t="e">
        <f t="shared" si="45"/>
        <v>#DIV/0!</v>
      </c>
      <c r="K351" s="631" t="e">
        <f t="shared" si="40"/>
        <v>#N/A</v>
      </c>
      <c r="L351" s="631">
        <f t="shared" si="46"/>
        <v>0</v>
      </c>
      <c r="M351" s="615" t="e">
        <f t="shared" si="41"/>
        <v>#N/A</v>
      </c>
      <c r="N351" s="613" t="e">
        <f t="shared" si="42"/>
        <v>#N/A</v>
      </c>
      <c r="O351" s="442" t="str">
        <f t="shared" si="47"/>
        <v/>
      </c>
    </row>
    <row r="352" spans="1:15">
      <c r="A352" s="626"/>
      <c r="B352" s="484"/>
      <c r="C352" s="628"/>
      <c r="D352" s="628"/>
      <c r="E352" s="484"/>
      <c r="F352" s="484"/>
      <c r="G352" s="613" t="e">
        <f t="shared" si="43"/>
        <v>#N/A</v>
      </c>
      <c r="H352" s="627"/>
      <c r="I352" s="614">
        <f t="shared" si="44"/>
        <v>0</v>
      </c>
      <c r="J352" s="630" t="e">
        <f t="shared" si="45"/>
        <v>#DIV/0!</v>
      </c>
      <c r="K352" s="631" t="e">
        <f t="shared" si="40"/>
        <v>#N/A</v>
      </c>
      <c r="L352" s="631">
        <f t="shared" si="46"/>
        <v>0</v>
      </c>
      <c r="M352" s="615" t="e">
        <f t="shared" si="41"/>
        <v>#N/A</v>
      </c>
      <c r="N352" s="613" t="e">
        <f t="shared" si="42"/>
        <v>#N/A</v>
      </c>
      <c r="O352" s="442" t="str">
        <f t="shared" si="47"/>
        <v/>
      </c>
    </row>
    <row r="353" spans="1:15">
      <c r="A353" s="626"/>
      <c r="B353" s="484"/>
      <c r="C353" s="628"/>
      <c r="D353" s="628"/>
      <c r="E353" s="484"/>
      <c r="F353" s="484"/>
      <c r="G353" s="613" t="e">
        <f t="shared" si="43"/>
        <v>#N/A</v>
      </c>
      <c r="H353" s="627"/>
      <c r="I353" s="614">
        <f t="shared" si="44"/>
        <v>0</v>
      </c>
      <c r="J353" s="630" t="e">
        <f t="shared" si="45"/>
        <v>#DIV/0!</v>
      </c>
      <c r="K353" s="631" t="e">
        <f t="shared" si="40"/>
        <v>#N/A</v>
      </c>
      <c r="L353" s="631">
        <f t="shared" si="46"/>
        <v>0</v>
      </c>
      <c r="M353" s="615" t="e">
        <f t="shared" si="41"/>
        <v>#N/A</v>
      </c>
      <c r="N353" s="613" t="e">
        <f t="shared" si="42"/>
        <v>#N/A</v>
      </c>
      <c r="O353" s="442" t="str">
        <f t="shared" si="47"/>
        <v/>
      </c>
    </row>
    <row r="354" spans="1:15">
      <c r="A354" s="622"/>
      <c r="B354" s="484"/>
      <c r="C354" s="629"/>
      <c r="D354" s="628"/>
      <c r="E354" s="484"/>
      <c r="F354" s="484"/>
      <c r="G354" s="613" t="e">
        <f t="shared" si="43"/>
        <v>#N/A</v>
      </c>
      <c r="H354" s="627"/>
      <c r="I354" s="614">
        <f t="shared" si="44"/>
        <v>0</v>
      </c>
      <c r="J354" s="630" t="e">
        <f t="shared" si="45"/>
        <v>#DIV/0!</v>
      </c>
      <c r="K354" s="631" t="e">
        <f t="shared" si="40"/>
        <v>#N/A</v>
      </c>
      <c r="L354" s="631">
        <f t="shared" si="46"/>
        <v>0</v>
      </c>
      <c r="M354" s="615" t="e">
        <f t="shared" si="41"/>
        <v>#N/A</v>
      </c>
      <c r="N354" s="613" t="e">
        <f t="shared" si="42"/>
        <v>#N/A</v>
      </c>
      <c r="O354" s="442" t="str">
        <f t="shared" si="47"/>
        <v/>
      </c>
    </row>
    <row r="355" spans="1:15">
      <c r="A355" s="622"/>
      <c r="B355" s="484"/>
      <c r="C355" s="628"/>
      <c r="D355" s="628"/>
      <c r="E355" s="484"/>
      <c r="F355" s="484"/>
      <c r="G355" s="613" t="e">
        <f t="shared" si="43"/>
        <v>#N/A</v>
      </c>
      <c r="H355" s="627"/>
      <c r="I355" s="614">
        <f t="shared" si="44"/>
        <v>0</v>
      </c>
      <c r="J355" s="630" t="e">
        <f t="shared" si="45"/>
        <v>#DIV/0!</v>
      </c>
      <c r="K355" s="631" t="e">
        <f t="shared" si="40"/>
        <v>#N/A</v>
      </c>
      <c r="L355" s="631">
        <f t="shared" si="46"/>
        <v>0</v>
      </c>
      <c r="M355" s="615" t="e">
        <f t="shared" si="41"/>
        <v>#N/A</v>
      </c>
      <c r="N355" s="613" t="e">
        <f t="shared" si="42"/>
        <v>#N/A</v>
      </c>
      <c r="O355" s="442" t="str">
        <f t="shared" si="47"/>
        <v/>
      </c>
    </row>
    <row r="356" spans="1:15">
      <c r="A356" s="625"/>
      <c r="B356" s="484"/>
      <c r="C356" s="628"/>
      <c r="D356" s="628"/>
      <c r="E356" s="484"/>
      <c r="F356" s="484"/>
      <c r="G356" s="613" t="e">
        <f t="shared" si="43"/>
        <v>#N/A</v>
      </c>
      <c r="H356" s="627"/>
      <c r="I356" s="614">
        <f t="shared" si="44"/>
        <v>0</v>
      </c>
      <c r="J356" s="630" t="e">
        <f t="shared" si="45"/>
        <v>#DIV/0!</v>
      </c>
      <c r="K356" s="631" t="e">
        <f t="shared" si="40"/>
        <v>#N/A</v>
      </c>
      <c r="L356" s="631">
        <f t="shared" si="46"/>
        <v>0</v>
      </c>
      <c r="M356" s="615" t="e">
        <f t="shared" si="41"/>
        <v>#N/A</v>
      </c>
      <c r="N356" s="613" t="e">
        <f t="shared" si="42"/>
        <v>#N/A</v>
      </c>
      <c r="O356" s="442" t="str">
        <f t="shared" si="47"/>
        <v/>
      </c>
    </row>
    <row r="357" spans="1:15">
      <c r="A357" s="625"/>
      <c r="B357" s="484"/>
      <c r="C357" s="628"/>
      <c r="D357" s="628"/>
      <c r="E357" s="484"/>
      <c r="F357" s="484"/>
      <c r="G357" s="613" t="e">
        <f t="shared" si="43"/>
        <v>#N/A</v>
      </c>
      <c r="H357" s="627"/>
      <c r="I357" s="614">
        <f t="shared" si="44"/>
        <v>0</v>
      </c>
      <c r="J357" s="630" t="e">
        <f t="shared" si="45"/>
        <v>#DIV/0!</v>
      </c>
      <c r="K357" s="631" t="e">
        <f t="shared" si="40"/>
        <v>#N/A</v>
      </c>
      <c r="L357" s="631">
        <f t="shared" si="46"/>
        <v>0</v>
      </c>
      <c r="M357" s="615" t="e">
        <f t="shared" si="41"/>
        <v>#N/A</v>
      </c>
      <c r="N357" s="613" t="e">
        <f t="shared" si="42"/>
        <v>#N/A</v>
      </c>
      <c r="O357" s="442" t="str">
        <f t="shared" si="47"/>
        <v/>
      </c>
    </row>
    <row r="358" spans="1:15">
      <c r="A358" s="622"/>
      <c r="B358" s="484"/>
      <c r="C358" s="628"/>
      <c r="D358" s="628"/>
      <c r="E358" s="484"/>
      <c r="F358" s="484"/>
      <c r="G358" s="613" t="e">
        <f t="shared" si="43"/>
        <v>#N/A</v>
      </c>
      <c r="H358" s="627"/>
      <c r="I358" s="614">
        <f t="shared" si="44"/>
        <v>0</v>
      </c>
      <c r="J358" s="630" t="e">
        <f t="shared" si="45"/>
        <v>#DIV/0!</v>
      </c>
      <c r="K358" s="631" t="e">
        <f t="shared" si="40"/>
        <v>#N/A</v>
      </c>
      <c r="L358" s="631">
        <f t="shared" si="46"/>
        <v>0</v>
      </c>
      <c r="M358" s="615" t="e">
        <f t="shared" si="41"/>
        <v>#N/A</v>
      </c>
      <c r="N358" s="613" t="e">
        <f t="shared" si="42"/>
        <v>#N/A</v>
      </c>
      <c r="O358" s="442" t="str">
        <f t="shared" si="47"/>
        <v/>
      </c>
    </row>
    <row r="359" spans="1:15">
      <c r="A359" s="622"/>
      <c r="B359" s="484"/>
      <c r="C359" s="628"/>
      <c r="D359" s="628"/>
      <c r="E359" s="484"/>
      <c r="F359" s="484"/>
      <c r="G359" s="613" t="e">
        <f t="shared" si="43"/>
        <v>#N/A</v>
      </c>
      <c r="H359" s="627"/>
      <c r="I359" s="614">
        <f t="shared" si="44"/>
        <v>0</v>
      </c>
      <c r="J359" s="630" t="e">
        <f t="shared" si="45"/>
        <v>#DIV/0!</v>
      </c>
      <c r="K359" s="631" t="e">
        <f t="shared" si="40"/>
        <v>#N/A</v>
      </c>
      <c r="L359" s="631">
        <f t="shared" si="46"/>
        <v>0</v>
      </c>
      <c r="M359" s="615" t="e">
        <f t="shared" si="41"/>
        <v>#N/A</v>
      </c>
      <c r="N359" s="613" t="e">
        <f t="shared" si="42"/>
        <v>#N/A</v>
      </c>
      <c r="O359" s="442" t="str">
        <f t="shared" si="47"/>
        <v/>
      </c>
    </row>
    <row r="360" spans="1:15">
      <c r="A360" s="622"/>
      <c r="B360" s="484"/>
      <c r="C360" s="628"/>
      <c r="D360" s="628"/>
      <c r="E360" s="484"/>
      <c r="F360" s="484"/>
      <c r="G360" s="613" t="e">
        <f t="shared" si="43"/>
        <v>#N/A</v>
      </c>
      <c r="H360" s="627"/>
      <c r="I360" s="614">
        <f t="shared" si="44"/>
        <v>0</v>
      </c>
      <c r="J360" s="630" t="e">
        <f t="shared" si="45"/>
        <v>#DIV/0!</v>
      </c>
      <c r="K360" s="631" t="e">
        <f t="shared" si="40"/>
        <v>#N/A</v>
      </c>
      <c r="L360" s="631">
        <f t="shared" si="46"/>
        <v>0</v>
      </c>
      <c r="M360" s="615" t="e">
        <f t="shared" si="41"/>
        <v>#N/A</v>
      </c>
      <c r="N360" s="613" t="e">
        <f t="shared" si="42"/>
        <v>#N/A</v>
      </c>
      <c r="O360" s="442" t="str">
        <f t="shared" si="47"/>
        <v/>
      </c>
    </row>
    <row r="361" spans="1:15">
      <c r="A361" s="496"/>
      <c r="C361" s="485"/>
      <c r="D361" s="485"/>
      <c r="L361" s="320"/>
      <c r="M361" s="313"/>
    </row>
    <row r="362" spans="1:15">
      <c r="A362" s="496"/>
      <c r="C362" s="485"/>
      <c r="D362" s="485"/>
      <c r="L362" s="320"/>
      <c r="M362" s="313"/>
    </row>
    <row r="363" spans="1:15">
      <c r="A363" s="496"/>
      <c r="C363" s="485"/>
      <c r="D363" s="485"/>
      <c r="L363" s="320"/>
      <c r="M363" s="313"/>
    </row>
    <row r="364" spans="1:15">
      <c r="A364" s="496"/>
      <c r="C364" s="485"/>
      <c r="D364" s="485"/>
      <c r="L364" s="320"/>
      <c r="M364" s="313"/>
    </row>
    <row r="365" spans="1:15">
      <c r="A365" s="496"/>
      <c r="C365" s="485"/>
      <c r="D365" s="485"/>
      <c r="L365" s="320"/>
      <c r="M365" s="313"/>
    </row>
    <row r="366" spans="1:15">
      <c r="A366" s="496"/>
      <c r="C366" s="485"/>
      <c r="D366" s="485"/>
      <c r="L366" s="320"/>
      <c r="M366" s="313"/>
    </row>
    <row r="367" spans="1:15">
      <c r="A367" s="496"/>
      <c r="B367" s="393"/>
      <c r="C367" s="485"/>
      <c r="D367" s="485"/>
      <c r="L367" s="320"/>
      <c r="M367" s="313"/>
    </row>
    <row r="368" spans="1:15">
      <c r="A368" s="496"/>
      <c r="C368" s="485"/>
      <c r="D368" s="485"/>
      <c r="L368" s="320"/>
      <c r="M368" s="313"/>
    </row>
    <row r="369" spans="1:13">
      <c r="A369" s="496"/>
      <c r="C369" s="485"/>
      <c r="D369" s="485"/>
      <c r="L369" s="320"/>
      <c r="M369" s="313"/>
    </row>
    <row r="370" spans="1:13">
      <c r="A370" s="496"/>
      <c r="C370" s="485"/>
      <c r="D370" s="485"/>
      <c r="L370" s="320"/>
      <c r="M370" s="313"/>
    </row>
    <row r="371" spans="1:13">
      <c r="A371" s="496"/>
      <c r="C371" s="485"/>
      <c r="D371" s="485"/>
      <c r="L371" s="320"/>
      <c r="M371" s="313"/>
    </row>
    <row r="372" spans="1:13">
      <c r="A372" s="496"/>
      <c r="C372" s="485"/>
      <c r="D372" s="485"/>
      <c r="L372" s="320"/>
      <c r="M372" s="313"/>
    </row>
    <row r="373" spans="1:13">
      <c r="A373" s="496"/>
      <c r="C373" s="485"/>
      <c r="D373" s="485"/>
      <c r="L373" s="320"/>
      <c r="M373" s="313"/>
    </row>
    <row r="374" spans="1:13">
      <c r="A374" s="496"/>
      <c r="C374" s="485"/>
      <c r="D374" s="485"/>
      <c r="L374" s="320"/>
      <c r="M374" s="313"/>
    </row>
    <row r="375" spans="1:13">
      <c r="A375" s="496"/>
      <c r="C375" s="485"/>
      <c r="D375" s="485"/>
      <c r="L375" s="320"/>
      <c r="M375" s="313"/>
    </row>
    <row r="376" spans="1:13">
      <c r="A376" s="496"/>
      <c r="C376" s="485"/>
      <c r="D376" s="485"/>
      <c r="L376" s="320"/>
      <c r="M376" s="313"/>
    </row>
    <row r="377" spans="1:13">
      <c r="A377" s="496"/>
      <c r="C377" s="485"/>
      <c r="D377" s="485"/>
      <c r="L377" s="320"/>
      <c r="M377" s="313"/>
    </row>
    <row r="378" spans="1:13">
      <c r="A378" s="496"/>
      <c r="C378" s="485"/>
      <c r="D378" s="485"/>
      <c r="L378" s="320"/>
      <c r="M378" s="313"/>
    </row>
    <row r="379" spans="1:13">
      <c r="A379" s="496"/>
      <c r="C379" s="485"/>
      <c r="D379" s="485"/>
      <c r="L379" s="320"/>
      <c r="M379" s="313"/>
    </row>
    <row r="380" spans="1:13">
      <c r="A380" s="496"/>
      <c r="C380" s="485"/>
      <c r="D380" s="485"/>
      <c r="L380" s="320"/>
      <c r="M380" s="313"/>
    </row>
    <row r="381" spans="1:13">
      <c r="A381" s="496"/>
      <c r="C381" s="485"/>
      <c r="D381" s="485"/>
      <c r="L381" s="320"/>
      <c r="M381" s="313"/>
    </row>
    <row r="382" spans="1:13">
      <c r="A382" s="496"/>
      <c r="C382" s="485"/>
      <c r="D382" s="485"/>
      <c r="L382" s="320"/>
      <c r="M382" s="313"/>
    </row>
    <row r="383" spans="1:13">
      <c r="A383" s="496"/>
      <c r="C383" s="485"/>
      <c r="D383" s="485"/>
      <c r="L383" s="320"/>
      <c r="M383" s="313"/>
    </row>
    <row r="384" spans="1:13">
      <c r="A384" s="496"/>
      <c r="C384" s="485"/>
      <c r="D384" s="485"/>
      <c r="L384" s="320"/>
      <c r="M384" s="313"/>
    </row>
    <row r="385" spans="1:13">
      <c r="A385" s="496"/>
      <c r="C385" s="485"/>
      <c r="D385" s="485"/>
      <c r="L385" s="320"/>
      <c r="M385" s="313"/>
    </row>
    <row r="386" spans="1:13">
      <c r="A386" s="496"/>
      <c r="C386" s="485"/>
      <c r="D386" s="485"/>
      <c r="L386" s="320"/>
      <c r="M386" s="313"/>
    </row>
    <row r="387" spans="1:13">
      <c r="A387" s="496"/>
      <c r="C387" s="485"/>
      <c r="D387" s="485"/>
      <c r="L387" s="320"/>
      <c r="M387" s="313"/>
    </row>
    <row r="388" spans="1:13">
      <c r="A388" s="496"/>
      <c r="C388" s="485"/>
      <c r="D388" s="485"/>
      <c r="L388" s="320"/>
      <c r="M388" s="313"/>
    </row>
    <row r="389" spans="1:13">
      <c r="A389" s="496"/>
      <c r="C389" s="485"/>
      <c r="D389" s="485"/>
      <c r="L389" s="320"/>
      <c r="M389" s="313"/>
    </row>
    <row r="390" spans="1:13">
      <c r="A390" s="496"/>
      <c r="C390" s="485"/>
      <c r="D390" s="485"/>
      <c r="L390" s="320"/>
      <c r="M390" s="313"/>
    </row>
    <row r="391" spans="1:13">
      <c r="A391" s="496"/>
      <c r="C391" s="485"/>
      <c r="D391" s="485"/>
      <c r="L391" s="320"/>
      <c r="M391" s="313"/>
    </row>
    <row r="392" spans="1:13">
      <c r="A392" s="496"/>
      <c r="C392" s="485"/>
      <c r="D392" s="485"/>
      <c r="L392" s="320"/>
      <c r="M392" s="313"/>
    </row>
    <row r="393" spans="1:13">
      <c r="A393" s="496"/>
      <c r="C393" s="485"/>
      <c r="D393" s="485"/>
      <c r="L393" s="320"/>
      <c r="M393" s="313"/>
    </row>
    <row r="394" spans="1:13">
      <c r="A394" s="496"/>
      <c r="C394" s="485"/>
      <c r="D394" s="485"/>
      <c r="L394" s="320"/>
      <c r="M394" s="313"/>
    </row>
    <row r="395" spans="1:13">
      <c r="A395" s="496"/>
      <c r="C395" s="485"/>
      <c r="D395" s="485"/>
      <c r="L395" s="320"/>
      <c r="M395" s="313"/>
    </row>
    <row r="396" spans="1:13">
      <c r="A396" s="496"/>
      <c r="C396" s="485"/>
      <c r="D396" s="485"/>
      <c r="L396" s="320"/>
      <c r="M396" s="313"/>
    </row>
    <row r="397" spans="1:13">
      <c r="A397" s="496"/>
      <c r="C397" s="485"/>
      <c r="D397" s="485"/>
      <c r="L397" s="320"/>
      <c r="M397" s="313"/>
    </row>
    <row r="398" spans="1:13">
      <c r="A398" s="496"/>
      <c r="C398" s="485"/>
      <c r="D398" s="485"/>
      <c r="L398" s="320"/>
      <c r="M398" s="313"/>
    </row>
    <row r="399" spans="1:13">
      <c r="A399" s="496"/>
      <c r="C399" s="485"/>
      <c r="D399" s="485"/>
      <c r="L399" s="320"/>
      <c r="M399" s="313"/>
    </row>
    <row r="400" spans="1:13">
      <c r="A400" s="496"/>
      <c r="C400" s="485"/>
      <c r="D400" s="485"/>
      <c r="L400" s="320"/>
      <c r="M400" s="313"/>
    </row>
    <row r="401" spans="1:13">
      <c r="A401" s="496"/>
      <c r="C401" s="485"/>
      <c r="D401" s="485"/>
      <c r="L401" s="320"/>
      <c r="M401" s="313"/>
    </row>
    <row r="402" spans="1:13">
      <c r="A402" s="496"/>
      <c r="D402" s="616"/>
      <c r="L402" s="320"/>
      <c r="M402" s="313"/>
    </row>
    <row r="403" spans="1:13">
      <c r="A403" s="496"/>
      <c r="D403" s="616"/>
      <c r="L403" s="320"/>
      <c r="M403" s="313"/>
    </row>
    <row r="404" spans="1:13">
      <c r="A404" s="496"/>
      <c r="D404" s="616"/>
      <c r="L404" s="320"/>
      <c r="M404" s="313"/>
    </row>
    <row r="405" spans="1:13">
      <c r="A405" s="496"/>
      <c r="D405" s="616"/>
      <c r="L405" s="320"/>
      <c r="M405" s="313"/>
    </row>
    <row r="406" spans="1:13">
      <c r="A406" s="496"/>
      <c r="D406" s="616"/>
      <c r="L406" s="320"/>
      <c r="M406" s="313"/>
    </row>
    <row r="407" spans="1:13">
      <c r="D407" s="616"/>
      <c r="L407" s="320"/>
      <c r="M407" s="313"/>
    </row>
    <row r="408" spans="1:13">
      <c r="D408" s="616"/>
      <c r="L408" s="320"/>
      <c r="M408" s="313"/>
    </row>
    <row r="409" spans="1:13">
      <c r="D409" s="616"/>
      <c r="L409" s="320"/>
      <c r="M409" s="313"/>
    </row>
    <row r="410" spans="1:13">
      <c r="D410" s="616"/>
      <c r="L410" s="320"/>
      <c r="M410" s="313"/>
    </row>
    <row r="411" spans="1:13">
      <c r="D411" s="616"/>
      <c r="L411" s="320"/>
      <c r="M411" s="313"/>
    </row>
    <row r="412" spans="1:13">
      <c r="D412" s="616"/>
      <c r="L412" s="320"/>
      <c r="M412" s="313"/>
    </row>
    <row r="413" spans="1:13">
      <c r="D413" s="616"/>
      <c r="L413" s="320"/>
      <c r="M413" s="313"/>
    </row>
    <row r="414" spans="1:13">
      <c r="D414" s="616"/>
      <c r="L414" s="320"/>
      <c r="M414" s="313"/>
    </row>
    <row r="415" spans="1:13">
      <c r="D415" s="616"/>
      <c r="L415" s="320"/>
      <c r="M415" s="313"/>
    </row>
    <row r="416" spans="1:13">
      <c r="D416" s="616"/>
      <c r="L416" s="320"/>
      <c r="M416" s="313"/>
    </row>
    <row r="417" spans="4:13">
      <c r="D417" s="616"/>
      <c r="L417" s="320"/>
      <c r="M417" s="313"/>
    </row>
    <row r="418" spans="4:13">
      <c r="D418" s="616"/>
      <c r="L418" s="320"/>
      <c r="M418" s="313"/>
    </row>
    <row r="419" spans="4:13">
      <c r="D419" s="616"/>
      <c r="L419" s="320"/>
      <c r="M419" s="313"/>
    </row>
    <row r="420" spans="4:13">
      <c r="D420" s="616"/>
      <c r="L420" s="320"/>
      <c r="M420" s="313"/>
    </row>
    <row r="421" spans="4:13">
      <c r="D421" s="616"/>
      <c r="L421" s="320"/>
    </row>
    <row r="422" spans="4:13">
      <c r="D422" s="616"/>
      <c r="L422" s="320"/>
    </row>
    <row r="423" spans="4:13">
      <c r="D423" s="616"/>
      <c r="L423" s="320"/>
    </row>
    <row r="424" spans="4:13">
      <c r="D424" s="616"/>
      <c r="L424" s="320"/>
    </row>
    <row r="425" spans="4:13">
      <c r="D425" s="616"/>
      <c r="L425" s="320"/>
    </row>
    <row r="426" spans="4:13">
      <c r="D426" s="616"/>
      <c r="L426" s="320"/>
    </row>
    <row r="427" spans="4:13">
      <c r="D427" s="616"/>
      <c r="L427" s="320"/>
    </row>
    <row r="428" spans="4:13">
      <c r="D428" s="616"/>
      <c r="L428" s="320"/>
    </row>
    <row r="429" spans="4:13">
      <c r="D429" s="616"/>
      <c r="L429" s="320"/>
    </row>
    <row r="430" spans="4:13">
      <c r="D430" s="616"/>
      <c r="L430" s="320"/>
    </row>
    <row r="431" spans="4:13">
      <c r="D431" s="616"/>
      <c r="L431" s="320"/>
    </row>
    <row r="432" spans="4:13">
      <c r="D432" s="616"/>
      <c r="L432" s="320"/>
    </row>
    <row r="433" spans="4:12">
      <c r="D433" s="616"/>
      <c r="L433" s="320"/>
    </row>
    <row r="434" spans="4:12">
      <c r="D434" s="616"/>
      <c r="L434" s="320"/>
    </row>
    <row r="435" spans="4:12">
      <c r="D435" s="616"/>
      <c r="L435" s="320"/>
    </row>
    <row r="436" spans="4:12">
      <c r="D436" s="616"/>
      <c r="L436" s="320"/>
    </row>
    <row r="437" spans="4:12">
      <c r="D437" s="616"/>
      <c r="L437" s="320"/>
    </row>
    <row r="438" spans="4:12">
      <c r="D438" s="616"/>
      <c r="L438" s="320"/>
    </row>
    <row r="439" spans="4:12">
      <c r="D439" s="616"/>
      <c r="L439" s="320"/>
    </row>
    <row r="440" spans="4:12">
      <c r="D440" s="616"/>
      <c r="L440" s="320"/>
    </row>
    <row r="441" spans="4:12">
      <c r="D441" s="616"/>
      <c r="L441" s="320"/>
    </row>
    <row r="442" spans="4:12">
      <c r="D442" s="616"/>
      <c r="L442" s="320"/>
    </row>
    <row r="443" spans="4:12">
      <c r="D443" s="616"/>
      <c r="L443" s="320"/>
    </row>
    <row r="444" spans="4:12">
      <c r="D444" s="616"/>
      <c r="L444" s="320"/>
    </row>
    <row r="445" spans="4:12">
      <c r="D445" s="616"/>
      <c r="L445" s="320"/>
    </row>
    <row r="446" spans="4:12">
      <c r="D446" s="616"/>
      <c r="L446" s="320"/>
    </row>
    <row r="447" spans="4:12">
      <c r="D447" s="616"/>
      <c r="L447" s="320"/>
    </row>
    <row r="448" spans="4:12">
      <c r="D448" s="616"/>
      <c r="L448" s="320"/>
    </row>
    <row r="449" spans="4:12">
      <c r="D449" s="616"/>
      <c r="L449" s="320"/>
    </row>
    <row r="450" spans="4:12">
      <c r="D450" s="616"/>
      <c r="L450" s="320"/>
    </row>
    <row r="451" spans="4:12">
      <c r="D451" s="616"/>
      <c r="L451" s="320"/>
    </row>
    <row r="452" spans="4:12">
      <c r="D452" s="616"/>
      <c r="L452" s="320"/>
    </row>
    <row r="453" spans="4:12">
      <c r="D453" s="616"/>
      <c r="L453" s="320"/>
    </row>
    <row r="454" spans="4:12">
      <c r="L454" s="320"/>
    </row>
    <row r="455" spans="4:12">
      <c r="L455" s="320"/>
    </row>
    <row r="456" spans="4:12">
      <c r="L456" s="320"/>
    </row>
    <row r="457" spans="4:12">
      <c r="L457" s="320"/>
    </row>
    <row r="458" spans="4:12">
      <c r="L458" s="320"/>
    </row>
    <row r="459" spans="4:12">
      <c r="L459" s="320"/>
    </row>
    <row r="460" spans="4:12">
      <c r="L460" s="320"/>
    </row>
    <row r="461" spans="4:12">
      <c r="L461" s="320"/>
    </row>
    <row r="462" spans="4:12">
      <c r="L462" s="320"/>
    </row>
    <row r="463" spans="4:12">
      <c r="L463" s="320"/>
    </row>
    <row r="464" spans="4:12">
      <c r="L464" s="320"/>
    </row>
    <row r="465" spans="12:12">
      <c r="L465" s="320"/>
    </row>
    <row r="466" spans="12:12">
      <c r="L466" s="320"/>
    </row>
    <row r="467" spans="12:12">
      <c r="L467" s="320"/>
    </row>
    <row r="468" spans="12:12">
      <c r="L468" s="320"/>
    </row>
    <row r="469" spans="12:12">
      <c r="L469" s="320"/>
    </row>
    <row r="470" spans="12:12">
      <c r="L470" s="320"/>
    </row>
    <row r="471" spans="12:12">
      <c r="L471" s="320"/>
    </row>
    <row r="472" spans="12:12">
      <c r="L472" s="320"/>
    </row>
    <row r="473" spans="12:12">
      <c r="L473" s="320"/>
    </row>
    <row r="474" spans="12:12">
      <c r="L474" s="320"/>
    </row>
    <row r="475" spans="12:12">
      <c r="L475" s="320"/>
    </row>
    <row r="476" spans="12:12">
      <c r="L476" s="320"/>
    </row>
    <row r="477" spans="12:12">
      <c r="L477" s="320"/>
    </row>
    <row r="478" spans="12:12">
      <c r="L478" s="320"/>
    </row>
    <row r="479" spans="12:12">
      <c r="L479" s="320"/>
    </row>
    <row r="480" spans="12:12">
      <c r="L480" s="320"/>
    </row>
    <row r="481" spans="12:12">
      <c r="L481" s="320"/>
    </row>
    <row r="482" spans="12:12">
      <c r="L482" s="320"/>
    </row>
    <row r="483" spans="12:12">
      <c r="L483" s="320"/>
    </row>
    <row r="484" spans="12:12">
      <c r="L484" s="320"/>
    </row>
    <row r="485" spans="12:12">
      <c r="L485" s="320"/>
    </row>
    <row r="486" spans="12:12">
      <c r="L486" s="320"/>
    </row>
    <row r="487" spans="12:12">
      <c r="L487" s="320"/>
    </row>
    <row r="488" spans="12:12">
      <c r="L488" s="320"/>
    </row>
    <row r="489" spans="12:12">
      <c r="L489" s="320"/>
    </row>
    <row r="490" spans="12:12">
      <c r="L490" s="320"/>
    </row>
    <row r="491" spans="12:12">
      <c r="L491" s="320"/>
    </row>
    <row r="492" spans="12:12">
      <c r="L492" s="320"/>
    </row>
    <row r="493" spans="12:12">
      <c r="L493" s="320"/>
    </row>
    <row r="494" spans="12:12">
      <c r="L494" s="320"/>
    </row>
    <row r="495" spans="12:12">
      <c r="L495" s="320"/>
    </row>
    <row r="496" spans="12:12">
      <c r="L496" s="320"/>
    </row>
    <row r="497" spans="12:12">
      <c r="L497" s="320"/>
    </row>
    <row r="498" spans="12:12">
      <c r="L498" s="320"/>
    </row>
    <row r="499" spans="12:12">
      <c r="L499" s="320"/>
    </row>
    <row r="500" spans="12:12">
      <c r="L500" s="320"/>
    </row>
    <row r="501" spans="12:12">
      <c r="L501" s="320"/>
    </row>
    <row r="502" spans="12:12">
      <c r="L502" s="320"/>
    </row>
    <row r="503" spans="12:12">
      <c r="L503" s="320"/>
    </row>
    <row r="504" spans="12:12">
      <c r="L504" s="320"/>
    </row>
    <row r="505" spans="12:12">
      <c r="L505" s="320"/>
    </row>
    <row r="506" spans="12:12">
      <c r="L506" s="320"/>
    </row>
    <row r="507" spans="12:12">
      <c r="L507" s="313"/>
    </row>
    <row r="508" spans="12:12">
      <c r="L508" s="313"/>
    </row>
    <row r="509" spans="12:12">
      <c r="L509" s="313"/>
    </row>
    <row r="510" spans="12:12">
      <c r="L510" s="313"/>
    </row>
    <row r="511" spans="12:12">
      <c r="L511" s="313"/>
    </row>
    <row r="512" spans="12:12">
      <c r="L512" s="313"/>
    </row>
    <row r="513" spans="12:12">
      <c r="L513" s="313"/>
    </row>
    <row r="514" spans="12:12">
      <c r="L514" s="313"/>
    </row>
    <row r="515" spans="12:12">
      <c r="L515" s="313"/>
    </row>
    <row r="516" spans="12:12">
      <c r="L516" s="313"/>
    </row>
    <row r="517" spans="12:12">
      <c r="L517" s="313"/>
    </row>
    <row r="518" spans="12:12">
      <c r="L518" s="313"/>
    </row>
    <row r="519" spans="12:12">
      <c r="L519" s="313"/>
    </row>
    <row r="520" spans="12:12">
      <c r="L520" s="313"/>
    </row>
    <row r="521" spans="12:12">
      <c r="L521" s="313"/>
    </row>
    <row r="522" spans="12:12">
      <c r="L522" s="313"/>
    </row>
    <row r="523" spans="12:12">
      <c r="L523" s="313"/>
    </row>
    <row r="524" spans="12:12">
      <c r="L524" s="313"/>
    </row>
    <row r="525" spans="12:12">
      <c r="L525" s="313"/>
    </row>
    <row r="526" spans="12:12">
      <c r="L526" s="313"/>
    </row>
    <row r="527" spans="12:12">
      <c r="L527" s="313"/>
    </row>
    <row r="528" spans="12:12">
      <c r="L528" s="313"/>
    </row>
    <row r="529" spans="12:12">
      <c r="L529" s="313"/>
    </row>
    <row r="530" spans="12:12">
      <c r="L530" s="313"/>
    </row>
    <row r="531" spans="12:12">
      <c r="L531" s="313"/>
    </row>
    <row r="532" spans="12:12">
      <c r="L532" s="313"/>
    </row>
    <row r="533" spans="12:12">
      <c r="L533" s="313"/>
    </row>
    <row r="534" spans="12:12">
      <c r="L534" s="313"/>
    </row>
    <row r="535" spans="12:12">
      <c r="L535" s="313"/>
    </row>
    <row r="536" spans="12:12">
      <c r="L536" s="313"/>
    </row>
    <row r="537" spans="12:12">
      <c r="L537" s="313"/>
    </row>
    <row r="538" spans="12:12">
      <c r="L538" s="313"/>
    </row>
    <row r="539" spans="12:12">
      <c r="L539" s="313"/>
    </row>
    <row r="540" spans="12:12">
      <c r="L540" s="313"/>
    </row>
    <row r="541" spans="12:12">
      <c r="L541" s="313"/>
    </row>
    <row r="542" spans="12:12">
      <c r="L542" s="313"/>
    </row>
    <row r="543" spans="12:12">
      <c r="L543" s="313"/>
    </row>
    <row r="544" spans="12:12">
      <c r="L544" s="313"/>
    </row>
    <row r="545" spans="12:12">
      <c r="L545" s="313"/>
    </row>
    <row r="546" spans="12:12">
      <c r="L546" s="313"/>
    </row>
    <row r="547" spans="12:12">
      <c r="L547" s="313"/>
    </row>
    <row r="548" spans="12:12">
      <c r="L548" s="313"/>
    </row>
    <row r="549" spans="12:12">
      <c r="L549" s="313"/>
    </row>
    <row r="550" spans="12:12">
      <c r="L550" s="313"/>
    </row>
    <row r="551" spans="12:12">
      <c r="L551" s="313"/>
    </row>
    <row r="552" spans="12:12">
      <c r="L552" s="313"/>
    </row>
    <row r="553" spans="12:12">
      <c r="L553" s="313"/>
    </row>
    <row r="554" spans="12:12">
      <c r="L554" s="313"/>
    </row>
    <row r="555" spans="12:12">
      <c r="L555" s="313"/>
    </row>
    <row r="556" spans="12:12">
      <c r="L556" s="313"/>
    </row>
    <row r="557" spans="12:12">
      <c r="L557" s="313"/>
    </row>
    <row r="558" spans="12:12">
      <c r="L558" s="313"/>
    </row>
    <row r="559" spans="12:12">
      <c r="L559" s="313"/>
    </row>
    <row r="560" spans="12:12">
      <c r="L560" s="313"/>
    </row>
    <row r="561" spans="12:12">
      <c r="L561" s="313"/>
    </row>
    <row r="562" spans="12:12">
      <c r="L562" s="313"/>
    </row>
    <row r="563" spans="12:12">
      <c r="L563" s="313"/>
    </row>
    <row r="564" spans="12:12">
      <c r="L564" s="313"/>
    </row>
    <row r="565" spans="12:12">
      <c r="L565" s="313"/>
    </row>
    <row r="566" spans="12:12">
      <c r="L566" s="313"/>
    </row>
    <row r="567" spans="12:12">
      <c r="L567" s="313"/>
    </row>
    <row r="568" spans="12:12">
      <c r="L568" s="313"/>
    </row>
    <row r="569" spans="12:12">
      <c r="L569" s="313"/>
    </row>
    <row r="570" spans="12:12">
      <c r="L570" s="313"/>
    </row>
    <row r="571" spans="12:12">
      <c r="L571" s="313"/>
    </row>
    <row r="572" spans="12:12">
      <c r="L572" s="313"/>
    </row>
    <row r="573" spans="12:12">
      <c r="L573" s="313"/>
    </row>
    <row r="574" spans="12:12">
      <c r="L574" s="313"/>
    </row>
    <row r="575" spans="12:12">
      <c r="L575" s="313"/>
    </row>
    <row r="576" spans="12:12">
      <c r="L576" s="313"/>
    </row>
    <row r="577" spans="12:12">
      <c r="L577" s="313"/>
    </row>
    <row r="578" spans="12:12">
      <c r="L578" s="313"/>
    </row>
    <row r="579" spans="12:12">
      <c r="L579" s="313"/>
    </row>
    <row r="580" spans="12:12">
      <c r="L580" s="313"/>
    </row>
    <row r="581" spans="12:12">
      <c r="L581" s="313"/>
    </row>
    <row r="582" spans="12:12">
      <c r="L582" s="313"/>
    </row>
    <row r="583" spans="12:12">
      <c r="L583" s="313"/>
    </row>
    <row r="584" spans="12:12">
      <c r="L584" s="313"/>
    </row>
    <row r="585" spans="12:12">
      <c r="L585" s="313"/>
    </row>
    <row r="586" spans="12:12">
      <c r="L586" s="313"/>
    </row>
    <row r="587" spans="12:12">
      <c r="L587" s="313"/>
    </row>
    <row r="588" spans="12:12">
      <c r="L588" s="313"/>
    </row>
    <row r="589" spans="12:12">
      <c r="L589" s="313"/>
    </row>
    <row r="590" spans="12:12">
      <c r="L590" s="313"/>
    </row>
    <row r="591" spans="12:12">
      <c r="L591" s="313"/>
    </row>
    <row r="592" spans="12:12">
      <c r="L592" s="313"/>
    </row>
    <row r="593" spans="12:12">
      <c r="L593" s="313"/>
    </row>
    <row r="594" spans="12:12">
      <c r="L594" s="313"/>
    </row>
    <row r="595" spans="12:12">
      <c r="L595" s="313"/>
    </row>
    <row r="596" spans="12:12">
      <c r="L596" s="313"/>
    </row>
    <row r="597" spans="12:12">
      <c r="L597" s="313"/>
    </row>
    <row r="598" spans="12:12">
      <c r="L598" s="313"/>
    </row>
    <row r="599" spans="12:12">
      <c r="L599" s="313"/>
    </row>
    <row r="600" spans="12:12">
      <c r="L600" s="313"/>
    </row>
    <row r="601" spans="12:12">
      <c r="L601" s="313"/>
    </row>
    <row r="602" spans="12:12">
      <c r="L602" s="313"/>
    </row>
    <row r="603" spans="12:12">
      <c r="L603" s="313"/>
    </row>
    <row r="604" spans="12:12">
      <c r="L604" s="313"/>
    </row>
    <row r="605" spans="12:12">
      <c r="L605" s="313"/>
    </row>
    <row r="606" spans="12:12">
      <c r="L606" s="313"/>
    </row>
    <row r="607" spans="12:12">
      <c r="L607" s="313"/>
    </row>
    <row r="608" spans="12:12">
      <c r="L608" s="313"/>
    </row>
    <row r="609" spans="12:12">
      <c r="L609" s="313"/>
    </row>
    <row r="610" spans="12:12">
      <c r="L610" s="313"/>
    </row>
    <row r="611" spans="12:12">
      <c r="L611" s="313"/>
    </row>
    <row r="612" spans="12:12">
      <c r="L612" s="313"/>
    </row>
    <row r="613" spans="12:12">
      <c r="L613" s="313"/>
    </row>
    <row r="614" spans="12:12">
      <c r="L614" s="313"/>
    </row>
    <row r="615" spans="12:12">
      <c r="L615" s="313"/>
    </row>
    <row r="616" spans="12:12">
      <c r="L616" s="313"/>
    </row>
    <row r="617" spans="12:12">
      <c r="L617" s="313"/>
    </row>
    <row r="618" spans="12:12">
      <c r="L618" s="313"/>
    </row>
    <row r="619" spans="12:12">
      <c r="L619" s="313"/>
    </row>
    <row r="620" spans="12:12">
      <c r="L620" s="313"/>
    </row>
    <row r="621" spans="12:12">
      <c r="L621" s="313"/>
    </row>
    <row r="622" spans="12:12">
      <c r="L622" s="313"/>
    </row>
    <row r="623" spans="12:12">
      <c r="L623" s="313"/>
    </row>
    <row r="624" spans="12:12">
      <c r="L624" s="313"/>
    </row>
    <row r="625" spans="12:12">
      <c r="L625" s="313"/>
    </row>
    <row r="626" spans="12:12">
      <c r="L626" s="313"/>
    </row>
    <row r="627" spans="12:12">
      <c r="L627" s="313"/>
    </row>
    <row r="628" spans="12:12">
      <c r="L628" s="313"/>
    </row>
    <row r="629" spans="12:12">
      <c r="L629" s="313"/>
    </row>
    <row r="630" spans="12:12">
      <c r="L630" s="313"/>
    </row>
    <row r="631" spans="12:12">
      <c r="L631" s="313"/>
    </row>
    <row r="632" spans="12:12">
      <c r="L632" s="313"/>
    </row>
    <row r="633" spans="12:12">
      <c r="L633" s="313"/>
    </row>
    <row r="634" spans="12:12">
      <c r="L634" s="313"/>
    </row>
    <row r="635" spans="12:12">
      <c r="L635" s="313"/>
    </row>
    <row r="636" spans="12:12">
      <c r="L636" s="313"/>
    </row>
    <row r="637" spans="12:12">
      <c r="L637" s="313"/>
    </row>
    <row r="638" spans="12:12">
      <c r="L638" s="313"/>
    </row>
    <row r="639" spans="12:12">
      <c r="L639" s="313"/>
    </row>
    <row r="640" spans="12:12">
      <c r="L640" s="313"/>
    </row>
    <row r="641" spans="12:12">
      <c r="L641" s="313"/>
    </row>
    <row r="642" spans="12:12">
      <c r="L642" s="313"/>
    </row>
    <row r="643" spans="12:12">
      <c r="L643" s="313"/>
    </row>
    <row r="644" spans="12:12">
      <c r="L644" s="313"/>
    </row>
    <row r="645" spans="12:12">
      <c r="L645" s="313"/>
    </row>
    <row r="646" spans="12:12">
      <c r="L646" s="313"/>
    </row>
    <row r="647" spans="12:12">
      <c r="L647" s="313"/>
    </row>
    <row r="648" spans="12:12">
      <c r="L648" s="313"/>
    </row>
    <row r="649" spans="12:12">
      <c r="L649" s="313"/>
    </row>
    <row r="650" spans="12:12">
      <c r="L650" s="313"/>
    </row>
    <row r="651" spans="12:12">
      <c r="L651" s="313"/>
    </row>
    <row r="652" spans="12:12">
      <c r="L652" s="313"/>
    </row>
    <row r="653" spans="12:12">
      <c r="L653" s="313"/>
    </row>
    <row r="654" spans="12:12">
      <c r="L654" s="313"/>
    </row>
    <row r="655" spans="12:12">
      <c r="L655" s="313"/>
    </row>
    <row r="656" spans="12:12">
      <c r="L656" s="313"/>
    </row>
    <row r="657" spans="12:12">
      <c r="L657" s="313"/>
    </row>
    <row r="658" spans="12:12">
      <c r="L658" s="313"/>
    </row>
    <row r="659" spans="12:12">
      <c r="L659" s="313"/>
    </row>
    <row r="660" spans="12:12">
      <c r="L660" s="313"/>
    </row>
    <row r="661" spans="12:12">
      <c r="L661" s="313"/>
    </row>
    <row r="662" spans="12:12">
      <c r="L662" s="313"/>
    </row>
    <row r="663" spans="12:12">
      <c r="L663" s="313"/>
    </row>
    <row r="664" spans="12:12">
      <c r="L664" s="313"/>
    </row>
    <row r="665" spans="12:12">
      <c r="L665" s="313"/>
    </row>
    <row r="666" spans="12:12">
      <c r="L666" s="313"/>
    </row>
    <row r="667" spans="12:12">
      <c r="L667" s="313"/>
    </row>
    <row r="668" spans="12:12">
      <c r="L668" s="313"/>
    </row>
    <row r="669" spans="12:12">
      <c r="L669" s="313"/>
    </row>
    <row r="670" spans="12:12">
      <c r="L670" s="313"/>
    </row>
    <row r="671" spans="12:12">
      <c r="L671" s="313"/>
    </row>
    <row r="672" spans="12:12">
      <c r="L672" s="313"/>
    </row>
    <row r="673" spans="12:12">
      <c r="L673" s="313"/>
    </row>
    <row r="674" spans="12:12">
      <c r="L674" s="313"/>
    </row>
    <row r="675" spans="12:12">
      <c r="L675" s="313"/>
    </row>
    <row r="676" spans="12:12">
      <c r="L676" s="313"/>
    </row>
    <row r="677" spans="12:12">
      <c r="L677" s="313"/>
    </row>
    <row r="678" spans="12:12">
      <c r="L678" s="313"/>
    </row>
    <row r="679" spans="12:12">
      <c r="L679" s="313"/>
    </row>
    <row r="680" spans="12:12">
      <c r="L680" s="313"/>
    </row>
    <row r="681" spans="12:12">
      <c r="L681" s="313"/>
    </row>
    <row r="682" spans="12:12">
      <c r="L682" s="313"/>
    </row>
    <row r="683" spans="12:12">
      <c r="L683" s="313"/>
    </row>
    <row r="684" spans="12:12">
      <c r="L684" s="313"/>
    </row>
    <row r="685" spans="12:12">
      <c r="L685" s="313"/>
    </row>
    <row r="686" spans="12:12">
      <c r="L686" s="313"/>
    </row>
    <row r="687" spans="12:12">
      <c r="L687" s="313"/>
    </row>
    <row r="688" spans="12:12">
      <c r="L688" s="313"/>
    </row>
    <row r="689" spans="12:12">
      <c r="L689" s="313"/>
    </row>
    <row r="690" spans="12:12">
      <c r="L690" s="313"/>
    </row>
    <row r="691" spans="12:12">
      <c r="L691" s="313"/>
    </row>
    <row r="692" spans="12:12">
      <c r="L692" s="313"/>
    </row>
    <row r="693" spans="12:12">
      <c r="L693" s="313"/>
    </row>
    <row r="694" spans="12:12">
      <c r="L694" s="313"/>
    </row>
    <row r="695" spans="12:12">
      <c r="L695" s="313"/>
    </row>
    <row r="696" spans="12:12">
      <c r="L696" s="313"/>
    </row>
    <row r="697" spans="12:12">
      <c r="L697" s="313"/>
    </row>
    <row r="698" spans="12:12">
      <c r="L698" s="313"/>
    </row>
    <row r="699" spans="12:12">
      <c r="L699" s="313"/>
    </row>
    <row r="700" spans="12:12">
      <c r="L700" s="313"/>
    </row>
    <row r="701" spans="12:12">
      <c r="L701" s="313"/>
    </row>
    <row r="702" spans="12:12">
      <c r="L702" s="313"/>
    </row>
    <row r="703" spans="12:12">
      <c r="L703" s="313"/>
    </row>
    <row r="704" spans="12:12">
      <c r="L704" s="313"/>
    </row>
    <row r="705" spans="12:12">
      <c r="L705" s="313"/>
    </row>
    <row r="706" spans="12:12">
      <c r="L706" s="313"/>
    </row>
    <row r="707" spans="12:12">
      <c r="L707" s="313"/>
    </row>
    <row r="708" spans="12:12">
      <c r="L708" s="313"/>
    </row>
    <row r="709" spans="12:12">
      <c r="L709" s="313"/>
    </row>
    <row r="710" spans="12:12">
      <c r="L710" s="313"/>
    </row>
    <row r="711" spans="12:12">
      <c r="L711" s="313"/>
    </row>
    <row r="712" spans="12:12">
      <c r="L712" s="313"/>
    </row>
    <row r="713" spans="12:12">
      <c r="L713" s="313"/>
    </row>
    <row r="714" spans="12:12">
      <c r="L714" s="313"/>
    </row>
    <row r="715" spans="12:12">
      <c r="L715" s="313"/>
    </row>
    <row r="716" spans="12:12">
      <c r="L716" s="313"/>
    </row>
    <row r="717" spans="12:12">
      <c r="L717" s="313"/>
    </row>
    <row r="718" spans="12:12">
      <c r="L718" s="313"/>
    </row>
    <row r="719" spans="12:12">
      <c r="L719" s="313"/>
    </row>
    <row r="720" spans="12:12">
      <c r="L720" s="313"/>
    </row>
    <row r="721" spans="12:12">
      <c r="L721" s="313"/>
    </row>
    <row r="722" spans="12:12">
      <c r="L722" s="313"/>
    </row>
    <row r="723" spans="12:12">
      <c r="L723" s="313"/>
    </row>
    <row r="724" spans="12:12">
      <c r="L724" s="313"/>
    </row>
    <row r="725" spans="12:12">
      <c r="L725" s="313"/>
    </row>
    <row r="726" spans="12:12">
      <c r="L726" s="313"/>
    </row>
    <row r="727" spans="12:12">
      <c r="L727" s="313"/>
    </row>
    <row r="728" spans="12:12">
      <c r="L728" s="313"/>
    </row>
    <row r="729" spans="12:12">
      <c r="L729" s="313"/>
    </row>
    <row r="730" spans="12:12">
      <c r="L730" s="313"/>
    </row>
    <row r="731" spans="12:12">
      <c r="L731" s="313"/>
    </row>
    <row r="732" spans="12:12">
      <c r="L732" s="313"/>
    </row>
    <row r="733" spans="12:12">
      <c r="L733" s="313"/>
    </row>
    <row r="734" spans="12:12">
      <c r="L734" s="313"/>
    </row>
    <row r="735" spans="12:12">
      <c r="L735" s="313"/>
    </row>
    <row r="736" spans="12:12">
      <c r="L736" s="313"/>
    </row>
    <row r="737" spans="12:12">
      <c r="L737" s="313"/>
    </row>
    <row r="738" spans="12:12">
      <c r="L738" s="313"/>
    </row>
    <row r="739" spans="12:12">
      <c r="L739" s="313"/>
    </row>
    <row r="740" spans="12:12">
      <c r="L740" s="313"/>
    </row>
    <row r="741" spans="12:12">
      <c r="L741" s="313"/>
    </row>
    <row r="742" spans="12:12">
      <c r="L742" s="313"/>
    </row>
    <row r="743" spans="12:12">
      <c r="L743" s="313"/>
    </row>
    <row r="744" spans="12:12">
      <c r="L744" s="313"/>
    </row>
    <row r="745" spans="12:12">
      <c r="L745" s="313"/>
    </row>
    <row r="746" spans="12:12">
      <c r="L746" s="313"/>
    </row>
    <row r="747" spans="12:12">
      <c r="L747" s="313"/>
    </row>
    <row r="748" spans="12:12">
      <c r="L748" s="313"/>
    </row>
    <row r="749" spans="12:12">
      <c r="L749" s="313"/>
    </row>
    <row r="750" spans="12:12">
      <c r="L750" s="313"/>
    </row>
    <row r="751" spans="12:12">
      <c r="L751" s="313"/>
    </row>
    <row r="752" spans="12:12">
      <c r="L752" s="313"/>
    </row>
    <row r="753" spans="12:12">
      <c r="L753" s="313"/>
    </row>
    <row r="754" spans="12:12">
      <c r="L754" s="313"/>
    </row>
    <row r="755" spans="12:12">
      <c r="L755" s="313"/>
    </row>
    <row r="756" spans="12:12">
      <c r="L756" s="313"/>
    </row>
    <row r="757" spans="12:12">
      <c r="L757" s="313"/>
    </row>
    <row r="758" spans="12:12">
      <c r="L758" s="313"/>
    </row>
    <row r="759" spans="12:12">
      <c r="L759" s="313"/>
    </row>
    <row r="760" spans="12:12">
      <c r="L760" s="313"/>
    </row>
    <row r="761" spans="12:12">
      <c r="L761" s="313"/>
    </row>
    <row r="762" spans="12:12">
      <c r="L762" s="313"/>
    </row>
    <row r="763" spans="12:12">
      <c r="L763" s="313"/>
    </row>
    <row r="764" spans="12:12">
      <c r="L764" s="313"/>
    </row>
    <row r="765" spans="12:12">
      <c r="L765" s="313"/>
    </row>
    <row r="766" spans="12:12">
      <c r="L766" s="313"/>
    </row>
    <row r="767" spans="12:12">
      <c r="L767" s="313"/>
    </row>
    <row r="768" spans="12:12">
      <c r="L768" s="313"/>
    </row>
    <row r="769" spans="12:12">
      <c r="L769" s="313"/>
    </row>
    <row r="770" spans="12:12">
      <c r="L770" s="313"/>
    </row>
    <row r="771" spans="12:12">
      <c r="L771" s="313"/>
    </row>
    <row r="772" spans="12:12">
      <c r="L772" s="313"/>
    </row>
    <row r="773" spans="12:12">
      <c r="L773" s="313"/>
    </row>
    <row r="774" spans="12:12">
      <c r="L774" s="313"/>
    </row>
    <row r="775" spans="12:12">
      <c r="L775" s="313"/>
    </row>
    <row r="776" spans="12:12">
      <c r="L776" s="313"/>
    </row>
    <row r="777" spans="12:12">
      <c r="L777" s="313"/>
    </row>
    <row r="778" spans="12:12">
      <c r="L778" s="313"/>
    </row>
    <row r="779" spans="12:12">
      <c r="L779" s="313"/>
    </row>
    <row r="780" spans="12:12">
      <c r="L780" s="313"/>
    </row>
    <row r="781" spans="12:12">
      <c r="L781" s="313"/>
    </row>
    <row r="782" spans="12:12">
      <c r="L782" s="313"/>
    </row>
    <row r="783" spans="12:12">
      <c r="L783" s="313"/>
    </row>
    <row r="784" spans="12:12">
      <c r="L784" s="313"/>
    </row>
    <row r="785" spans="12:12">
      <c r="L785" s="313"/>
    </row>
    <row r="786" spans="12:12">
      <c r="L786" s="313"/>
    </row>
    <row r="787" spans="12:12">
      <c r="L787" s="313"/>
    </row>
    <row r="788" spans="12:12">
      <c r="L788" s="313"/>
    </row>
    <row r="789" spans="12:12">
      <c r="L789" s="313"/>
    </row>
    <row r="790" spans="12:12">
      <c r="L790" s="313"/>
    </row>
    <row r="791" spans="12:12">
      <c r="L791" s="313"/>
    </row>
    <row r="792" spans="12:12">
      <c r="L792" s="313"/>
    </row>
    <row r="793" spans="12:12">
      <c r="L793" s="313"/>
    </row>
    <row r="794" spans="12:12">
      <c r="L794" s="313"/>
    </row>
    <row r="795" spans="12:12">
      <c r="L795" s="313"/>
    </row>
    <row r="796" spans="12:12">
      <c r="L796" s="313"/>
    </row>
    <row r="797" spans="12:12">
      <c r="L797" s="313"/>
    </row>
    <row r="798" spans="12:12">
      <c r="L798" s="313"/>
    </row>
    <row r="799" spans="12:12">
      <c r="L799" s="313"/>
    </row>
    <row r="800" spans="12:12">
      <c r="L800" s="313"/>
    </row>
    <row r="801" spans="12:12">
      <c r="L801" s="313"/>
    </row>
    <row r="802" spans="12:12">
      <c r="L802" s="313"/>
    </row>
    <row r="803" spans="12:12">
      <c r="L803" s="313"/>
    </row>
    <row r="804" spans="12:12">
      <c r="L804" s="313"/>
    </row>
    <row r="805" spans="12:12">
      <c r="L805" s="313"/>
    </row>
    <row r="806" spans="12:12">
      <c r="L806" s="313"/>
    </row>
    <row r="807" spans="12:12">
      <c r="L807" s="313"/>
    </row>
    <row r="808" spans="12:12">
      <c r="L808" s="313"/>
    </row>
    <row r="809" spans="12:12">
      <c r="L809" s="313"/>
    </row>
    <row r="810" spans="12:12">
      <c r="L810" s="313"/>
    </row>
    <row r="811" spans="12:12">
      <c r="L811" s="313"/>
    </row>
    <row r="812" spans="12:12">
      <c r="L812" s="313"/>
    </row>
    <row r="813" spans="12:12">
      <c r="L813" s="313"/>
    </row>
    <row r="814" spans="12:12">
      <c r="L814" s="313"/>
    </row>
    <row r="815" spans="12:12">
      <c r="L815" s="313"/>
    </row>
    <row r="816" spans="12:12">
      <c r="L816" s="313"/>
    </row>
    <row r="817" spans="12:12">
      <c r="L817" s="313"/>
    </row>
    <row r="818" spans="12:12">
      <c r="L818" s="313"/>
    </row>
    <row r="819" spans="12:12">
      <c r="L819" s="313"/>
    </row>
    <row r="820" spans="12:12">
      <c r="L820" s="313"/>
    </row>
    <row r="821" spans="12:12">
      <c r="L821" s="313"/>
    </row>
    <row r="822" spans="12:12">
      <c r="L822" s="313"/>
    </row>
    <row r="823" spans="12:12">
      <c r="L823" s="313"/>
    </row>
    <row r="824" spans="12:12">
      <c r="L824" s="313"/>
    </row>
    <row r="825" spans="12:12">
      <c r="L825" s="313"/>
    </row>
    <row r="826" spans="12:12">
      <c r="L826" s="313"/>
    </row>
    <row r="827" spans="12:12">
      <c r="L827" s="313"/>
    </row>
    <row r="828" spans="12:12">
      <c r="L828" s="313"/>
    </row>
    <row r="829" spans="12:12">
      <c r="L829" s="313"/>
    </row>
    <row r="830" spans="12:12">
      <c r="L830" s="313"/>
    </row>
    <row r="831" spans="12:12">
      <c r="L831" s="313"/>
    </row>
    <row r="832" spans="12:12">
      <c r="L832" s="313"/>
    </row>
    <row r="833" spans="12:12">
      <c r="L833" s="313"/>
    </row>
    <row r="834" spans="12:12">
      <c r="L834" s="313"/>
    </row>
    <row r="835" spans="12:12">
      <c r="L835" s="313"/>
    </row>
    <row r="836" spans="12:12">
      <c r="L836" s="313"/>
    </row>
    <row r="837" spans="12:12">
      <c r="L837" s="313"/>
    </row>
    <row r="838" spans="12:12">
      <c r="L838" s="313"/>
    </row>
    <row r="839" spans="12:12">
      <c r="L839" s="313"/>
    </row>
    <row r="840" spans="12:12">
      <c r="L840" s="313"/>
    </row>
    <row r="841" spans="12:12">
      <c r="L841" s="313"/>
    </row>
    <row r="842" spans="12:12">
      <c r="L842" s="313"/>
    </row>
    <row r="843" spans="12:12">
      <c r="L843" s="313"/>
    </row>
    <row r="844" spans="12:12">
      <c r="L844" s="313"/>
    </row>
  </sheetData>
  <mergeCells count="1">
    <mergeCell ref="G4:H4"/>
  </mergeCells>
  <phoneticPr fontId="48" type="noConversion"/>
  <conditionalFormatting sqref="J361:J502">
    <cfRule type="cellIs" dxfId="3" priority="2" stopIfTrue="1" operator="greaterThan">
      <formula>K361*1.2</formula>
    </cfRule>
  </conditionalFormatting>
  <dataValidations count="3">
    <dataValidation type="list" allowBlank="1" showInputMessage="1" showErrorMessage="1" sqref="WVO4:WVO26 WLS4:WLS26 WBW4:WBW26 VSA4:VSA26 VIE4:VIE26 UYI4:UYI26 UOM4:UOM26 UEQ4:UEQ26 TUU4:TUU26 TKY4:TKY26 TBC4:TBC26 SRG4:SRG26 SHK4:SHK26 RXO4:RXO26 RNS4:RNS26 RDW4:RDW26 QUA4:QUA26 QKE4:QKE26 QAI4:QAI26 PQM4:PQM26 PGQ4:PGQ26 OWU4:OWU26 OMY4:OMY26 ODC4:ODC26 NTG4:NTG26 NJK4:NJK26 MZO4:MZO26 MPS4:MPS26 MFW4:MFW26 LWA4:LWA26 LME4:LME26 LCI4:LCI26 KSM4:KSM26 KIQ4:KIQ26 JYU4:JYU26 JOY4:JOY26 JFC4:JFC26 IVG4:IVG26 ILK4:ILK26 IBO4:IBO26 HRS4:HRS26 HHW4:HHW26 GYA4:GYA26 GOE4:GOE26 GEI4:GEI26 FUM4:FUM26 FKQ4:FKQ26 FAU4:FAU26 EQY4:EQY26 EHC4:EHC26 DXG4:DXG26 DNK4:DNK26 DDO4:DDO26 CTS4:CTS26 CJW4:CJW26 CAA4:CAA26 BQE4:BQE26 BGI4:BGI26 AWM4:AWM26 AMQ4:AMQ26 ACU4:ACU26 SY4:SY26 JC4:JC26 IS29:IS360 SO29:SO360 ACK29:ACK360 AMG29:AMG360 AWC29:AWC360 BFY29:BFY360 BPU29:BPU360 BZQ29:BZQ360 CJM29:CJM360 CTI29:CTI360 DDE29:DDE360 DNA29:DNA360 DWW29:DWW360 EGS29:EGS360 EQO29:EQO360 FAK29:FAK360 FKG29:FKG360 FUC29:FUC360 GDY29:GDY360 GNU29:GNU360 GXQ29:GXQ360 HHM29:HHM360 HRI29:HRI360 IBE29:IBE360 ILA29:ILA360 IUW29:IUW360 JES29:JES360 JOO29:JOO360 JYK29:JYK360 KIG29:KIG360 KSC29:KSC360 LBY29:LBY360 LLU29:LLU360 LVQ29:LVQ360 MFM29:MFM360 MPI29:MPI360 MZE29:MZE360 NJA29:NJA360 NSW29:NSW360 OCS29:OCS360 OMO29:OMO360 OWK29:OWK360 PGG29:PGG360 PQC29:PQC360 PZY29:PZY360 QJU29:QJU360 QTQ29:QTQ360 RDM29:RDM360 RNI29:RNI360 RXE29:RXE360 SHA29:SHA360 SQW29:SQW360 TAS29:TAS360 TKO29:TKO360 TUK29:TUK360 UEG29:UEG360 UOC29:UOC360 UXY29:UXY360 VHU29:VHU360 VRQ29:VRQ360 WBM29:WBM360 WLI29:WLI360 WVE29:WVE360 D65565:D65896 IS65565:IS65896 SO65565:SO65896 ACK65565:ACK65896 AMG65565:AMG65896 AWC65565:AWC65896 BFY65565:BFY65896 BPU65565:BPU65896 BZQ65565:BZQ65896 CJM65565:CJM65896 CTI65565:CTI65896 DDE65565:DDE65896 DNA65565:DNA65896 DWW65565:DWW65896 EGS65565:EGS65896 EQO65565:EQO65896 FAK65565:FAK65896 FKG65565:FKG65896 FUC65565:FUC65896 GDY65565:GDY65896 GNU65565:GNU65896 GXQ65565:GXQ65896 HHM65565:HHM65896 HRI65565:HRI65896 IBE65565:IBE65896 ILA65565:ILA65896 IUW65565:IUW65896 JES65565:JES65896 JOO65565:JOO65896 JYK65565:JYK65896 KIG65565:KIG65896 KSC65565:KSC65896 LBY65565:LBY65896 LLU65565:LLU65896 LVQ65565:LVQ65896 MFM65565:MFM65896 MPI65565:MPI65896 MZE65565:MZE65896 NJA65565:NJA65896 NSW65565:NSW65896 OCS65565:OCS65896 OMO65565:OMO65896 OWK65565:OWK65896 PGG65565:PGG65896 PQC65565:PQC65896 PZY65565:PZY65896 QJU65565:QJU65896 QTQ65565:QTQ65896 RDM65565:RDM65896 RNI65565:RNI65896 RXE65565:RXE65896 SHA65565:SHA65896 SQW65565:SQW65896 TAS65565:TAS65896 TKO65565:TKO65896 TUK65565:TUK65896 UEG65565:UEG65896 UOC65565:UOC65896 UXY65565:UXY65896 VHU65565:VHU65896 VRQ65565:VRQ65896 WBM65565:WBM65896 WLI65565:WLI65896 WVE65565:WVE65896 D131101:D131432 IS131101:IS131432 SO131101:SO131432 ACK131101:ACK131432 AMG131101:AMG131432 AWC131101:AWC131432 BFY131101:BFY131432 BPU131101:BPU131432 BZQ131101:BZQ131432 CJM131101:CJM131432 CTI131101:CTI131432 DDE131101:DDE131432 DNA131101:DNA131432 DWW131101:DWW131432 EGS131101:EGS131432 EQO131101:EQO131432 FAK131101:FAK131432 FKG131101:FKG131432 FUC131101:FUC131432 GDY131101:GDY131432 GNU131101:GNU131432 GXQ131101:GXQ131432 HHM131101:HHM131432 HRI131101:HRI131432 IBE131101:IBE131432 ILA131101:ILA131432 IUW131101:IUW131432 JES131101:JES131432 JOO131101:JOO131432 JYK131101:JYK131432 KIG131101:KIG131432 KSC131101:KSC131432 LBY131101:LBY131432 LLU131101:LLU131432 LVQ131101:LVQ131432 MFM131101:MFM131432 MPI131101:MPI131432 MZE131101:MZE131432 NJA131101:NJA131432 NSW131101:NSW131432 OCS131101:OCS131432 OMO131101:OMO131432 OWK131101:OWK131432 PGG131101:PGG131432 PQC131101:PQC131432 PZY131101:PZY131432 QJU131101:QJU131432 QTQ131101:QTQ131432 RDM131101:RDM131432 RNI131101:RNI131432 RXE131101:RXE131432 SHA131101:SHA131432 SQW131101:SQW131432 TAS131101:TAS131432 TKO131101:TKO131432 TUK131101:TUK131432 UEG131101:UEG131432 UOC131101:UOC131432 UXY131101:UXY131432 VHU131101:VHU131432 VRQ131101:VRQ131432 WBM131101:WBM131432 WLI131101:WLI131432 WVE131101:WVE131432 D196637:D196968 IS196637:IS196968 SO196637:SO196968 ACK196637:ACK196968 AMG196637:AMG196968 AWC196637:AWC196968 BFY196637:BFY196968 BPU196637:BPU196968 BZQ196637:BZQ196968 CJM196637:CJM196968 CTI196637:CTI196968 DDE196637:DDE196968 DNA196637:DNA196968 DWW196637:DWW196968 EGS196637:EGS196968 EQO196637:EQO196968 FAK196637:FAK196968 FKG196637:FKG196968 FUC196637:FUC196968 GDY196637:GDY196968 GNU196637:GNU196968 GXQ196637:GXQ196968 HHM196637:HHM196968 HRI196637:HRI196968 IBE196637:IBE196968 ILA196637:ILA196968 IUW196637:IUW196968 JES196637:JES196968 JOO196637:JOO196968 JYK196637:JYK196968 KIG196637:KIG196968 KSC196637:KSC196968 LBY196637:LBY196968 LLU196637:LLU196968 LVQ196637:LVQ196968 MFM196637:MFM196968 MPI196637:MPI196968 MZE196637:MZE196968 NJA196637:NJA196968 NSW196637:NSW196968 OCS196637:OCS196968 OMO196637:OMO196968 OWK196637:OWK196968 PGG196637:PGG196968 PQC196637:PQC196968 PZY196637:PZY196968 QJU196637:QJU196968 QTQ196637:QTQ196968 RDM196637:RDM196968 RNI196637:RNI196968 RXE196637:RXE196968 SHA196637:SHA196968 SQW196637:SQW196968 TAS196637:TAS196968 TKO196637:TKO196968 TUK196637:TUK196968 UEG196637:UEG196968 UOC196637:UOC196968 UXY196637:UXY196968 VHU196637:VHU196968 VRQ196637:VRQ196968 WBM196637:WBM196968 WLI196637:WLI196968 WVE196637:WVE196968 D262173:D262504 IS262173:IS262504 SO262173:SO262504 ACK262173:ACK262504 AMG262173:AMG262504 AWC262173:AWC262504 BFY262173:BFY262504 BPU262173:BPU262504 BZQ262173:BZQ262504 CJM262173:CJM262504 CTI262173:CTI262504 DDE262173:DDE262504 DNA262173:DNA262504 DWW262173:DWW262504 EGS262173:EGS262504 EQO262173:EQO262504 FAK262173:FAK262504 FKG262173:FKG262504 FUC262173:FUC262504 GDY262173:GDY262504 GNU262173:GNU262504 GXQ262173:GXQ262504 HHM262173:HHM262504 HRI262173:HRI262504 IBE262173:IBE262504 ILA262173:ILA262504 IUW262173:IUW262504 JES262173:JES262504 JOO262173:JOO262504 JYK262173:JYK262504 KIG262173:KIG262504 KSC262173:KSC262504 LBY262173:LBY262504 LLU262173:LLU262504 LVQ262173:LVQ262504 MFM262173:MFM262504 MPI262173:MPI262504 MZE262173:MZE262504 NJA262173:NJA262504 NSW262173:NSW262504 OCS262173:OCS262504 OMO262173:OMO262504 OWK262173:OWK262504 PGG262173:PGG262504 PQC262173:PQC262504 PZY262173:PZY262504 QJU262173:QJU262504 QTQ262173:QTQ262504 RDM262173:RDM262504 RNI262173:RNI262504 RXE262173:RXE262504 SHA262173:SHA262504 SQW262173:SQW262504 TAS262173:TAS262504 TKO262173:TKO262504 TUK262173:TUK262504 UEG262173:UEG262504 UOC262173:UOC262504 UXY262173:UXY262504 VHU262173:VHU262504 VRQ262173:VRQ262504 WBM262173:WBM262504 WLI262173:WLI262504 WVE262173:WVE262504 D327709:D328040 IS327709:IS328040 SO327709:SO328040 ACK327709:ACK328040 AMG327709:AMG328040 AWC327709:AWC328040 BFY327709:BFY328040 BPU327709:BPU328040 BZQ327709:BZQ328040 CJM327709:CJM328040 CTI327709:CTI328040 DDE327709:DDE328040 DNA327709:DNA328040 DWW327709:DWW328040 EGS327709:EGS328040 EQO327709:EQO328040 FAK327709:FAK328040 FKG327709:FKG328040 FUC327709:FUC328040 GDY327709:GDY328040 GNU327709:GNU328040 GXQ327709:GXQ328040 HHM327709:HHM328040 HRI327709:HRI328040 IBE327709:IBE328040 ILA327709:ILA328040 IUW327709:IUW328040 JES327709:JES328040 JOO327709:JOO328040 JYK327709:JYK328040 KIG327709:KIG328040 KSC327709:KSC328040 LBY327709:LBY328040 LLU327709:LLU328040 LVQ327709:LVQ328040 MFM327709:MFM328040 MPI327709:MPI328040 MZE327709:MZE328040 NJA327709:NJA328040 NSW327709:NSW328040 OCS327709:OCS328040 OMO327709:OMO328040 OWK327709:OWK328040 PGG327709:PGG328040 PQC327709:PQC328040 PZY327709:PZY328040 QJU327709:QJU328040 QTQ327709:QTQ328040 RDM327709:RDM328040 RNI327709:RNI328040 RXE327709:RXE328040 SHA327709:SHA328040 SQW327709:SQW328040 TAS327709:TAS328040 TKO327709:TKO328040 TUK327709:TUK328040 UEG327709:UEG328040 UOC327709:UOC328040 UXY327709:UXY328040 VHU327709:VHU328040 VRQ327709:VRQ328040 WBM327709:WBM328040 WLI327709:WLI328040 WVE327709:WVE328040 D393245:D393576 IS393245:IS393576 SO393245:SO393576 ACK393245:ACK393576 AMG393245:AMG393576 AWC393245:AWC393576 BFY393245:BFY393576 BPU393245:BPU393576 BZQ393245:BZQ393576 CJM393245:CJM393576 CTI393245:CTI393576 DDE393245:DDE393576 DNA393245:DNA393576 DWW393245:DWW393576 EGS393245:EGS393576 EQO393245:EQO393576 FAK393245:FAK393576 FKG393245:FKG393576 FUC393245:FUC393576 GDY393245:GDY393576 GNU393245:GNU393576 GXQ393245:GXQ393576 HHM393245:HHM393576 HRI393245:HRI393576 IBE393245:IBE393576 ILA393245:ILA393576 IUW393245:IUW393576 JES393245:JES393576 JOO393245:JOO393576 JYK393245:JYK393576 KIG393245:KIG393576 KSC393245:KSC393576 LBY393245:LBY393576 LLU393245:LLU393576 LVQ393245:LVQ393576 MFM393245:MFM393576 MPI393245:MPI393576 MZE393245:MZE393576 NJA393245:NJA393576 NSW393245:NSW393576 OCS393245:OCS393576 OMO393245:OMO393576 OWK393245:OWK393576 PGG393245:PGG393576 PQC393245:PQC393576 PZY393245:PZY393576 QJU393245:QJU393576 QTQ393245:QTQ393576 RDM393245:RDM393576 RNI393245:RNI393576 RXE393245:RXE393576 SHA393245:SHA393576 SQW393245:SQW393576 TAS393245:TAS393576 TKO393245:TKO393576 TUK393245:TUK393576 UEG393245:UEG393576 UOC393245:UOC393576 UXY393245:UXY393576 VHU393245:VHU393576 VRQ393245:VRQ393576 WBM393245:WBM393576 WLI393245:WLI393576 WVE393245:WVE393576 D458781:D459112 IS458781:IS459112 SO458781:SO459112 ACK458781:ACK459112 AMG458781:AMG459112 AWC458781:AWC459112 BFY458781:BFY459112 BPU458781:BPU459112 BZQ458781:BZQ459112 CJM458781:CJM459112 CTI458781:CTI459112 DDE458781:DDE459112 DNA458781:DNA459112 DWW458781:DWW459112 EGS458781:EGS459112 EQO458781:EQO459112 FAK458781:FAK459112 FKG458781:FKG459112 FUC458781:FUC459112 GDY458781:GDY459112 GNU458781:GNU459112 GXQ458781:GXQ459112 HHM458781:HHM459112 HRI458781:HRI459112 IBE458781:IBE459112 ILA458781:ILA459112 IUW458781:IUW459112 JES458781:JES459112 JOO458781:JOO459112 JYK458781:JYK459112 KIG458781:KIG459112 KSC458781:KSC459112 LBY458781:LBY459112 LLU458781:LLU459112 LVQ458781:LVQ459112 MFM458781:MFM459112 MPI458781:MPI459112 MZE458781:MZE459112 NJA458781:NJA459112 NSW458781:NSW459112 OCS458781:OCS459112 OMO458781:OMO459112 OWK458781:OWK459112 PGG458781:PGG459112 PQC458781:PQC459112 PZY458781:PZY459112 QJU458781:QJU459112 QTQ458781:QTQ459112 RDM458781:RDM459112 RNI458781:RNI459112 RXE458781:RXE459112 SHA458781:SHA459112 SQW458781:SQW459112 TAS458781:TAS459112 TKO458781:TKO459112 TUK458781:TUK459112 UEG458781:UEG459112 UOC458781:UOC459112 UXY458781:UXY459112 VHU458781:VHU459112 VRQ458781:VRQ459112 WBM458781:WBM459112 WLI458781:WLI459112 WVE458781:WVE459112 D524317:D524648 IS524317:IS524648 SO524317:SO524648 ACK524317:ACK524648 AMG524317:AMG524648 AWC524317:AWC524648 BFY524317:BFY524648 BPU524317:BPU524648 BZQ524317:BZQ524648 CJM524317:CJM524648 CTI524317:CTI524648 DDE524317:DDE524648 DNA524317:DNA524648 DWW524317:DWW524648 EGS524317:EGS524648 EQO524317:EQO524648 FAK524317:FAK524648 FKG524317:FKG524648 FUC524317:FUC524648 GDY524317:GDY524648 GNU524317:GNU524648 GXQ524317:GXQ524648 HHM524317:HHM524648 HRI524317:HRI524648 IBE524317:IBE524648 ILA524317:ILA524648 IUW524317:IUW524648 JES524317:JES524648 JOO524317:JOO524648 JYK524317:JYK524648 KIG524317:KIG524648 KSC524317:KSC524648 LBY524317:LBY524648 LLU524317:LLU524648 LVQ524317:LVQ524648 MFM524317:MFM524648 MPI524317:MPI524648 MZE524317:MZE524648 NJA524317:NJA524648 NSW524317:NSW524648 OCS524317:OCS524648 OMO524317:OMO524648 OWK524317:OWK524648 PGG524317:PGG524648 PQC524317:PQC524648 PZY524317:PZY524648 QJU524317:QJU524648 QTQ524317:QTQ524648 RDM524317:RDM524648 RNI524317:RNI524648 RXE524317:RXE524648 SHA524317:SHA524648 SQW524317:SQW524648 TAS524317:TAS524648 TKO524317:TKO524648 TUK524317:TUK524648 UEG524317:UEG524648 UOC524317:UOC524648 UXY524317:UXY524648 VHU524317:VHU524648 VRQ524317:VRQ524648 WBM524317:WBM524648 WLI524317:WLI524648 WVE524317:WVE524648 D589853:D590184 IS589853:IS590184 SO589853:SO590184 ACK589853:ACK590184 AMG589853:AMG590184 AWC589853:AWC590184 BFY589853:BFY590184 BPU589853:BPU590184 BZQ589853:BZQ590184 CJM589853:CJM590184 CTI589853:CTI590184 DDE589853:DDE590184 DNA589853:DNA590184 DWW589853:DWW590184 EGS589853:EGS590184 EQO589853:EQO590184 FAK589853:FAK590184 FKG589853:FKG590184 FUC589853:FUC590184 GDY589853:GDY590184 GNU589853:GNU590184 GXQ589853:GXQ590184 HHM589853:HHM590184 HRI589853:HRI590184 IBE589853:IBE590184 ILA589853:ILA590184 IUW589853:IUW590184 JES589853:JES590184 JOO589853:JOO590184 JYK589853:JYK590184 KIG589853:KIG590184 KSC589853:KSC590184 LBY589853:LBY590184 LLU589853:LLU590184 LVQ589853:LVQ590184 MFM589853:MFM590184 MPI589853:MPI590184 MZE589853:MZE590184 NJA589853:NJA590184 NSW589853:NSW590184 OCS589853:OCS590184 OMO589853:OMO590184 OWK589853:OWK590184 PGG589853:PGG590184 PQC589853:PQC590184 PZY589853:PZY590184 QJU589853:QJU590184 QTQ589853:QTQ590184 RDM589853:RDM590184 RNI589853:RNI590184 RXE589853:RXE590184 SHA589853:SHA590184 SQW589853:SQW590184 TAS589853:TAS590184 TKO589853:TKO590184 TUK589853:TUK590184 UEG589853:UEG590184 UOC589853:UOC590184 UXY589853:UXY590184 VHU589853:VHU590184 VRQ589853:VRQ590184 WBM589853:WBM590184 WLI589853:WLI590184 WVE589853:WVE590184 D655389:D655720 IS655389:IS655720 SO655389:SO655720 ACK655389:ACK655720 AMG655389:AMG655720 AWC655389:AWC655720 BFY655389:BFY655720 BPU655389:BPU655720 BZQ655389:BZQ655720 CJM655389:CJM655720 CTI655389:CTI655720 DDE655389:DDE655720 DNA655389:DNA655720 DWW655389:DWW655720 EGS655389:EGS655720 EQO655389:EQO655720 FAK655389:FAK655720 FKG655389:FKG655720 FUC655389:FUC655720 GDY655389:GDY655720 GNU655389:GNU655720 GXQ655389:GXQ655720 HHM655389:HHM655720 HRI655389:HRI655720 IBE655389:IBE655720 ILA655389:ILA655720 IUW655389:IUW655720 JES655389:JES655720 JOO655389:JOO655720 JYK655389:JYK655720 KIG655389:KIG655720 KSC655389:KSC655720 LBY655389:LBY655720 LLU655389:LLU655720 LVQ655389:LVQ655720 MFM655389:MFM655720 MPI655389:MPI655720 MZE655389:MZE655720 NJA655389:NJA655720 NSW655389:NSW655720 OCS655389:OCS655720 OMO655389:OMO655720 OWK655389:OWK655720 PGG655389:PGG655720 PQC655389:PQC655720 PZY655389:PZY655720 QJU655389:QJU655720 QTQ655389:QTQ655720 RDM655389:RDM655720 RNI655389:RNI655720 RXE655389:RXE655720 SHA655389:SHA655720 SQW655389:SQW655720 TAS655389:TAS655720 TKO655389:TKO655720 TUK655389:TUK655720 UEG655389:UEG655720 UOC655389:UOC655720 UXY655389:UXY655720 VHU655389:VHU655720 VRQ655389:VRQ655720 WBM655389:WBM655720 WLI655389:WLI655720 WVE655389:WVE655720 D720925:D721256 IS720925:IS721256 SO720925:SO721256 ACK720925:ACK721256 AMG720925:AMG721256 AWC720925:AWC721256 BFY720925:BFY721256 BPU720925:BPU721256 BZQ720925:BZQ721256 CJM720925:CJM721256 CTI720925:CTI721256 DDE720925:DDE721256 DNA720925:DNA721256 DWW720925:DWW721256 EGS720925:EGS721256 EQO720925:EQO721256 FAK720925:FAK721256 FKG720925:FKG721256 FUC720925:FUC721256 GDY720925:GDY721256 GNU720925:GNU721256 GXQ720925:GXQ721256 HHM720925:HHM721256 HRI720925:HRI721256 IBE720925:IBE721256 ILA720925:ILA721256 IUW720925:IUW721256 JES720925:JES721256 JOO720925:JOO721256 JYK720925:JYK721256 KIG720925:KIG721256 KSC720925:KSC721256 LBY720925:LBY721256 LLU720925:LLU721256 LVQ720925:LVQ721256 MFM720925:MFM721256 MPI720925:MPI721256 MZE720925:MZE721256 NJA720925:NJA721256 NSW720925:NSW721256 OCS720925:OCS721256 OMO720925:OMO721256 OWK720925:OWK721256 PGG720925:PGG721256 PQC720925:PQC721256 PZY720925:PZY721256 QJU720925:QJU721256 QTQ720925:QTQ721256 RDM720925:RDM721256 RNI720925:RNI721256 RXE720925:RXE721256 SHA720925:SHA721256 SQW720925:SQW721256 TAS720925:TAS721256 TKO720925:TKO721256 TUK720925:TUK721256 UEG720925:UEG721256 UOC720925:UOC721256 UXY720925:UXY721256 VHU720925:VHU721256 VRQ720925:VRQ721256 WBM720925:WBM721256 WLI720925:WLI721256 WVE720925:WVE721256 D786461:D786792 IS786461:IS786792 SO786461:SO786792 ACK786461:ACK786792 AMG786461:AMG786792 AWC786461:AWC786792 BFY786461:BFY786792 BPU786461:BPU786792 BZQ786461:BZQ786792 CJM786461:CJM786792 CTI786461:CTI786792 DDE786461:DDE786792 DNA786461:DNA786792 DWW786461:DWW786792 EGS786461:EGS786792 EQO786461:EQO786792 FAK786461:FAK786792 FKG786461:FKG786792 FUC786461:FUC786792 GDY786461:GDY786792 GNU786461:GNU786792 GXQ786461:GXQ786792 HHM786461:HHM786792 HRI786461:HRI786792 IBE786461:IBE786792 ILA786461:ILA786792 IUW786461:IUW786792 JES786461:JES786792 JOO786461:JOO786792 JYK786461:JYK786792 KIG786461:KIG786792 KSC786461:KSC786792 LBY786461:LBY786792 LLU786461:LLU786792 LVQ786461:LVQ786792 MFM786461:MFM786792 MPI786461:MPI786792 MZE786461:MZE786792 NJA786461:NJA786792 NSW786461:NSW786792 OCS786461:OCS786792 OMO786461:OMO786792 OWK786461:OWK786792 PGG786461:PGG786792 PQC786461:PQC786792 PZY786461:PZY786792 QJU786461:QJU786792 QTQ786461:QTQ786792 RDM786461:RDM786792 RNI786461:RNI786792 RXE786461:RXE786792 SHA786461:SHA786792 SQW786461:SQW786792 TAS786461:TAS786792 TKO786461:TKO786792 TUK786461:TUK786792 UEG786461:UEG786792 UOC786461:UOC786792 UXY786461:UXY786792 VHU786461:VHU786792 VRQ786461:VRQ786792 WBM786461:WBM786792 WLI786461:WLI786792 WVE786461:WVE786792 D851997:D852328 IS851997:IS852328 SO851997:SO852328 ACK851997:ACK852328 AMG851997:AMG852328 AWC851997:AWC852328 BFY851997:BFY852328 BPU851997:BPU852328 BZQ851997:BZQ852328 CJM851997:CJM852328 CTI851997:CTI852328 DDE851997:DDE852328 DNA851997:DNA852328 DWW851997:DWW852328 EGS851997:EGS852328 EQO851997:EQO852328 FAK851997:FAK852328 FKG851997:FKG852328 FUC851997:FUC852328 GDY851997:GDY852328 GNU851997:GNU852328 GXQ851997:GXQ852328 HHM851997:HHM852328 HRI851997:HRI852328 IBE851997:IBE852328 ILA851997:ILA852328 IUW851997:IUW852328 JES851997:JES852328 JOO851997:JOO852328 JYK851997:JYK852328 KIG851997:KIG852328 KSC851997:KSC852328 LBY851997:LBY852328 LLU851997:LLU852328 LVQ851997:LVQ852328 MFM851997:MFM852328 MPI851997:MPI852328 MZE851997:MZE852328 NJA851997:NJA852328 NSW851997:NSW852328 OCS851997:OCS852328 OMO851997:OMO852328 OWK851997:OWK852328 PGG851997:PGG852328 PQC851997:PQC852328 PZY851997:PZY852328 QJU851997:QJU852328 QTQ851997:QTQ852328 RDM851997:RDM852328 RNI851997:RNI852328 RXE851997:RXE852328 SHA851997:SHA852328 SQW851997:SQW852328 TAS851997:TAS852328 TKO851997:TKO852328 TUK851997:TUK852328 UEG851997:UEG852328 UOC851997:UOC852328 UXY851997:UXY852328 VHU851997:VHU852328 VRQ851997:VRQ852328 WBM851997:WBM852328 WLI851997:WLI852328 WVE851997:WVE852328 D917533:D917864 IS917533:IS917864 SO917533:SO917864 ACK917533:ACK917864 AMG917533:AMG917864 AWC917533:AWC917864 BFY917533:BFY917864 BPU917533:BPU917864 BZQ917533:BZQ917864 CJM917533:CJM917864 CTI917533:CTI917864 DDE917533:DDE917864 DNA917533:DNA917864 DWW917533:DWW917864 EGS917533:EGS917864 EQO917533:EQO917864 FAK917533:FAK917864 FKG917533:FKG917864 FUC917533:FUC917864 GDY917533:GDY917864 GNU917533:GNU917864 GXQ917533:GXQ917864 HHM917533:HHM917864 HRI917533:HRI917864 IBE917533:IBE917864 ILA917533:ILA917864 IUW917533:IUW917864 JES917533:JES917864 JOO917533:JOO917864 JYK917533:JYK917864 KIG917533:KIG917864 KSC917533:KSC917864 LBY917533:LBY917864 LLU917533:LLU917864 LVQ917533:LVQ917864 MFM917533:MFM917864 MPI917533:MPI917864 MZE917533:MZE917864 NJA917533:NJA917864 NSW917533:NSW917864 OCS917533:OCS917864 OMO917533:OMO917864 OWK917533:OWK917864 PGG917533:PGG917864 PQC917533:PQC917864 PZY917533:PZY917864 QJU917533:QJU917864 QTQ917533:QTQ917864 RDM917533:RDM917864 RNI917533:RNI917864 RXE917533:RXE917864 SHA917533:SHA917864 SQW917533:SQW917864 TAS917533:TAS917864 TKO917533:TKO917864 TUK917533:TUK917864 UEG917533:UEG917864 UOC917533:UOC917864 UXY917533:UXY917864 VHU917533:VHU917864 VRQ917533:VRQ917864 WBM917533:WBM917864 WLI917533:WLI917864 WVE917533:WVE917864 D983069:D983400 IS983069:IS983400 SO983069:SO983400 ACK983069:ACK983400 AMG983069:AMG983400 AWC983069:AWC983400 BFY983069:BFY983400 BPU983069:BPU983400 BZQ983069:BZQ983400 CJM983069:CJM983400 CTI983069:CTI983400 DDE983069:DDE983400 DNA983069:DNA983400 DWW983069:DWW983400 EGS983069:EGS983400 EQO983069:EQO983400 FAK983069:FAK983400 FKG983069:FKG983400 FUC983069:FUC983400 GDY983069:GDY983400 GNU983069:GNU983400 GXQ983069:GXQ983400 HHM983069:HHM983400 HRI983069:HRI983400 IBE983069:IBE983400 ILA983069:ILA983400 IUW983069:IUW983400 JES983069:JES983400 JOO983069:JOO983400 JYK983069:JYK983400 KIG983069:KIG983400 KSC983069:KSC983400 LBY983069:LBY983400 LLU983069:LLU983400 LVQ983069:LVQ983400 MFM983069:MFM983400 MPI983069:MPI983400 MZE983069:MZE983400 NJA983069:NJA983400 NSW983069:NSW983400 OCS983069:OCS983400 OMO983069:OMO983400 OWK983069:OWK983400 PGG983069:PGG983400 PQC983069:PQC983400 PZY983069:PZY983400 QJU983069:QJU983400 QTQ983069:QTQ983400 RDM983069:RDM983400 RNI983069:RNI983400 RXE983069:RXE983400 SHA983069:SHA983400 SQW983069:SQW983400 TAS983069:TAS983400 TKO983069:TKO983400 TUK983069:TUK983400 UEG983069:UEG983400 UOC983069:UOC983400 UXY983069:UXY983400 VHU983069:VHU983400 VRQ983069:VRQ983400 WBM983069:WBM983400 WLI983069:WLI983400 WVE983069:WVE983400 N65540:N65562 JC65540:JC65562 SY65540:SY65562 ACU65540:ACU65562 AMQ65540:AMQ65562 AWM65540:AWM65562 BGI65540:BGI65562 BQE65540:BQE65562 CAA65540:CAA65562 CJW65540:CJW65562 CTS65540:CTS65562 DDO65540:DDO65562 DNK65540:DNK65562 DXG65540:DXG65562 EHC65540:EHC65562 EQY65540:EQY65562 FAU65540:FAU65562 FKQ65540:FKQ65562 FUM65540:FUM65562 GEI65540:GEI65562 GOE65540:GOE65562 GYA65540:GYA65562 HHW65540:HHW65562 HRS65540:HRS65562 IBO65540:IBO65562 ILK65540:ILK65562 IVG65540:IVG65562 JFC65540:JFC65562 JOY65540:JOY65562 JYU65540:JYU65562 KIQ65540:KIQ65562 KSM65540:KSM65562 LCI65540:LCI65562 LME65540:LME65562 LWA65540:LWA65562 MFW65540:MFW65562 MPS65540:MPS65562 MZO65540:MZO65562 NJK65540:NJK65562 NTG65540:NTG65562 ODC65540:ODC65562 OMY65540:OMY65562 OWU65540:OWU65562 PGQ65540:PGQ65562 PQM65540:PQM65562 QAI65540:QAI65562 QKE65540:QKE65562 QUA65540:QUA65562 RDW65540:RDW65562 RNS65540:RNS65562 RXO65540:RXO65562 SHK65540:SHK65562 SRG65540:SRG65562 TBC65540:TBC65562 TKY65540:TKY65562 TUU65540:TUU65562 UEQ65540:UEQ65562 UOM65540:UOM65562 UYI65540:UYI65562 VIE65540:VIE65562 VSA65540:VSA65562 WBW65540:WBW65562 WLS65540:WLS65562 WVO65540:WVO65562 N131076:N131098 JC131076:JC131098 SY131076:SY131098 ACU131076:ACU131098 AMQ131076:AMQ131098 AWM131076:AWM131098 BGI131076:BGI131098 BQE131076:BQE131098 CAA131076:CAA131098 CJW131076:CJW131098 CTS131076:CTS131098 DDO131076:DDO131098 DNK131076:DNK131098 DXG131076:DXG131098 EHC131076:EHC131098 EQY131076:EQY131098 FAU131076:FAU131098 FKQ131076:FKQ131098 FUM131076:FUM131098 GEI131076:GEI131098 GOE131076:GOE131098 GYA131076:GYA131098 HHW131076:HHW131098 HRS131076:HRS131098 IBO131076:IBO131098 ILK131076:ILK131098 IVG131076:IVG131098 JFC131076:JFC131098 JOY131076:JOY131098 JYU131076:JYU131098 KIQ131076:KIQ131098 KSM131076:KSM131098 LCI131076:LCI131098 LME131076:LME131098 LWA131076:LWA131098 MFW131076:MFW131098 MPS131076:MPS131098 MZO131076:MZO131098 NJK131076:NJK131098 NTG131076:NTG131098 ODC131076:ODC131098 OMY131076:OMY131098 OWU131076:OWU131098 PGQ131076:PGQ131098 PQM131076:PQM131098 QAI131076:QAI131098 QKE131076:QKE131098 QUA131076:QUA131098 RDW131076:RDW131098 RNS131076:RNS131098 RXO131076:RXO131098 SHK131076:SHK131098 SRG131076:SRG131098 TBC131076:TBC131098 TKY131076:TKY131098 TUU131076:TUU131098 UEQ131076:UEQ131098 UOM131076:UOM131098 UYI131076:UYI131098 VIE131076:VIE131098 VSA131076:VSA131098 WBW131076:WBW131098 WLS131076:WLS131098 WVO131076:WVO131098 N196612:N196634 JC196612:JC196634 SY196612:SY196634 ACU196612:ACU196634 AMQ196612:AMQ196634 AWM196612:AWM196634 BGI196612:BGI196634 BQE196612:BQE196634 CAA196612:CAA196634 CJW196612:CJW196634 CTS196612:CTS196634 DDO196612:DDO196634 DNK196612:DNK196634 DXG196612:DXG196634 EHC196612:EHC196634 EQY196612:EQY196634 FAU196612:FAU196634 FKQ196612:FKQ196634 FUM196612:FUM196634 GEI196612:GEI196634 GOE196612:GOE196634 GYA196612:GYA196634 HHW196612:HHW196634 HRS196612:HRS196634 IBO196612:IBO196634 ILK196612:ILK196634 IVG196612:IVG196634 JFC196612:JFC196634 JOY196612:JOY196634 JYU196612:JYU196634 KIQ196612:KIQ196634 KSM196612:KSM196634 LCI196612:LCI196634 LME196612:LME196634 LWA196612:LWA196634 MFW196612:MFW196634 MPS196612:MPS196634 MZO196612:MZO196634 NJK196612:NJK196634 NTG196612:NTG196634 ODC196612:ODC196634 OMY196612:OMY196634 OWU196612:OWU196634 PGQ196612:PGQ196634 PQM196612:PQM196634 QAI196612:QAI196634 QKE196612:QKE196634 QUA196612:QUA196634 RDW196612:RDW196634 RNS196612:RNS196634 RXO196612:RXO196634 SHK196612:SHK196634 SRG196612:SRG196634 TBC196612:TBC196634 TKY196612:TKY196634 TUU196612:TUU196634 UEQ196612:UEQ196634 UOM196612:UOM196634 UYI196612:UYI196634 VIE196612:VIE196634 VSA196612:VSA196634 WBW196612:WBW196634 WLS196612:WLS196634 WVO196612:WVO196634 N262148:N262170 JC262148:JC262170 SY262148:SY262170 ACU262148:ACU262170 AMQ262148:AMQ262170 AWM262148:AWM262170 BGI262148:BGI262170 BQE262148:BQE262170 CAA262148:CAA262170 CJW262148:CJW262170 CTS262148:CTS262170 DDO262148:DDO262170 DNK262148:DNK262170 DXG262148:DXG262170 EHC262148:EHC262170 EQY262148:EQY262170 FAU262148:FAU262170 FKQ262148:FKQ262170 FUM262148:FUM262170 GEI262148:GEI262170 GOE262148:GOE262170 GYA262148:GYA262170 HHW262148:HHW262170 HRS262148:HRS262170 IBO262148:IBO262170 ILK262148:ILK262170 IVG262148:IVG262170 JFC262148:JFC262170 JOY262148:JOY262170 JYU262148:JYU262170 KIQ262148:KIQ262170 KSM262148:KSM262170 LCI262148:LCI262170 LME262148:LME262170 LWA262148:LWA262170 MFW262148:MFW262170 MPS262148:MPS262170 MZO262148:MZO262170 NJK262148:NJK262170 NTG262148:NTG262170 ODC262148:ODC262170 OMY262148:OMY262170 OWU262148:OWU262170 PGQ262148:PGQ262170 PQM262148:PQM262170 QAI262148:QAI262170 QKE262148:QKE262170 QUA262148:QUA262170 RDW262148:RDW262170 RNS262148:RNS262170 RXO262148:RXO262170 SHK262148:SHK262170 SRG262148:SRG262170 TBC262148:TBC262170 TKY262148:TKY262170 TUU262148:TUU262170 UEQ262148:UEQ262170 UOM262148:UOM262170 UYI262148:UYI262170 VIE262148:VIE262170 VSA262148:VSA262170 WBW262148:WBW262170 WLS262148:WLS262170 WVO262148:WVO262170 N327684:N327706 JC327684:JC327706 SY327684:SY327706 ACU327684:ACU327706 AMQ327684:AMQ327706 AWM327684:AWM327706 BGI327684:BGI327706 BQE327684:BQE327706 CAA327684:CAA327706 CJW327684:CJW327706 CTS327684:CTS327706 DDO327684:DDO327706 DNK327684:DNK327706 DXG327684:DXG327706 EHC327684:EHC327706 EQY327684:EQY327706 FAU327684:FAU327706 FKQ327684:FKQ327706 FUM327684:FUM327706 GEI327684:GEI327706 GOE327684:GOE327706 GYA327684:GYA327706 HHW327684:HHW327706 HRS327684:HRS327706 IBO327684:IBO327706 ILK327684:ILK327706 IVG327684:IVG327706 JFC327684:JFC327706 JOY327684:JOY327706 JYU327684:JYU327706 KIQ327684:KIQ327706 KSM327684:KSM327706 LCI327684:LCI327706 LME327684:LME327706 LWA327684:LWA327706 MFW327684:MFW327706 MPS327684:MPS327706 MZO327684:MZO327706 NJK327684:NJK327706 NTG327684:NTG327706 ODC327684:ODC327706 OMY327684:OMY327706 OWU327684:OWU327706 PGQ327684:PGQ327706 PQM327684:PQM327706 QAI327684:QAI327706 QKE327684:QKE327706 QUA327684:QUA327706 RDW327684:RDW327706 RNS327684:RNS327706 RXO327684:RXO327706 SHK327684:SHK327706 SRG327684:SRG327706 TBC327684:TBC327706 TKY327684:TKY327706 TUU327684:TUU327706 UEQ327684:UEQ327706 UOM327684:UOM327706 UYI327684:UYI327706 VIE327684:VIE327706 VSA327684:VSA327706 WBW327684:WBW327706 WLS327684:WLS327706 WVO327684:WVO327706 N393220:N393242 JC393220:JC393242 SY393220:SY393242 ACU393220:ACU393242 AMQ393220:AMQ393242 AWM393220:AWM393242 BGI393220:BGI393242 BQE393220:BQE393242 CAA393220:CAA393242 CJW393220:CJW393242 CTS393220:CTS393242 DDO393220:DDO393242 DNK393220:DNK393242 DXG393220:DXG393242 EHC393220:EHC393242 EQY393220:EQY393242 FAU393220:FAU393242 FKQ393220:FKQ393242 FUM393220:FUM393242 GEI393220:GEI393242 GOE393220:GOE393242 GYA393220:GYA393242 HHW393220:HHW393242 HRS393220:HRS393242 IBO393220:IBO393242 ILK393220:ILK393242 IVG393220:IVG393242 JFC393220:JFC393242 JOY393220:JOY393242 JYU393220:JYU393242 KIQ393220:KIQ393242 KSM393220:KSM393242 LCI393220:LCI393242 LME393220:LME393242 LWA393220:LWA393242 MFW393220:MFW393242 MPS393220:MPS393242 MZO393220:MZO393242 NJK393220:NJK393242 NTG393220:NTG393242 ODC393220:ODC393242 OMY393220:OMY393242 OWU393220:OWU393242 PGQ393220:PGQ393242 PQM393220:PQM393242 QAI393220:QAI393242 QKE393220:QKE393242 QUA393220:QUA393242 RDW393220:RDW393242 RNS393220:RNS393242 RXO393220:RXO393242 SHK393220:SHK393242 SRG393220:SRG393242 TBC393220:TBC393242 TKY393220:TKY393242 TUU393220:TUU393242 UEQ393220:UEQ393242 UOM393220:UOM393242 UYI393220:UYI393242 VIE393220:VIE393242 VSA393220:VSA393242 WBW393220:WBW393242 WLS393220:WLS393242 WVO393220:WVO393242 N458756:N458778 JC458756:JC458778 SY458756:SY458778 ACU458756:ACU458778 AMQ458756:AMQ458778 AWM458756:AWM458778 BGI458756:BGI458778 BQE458756:BQE458778 CAA458756:CAA458778 CJW458756:CJW458778 CTS458756:CTS458778 DDO458756:DDO458778 DNK458756:DNK458778 DXG458756:DXG458778 EHC458756:EHC458778 EQY458756:EQY458778 FAU458756:FAU458778 FKQ458756:FKQ458778 FUM458756:FUM458778 GEI458756:GEI458778 GOE458756:GOE458778 GYA458756:GYA458778 HHW458756:HHW458778 HRS458756:HRS458778 IBO458756:IBO458778 ILK458756:ILK458778 IVG458756:IVG458778 JFC458756:JFC458778 JOY458756:JOY458778 JYU458756:JYU458778 KIQ458756:KIQ458778 KSM458756:KSM458778 LCI458756:LCI458778 LME458756:LME458778 LWA458756:LWA458778 MFW458756:MFW458778 MPS458756:MPS458778 MZO458756:MZO458778 NJK458756:NJK458778 NTG458756:NTG458778 ODC458756:ODC458778 OMY458756:OMY458778 OWU458756:OWU458778 PGQ458756:PGQ458778 PQM458756:PQM458778 QAI458756:QAI458778 QKE458756:QKE458778 QUA458756:QUA458778 RDW458756:RDW458778 RNS458756:RNS458778 RXO458756:RXO458778 SHK458756:SHK458778 SRG458756:SRG458778 TBC458756:TBC458778 TKY458756:TKY458778 TUU458756:TUU458778 UEQ458756:UEQ458778 UOM458756:UOM458778 UYI458756:UYI458778 VIE458756:VIE458778 VSA458756:VSA458778 WBW458756:WBW458778 WLS458756:WLS458778 WVO458756:WVO458778 N524292:N524314 JC524292:JC524314 SY524292:SY524314 ACU524292:ACU524314 AMQ524292:AMQ524314 AWM524292:AWM524314 BGI524292:BGI524314 BQE524292:BQE524314 CAA524292:CAA524314 CJW524292:CJW524314 CTS524292:CTS524314 DDO524292:DDO524314 DNK524292:DNK524314 DXG524292:DXG524314 EHC524292:EHC524314 EQY524292:EQY524314 FAU524292:FAU524314 FKQ524292:FKQ524314 FUM524292:FUM524314 GEI524292:GEI524314 GOE524292:GOE524314 GYA524292:GYA524314 HHW524292:HHW524314 HRS524292:HRS524314 IBO524292:IBO524314 ILK524292:ILK524314 IVG524292:IVG524314 JFC524292:JFC524314 JOY524292:JOY524314 JYU524292:JYU524314 KIQ524292:KIQ524314 KSM524292:KSM524314 LCI524292:LCI524314 LME524292:LME524314 LWA524292:LWA524314 MFW524292:MFW524314 MPS524292:MPS524314 MZO524292:MZO524314 NJK524292:NJK524314 NTG524292:NTG524314 ODC524292:ODC524314 OMY524292:OMY524314 OWU524292:OWU524314 PGQ524292:PGQ524314 PQM524292:PQM524314 QAI524292:QAI524314 QKE524292:QKE524314 QUA524292:QUA524314 RDW524292:RDW524314 RNS524292:RNS524314 RXO524292:RXO524314 SHK524292:SHK524314 SRG524292:SRG524314 TBC524292:TBC524314 TKY524292:TKY524314 TUU524292:TUU524314 UEQ524292:UEQ524314 UOM524292:UOM524314 UYI524292:UYI524314 VIE524292:VIE524314 VSA524292:VSA524314 WBW524292:WBW524314 WLS524292:WLS524314 WVO524292:WVO524314 N589828:N589850 JC589828:JC589850 SY589828:SY589850 ACU589828:ACU589850 AMQ589828:AMQ589850 AWM589828:AWM589850 BGI589828:BGI589850 BQE589828:BQE589850 CAA589828:CAA589850 CJW589828:CJW589850 CTS589828:CTS589850 DDO589828:DDO589850 DNK589828:DNK589850 DXG589828:DXG589850 EHC589828:EHC589850 EQY589828:EQY589850 FAU589828:FAU589850 FKQ589828:FKQ589850 FUM589828:FUM589850 GEI589828:GEI589850 GOE589828:GOE589850 GYA589828:GYA589850 HHW589828:HHW589850 HRS589828:HRS589850 IBO589828:IBO589850 ILK589828:ILK589850 IVG589828:IVG589850 JFC589828:JFC589850 JOY589828:JOY589850 JYU589828:JYU589850 KIQ589828:KIQ589850 KSM589828:KSM589850 LCI589828:LCI589850 LME589828:LME589850 LWA589828:LWA589850 MFW589828:MFW589850 MPS589828:MPS589850 MZO589828:MZO589850 NJK589828:NJK589850 NTG589828:NTG589850 ODC589828:ODC589850 OMY589828:OMY589850 OWU589828:OWU589850 PGQ589828:PGQ589850 PQM589828:PQM589850 QAI589828:QAI589850 QKE589828:QKE589850 QUA589828:QUA589850 RDW589828:RDW589850 RNS589828:RNS589850 RXO589828:RXO589850 SHK589828:SHK589850 SRG589828:SRG589850 TBC589828:TBC589850 TKY589828:TKY589850 TUU589828:TUU589850 UEQ589828:UEQ589850 UOM589828:UOM589850 UYI589828:UYI589850 VIE589828:VIE589850 VSA589828:VSA589850 WBW589828:WBW589850 WLS589828:WLS589850 WVO589828:WVO589850 N655364:N655386 JC655364:JC655386 SY655364:SY655386 ACU655364:ACU655386 AMQ655364:AMQ655386 AWM655364:AWM655386 BGI655364:BGI655386 BQE655364:BQE655386 CAA655364:CAA655386 CJW655364:CJW655386 CTS655364:CTS655386 DDO655364:DDO655386 DNK655364:DNK655386 DXG655364:DXG655386 EHC655364:EHC655386 EQY655364:EQY655386 FAU655364:FAU655386 FKQ655364:FKQ655386 FUM655364:FUM655386 GEI655364:GEI655386 GOE655364:GOE655386 GYA655364:GYA655386 HHW655364:HHW655386 HRS655364:HRS655386 IBO655364:IBO655386 ILK655364:ILK655386 IVG655364:IVG655386 JFC655364:JFC655386 JOY655364:JOY655386 JYU655364:JYU655386 KIQ655364:KIQ655386 KSM655364:KSM655386 LCI655364:LCI655386 LME655364:LME655386 LWA655364:LWA655386 MFW655364:MFW655386 MPS655364:MPS655386 MZO655364:MZO655386 NJK655364:NJK655386 NTG655364:NTG655386 ODC655364:ODC655386 OMY655364:OMY655386 OWU655364:OWU655386 PGQ655364:PGQ655386 PQM655364:PQM655386 QAI655364:QAI655386 QKE655364:QKE655386 QUA655364:QUA655386 RDW655364:RDW655386 RNS655364:RNS655386 RXO655364:RXO655386 SHK655364:SHK655386 SRG655364:SRG655386 TBC655364:TBC655386 TKY655364:TKY655386 TUU655364:TUU655386 UEQ655364:UEQ655386 UOM655364:UOM655386 UYI655364:UYI655386 VIE655364:VIE655386 VSA655364:VSA655386 WBW655364:WBW655386 WLS655364:WLS655386 WVO655364:WVO655386 N720900:N720922 JC720900:JC720922 SY720900:SY720922 ACU720900:ACU720922 AMQ720900:AMQ720922 AWM720900:AWM720922 BGI720900:BGI720922 BQE720900:BQE720922 CAA720900:CAA720922 CJW720900:CJW720922 CTS720900:CTS720922 DDO720900:DDO720922 DNK720900:DNK720922 DXG720900:DXG720922 EHC720900:EHC720922 EQY720900:EQY720922 FAU720900:FAU720922 FKQ720900:FKQ720922 FUM720900:FUM720922 GEI720900:GEI720922 GOE720900:GOE720922 GYA720900:GYA720922 HHW720900:HHW720922 HRS720900:HRS720922 IBO720900:IBO720922 ILK720900:ILK720922 IVG720900:IVG720922 JFC720900:JFC720922 JOY720900:JOY720922 JYU720900:JYU720922 KIQ720900:KIQ720922 KSM720900:KSM720922 LCI720900:LCI720922 LME720900:LME720922 LWA720900:LWA720922 MFW720900:MFW720922 MPS720900:MPS720922 MZO720900:MZO720922 NJK720900:NJK720922 NTG720900:NTG720922 ODC720900:ODC720922 OMY720900:OMY720922 OWU720900:OWU720922 PGQ720900:PGQ720922 PQM720900:PQM720922 QAI720900:QAI720922 QKE720900:QKE720922 QUA720900:QUA720922 RDW720900:RDW720922 RNS720900:RNS720922 RXO720900:RXO720922 SHK720900:SHK720922 SRG720900:SRG720922 TBC720900:TBC720922 TKY720900:TKY720922 TUU720900:TUU720922 UEQ720900:UEQ720922 UOM720900:UOM720922 UYI720900:UYI720922 VIE720900:VIE720922 VSA720900:VSA720922 WBW720900:WBW720922 WLS720900:WLS720922 WVO720900:WVO720922 N786436:N786458 JC786436:JC786458 SY786436:SY786458 ACU786436:ACU786458 AMQ786436:AMQ786458 AWM786436:AWM786458 BGI786436:BGI786458 BQE786436:BQE786458 CAA786436:CAA786458 CJW786436:CJW786458 CTS786436:CTS786458 DDO786436:DDO786458 DNK786436:DNK786458 DXG786436:DXG786458 EHC786436:EHC786458 EQY786436:EQY786458 FAU786436:FAU786458 FKQ786436:FKQ786458 FUM786436:FUM786458 GEI786436:GEI786458 GOE786436:GOE786458 GYA786436:GYA786458 HHW786436:HHW786458 HRS786436:HRS786458 IBO786436:IBO786458 ILK786436:ILK786458 IVG786436:IVG786458 JFC786436:JFC786458 JOY786436:JOY786458 JYU786436:JYU786458 KIQ786436:KIQ786458 KSM786436:KSM786458 LCI786436:LCI786458 LME786436:LME786458 LWA786436:LWA786458 MFW786436:MFW786458 MPS786436:MPS786458 MZO786436:MZO786458 NJK786436:NJK786458 NTG786436:NTG786458 ODC786436:ODC786458 OMY786436:OMY786458 OWU786436:OWU786458 PGQ786436:PGQ786458 PQM786436:PQM786458 QAI786436:QAI786458 QKE786436:QKE786458 QUA786436:QUA786458 RDW786436:RDW786458 RNS786436:RNS786458 RXO786436:RXO786458 SHK786436:SHK786458 SRG786436:SRG786458 TBC786436:TBC786458 TKY786436:TKY786458 TUU786436:TUU786458 UEQ786436:UEQ786458 UOM786436:UOM786458 UYI786436:UYI786458 VIE786436:VIE786458 VSA786436:VSA786458 WBW786436:WBW786458 WLS786436:WLS786458 WVO786436:WVO786458 N851972:N851994 JC851972:JC851994 SY851972:SY851994 ACU851972:ACU851994 AMQ851972:AMQ851994 AWM851972:AWM851994 BGI851972:BGI851994 BQE851972:BQE851994 CAA851972:CAA851994 CJW851972:CJW851994 CTS851972:CTS851994 DDO851972:DDO851994 DNK851972:DNK851994 DXG851972:DXG851994 EHC851972:EHC851994 EQY851972:EQY851994 FAU851972:FAU851994 FKQ851972:FKQ851994 FUM851972:FUM851994 GEI851972:GEI851994 GOE851972:GOE851994 GYA851972:GYA851994 HHW851972:HHW851994 HRS851972:HRS851994 IBO851972:IBO851994 ILK851972:ILK851994 IVG851972:IVG851994 JFC851972:JFC851994 JOY851972:JOY851994 JYU851972:JYU851994 KIQ851972:KIQ851994 KSM851972:KSM851994 LCI851972:LCI851994 LME851972:LME851994 LWA851972:LWA851994 MFW851972:MFW851994 MPS851972:MPS851994 MZO851972:MZO851994 NJK851972:NJK851994 NTG851972:NTG851994 ODC851972:ODC851994 OMY851972:OMY851994 OWU851972:OWU851994 PGQ851972:PGQ851994 PQM851972:PQM851994 QAI851972:QAI851994 QKE851972:QKE851994 QUA851972:QUA851994 RDW851972:RDW851994 RNS851972:RNS851994 RXO851972:RXO851994 SHK851972:SHK851994 SRG851972:SRG851994 TBC851972:TBC851994 TKY851972:TKY851994 TUU851972:TUU851994 UEQ851972:UEQ851994 UOM851972:UOM851994 UYI851972:UYI851994 VIE851972:VIE851994 VSA851972:VSA851994 WBW851972:WBW851994 WLS851972:WLS851994 WVO851972:WVO851994 N917508:N917530 JC917508:JC917530 SY917508:SY917530 ACU917508:ACU917530 AMQ917508:AMQ917530 AWM917508:AWM917530 BGI917508:BGI917530 BQE917508:BQE917530 CAA917508:CAA917530 CJW917508:CJW917530 CTS917508:CTS917530 DDO917508:DDO917530 DNK917508:DNK917530 DXG917508:DXG917530 EHC917508:EHC917530 EQY917508:EQY917530 FAU917508:FAU917530 FKQ917508:FKQ917530 FUM917508:FUM917530 GEI917508:GEI917530 GOE917508:GOE917530 GYA917508:GYA917530 HHW917508:HHW917530 HRS917508:HRS917530 IBO917508:IBO917530 ILK917508:ILK917530 IVG917508:IVG917530 JFC917508:JFC917530 JOY917508:JOY917530 JYU917508:JYU917530 KIQ917508:KIQ917530 KSM917508:KSM917530 LCI917508:LCI917530 LME917508:LME917530 LWA917508:LWA917530 MFW917508:MFW917530 MPS917508:MPS917530 MZO917508:MZO917530 NJK917508:NJK917530 NTG917508:NTG917530 ODC917508:ODC917530 OMY917508:OMY917530 OWU917508:OWU917530 PGQ917508:PGQ917530 PQM917508:PQM917530 QAI917508:QAI917530 QKE917508:QKE917530 QUA917508:QUA917530 RDW917508:RDW917530 RNS917508:RNS917530 RXO917508:RXO917530 SHK917508:SHK917530 SRG917508:SRG917530 TBC917508:TBC917530 TKY917508:TKY917530 TUU917508:TUU917530 UEQ917508:UEQ917530 UOM917508:UOM917530 UYI917508:UYI917530 VIE917508:VIE917530 VSA917508:VSA917530 WBW917508:WBW917530 WLS917508:WLS917530 WVO917508:WVO917530 N983044:N983066 JC983044:JC983066 SY983044:SY983066 ACU983044:ACU983066 AMQ983044:AMQ983066 AWM983044:AWM983066 BGI983044:BGI983066 BQE983044:BQE983066 CAA983044:CAA983066 CJW983044:CJW983066 CTS983044:CTS983066 DDO983044:DDO983066 DNK983044:DNK983066 DXG983044:DXG983066 EHC983044:EHC983066 EQY983044:EQY983066 FAU983044:FAU983066 FKQ983044:FKQ983066 FUM983044:FUM983066 GEI983044:GEI983066 GOE983044:GOE983066 GYA983044:GYA983066 HHW983044:HHW983066 HRS983044:HRS983066 IBO983044:IBO983066 ILK983044:ILK983066 IVG983044:IVG983066 JFC983044:JFC983066 JOY983044:JOY983066 JYU983044:JYU983066 KIQ983044:KIQ983066 KSM983044:KSM983066 LCI983044:LCI983066 LME983044:LME983066 LWA983044:LWA983066 MFW983044:MFW983066 MPS983044:MPS983066 MZO983044:MZO983066 NJK983044:NJK983066 NTG983044:NTG983066 ODC983044:ODC983066 OMY983044:OMY983066 OWU983044:OWU983066 PGQ983044:PGQ983066 PQM983044:PQM983066 QAI983044:QAI983066 QKE983044:QKE983066 QUA983044:QUA983066 RDW983044:RDW983066 RNS983044:RNS983066 RXO983044:RXO983066 SHK983044:SHK983066 SRG983044:SRG983066 TBC983044:TBC983066 TKY983044:TKY983066 TUU983044:TUU983066 UEQ983044:UEQ983066 UOM983044:UOM983066 UYI983044:UYI983066 VIE983044:VIE983066 VSA983044:VSA983066 WBW983044:WBW983066 WLS983044:WLS983066 WVO983044:WVO983066">
      <formula1>#REF!</formula1>
    </dataValidation>
    <dataValidation type="list" allowBlank="1" showInputMessage="1" showErrorMessage="1" sqref="N4:O26">
      <formula1>YesNo</formula1>
    </dataValidation>
    <dataValidation type="list" allowBlank="1" showInputMessage="1" showErrorMessage="1" sqref="D29:D360">
      <formula1>SpaceType</formula1>
    </dataValidation>
  </dataValidations>
  <printOptions gridLines="1"/>
  <pageMargins left="0.25" right="0.25" top="0.57999999999999996" bottom="1" header="0.5" footer="0.5"/>
  <pageSetup orientation="portrait" r:id="rId1"/>
  <headerFooter alignWithMargins="0"/>
  <legacyDrawing r:id="rId2"/>
</worksheet>
</file>

<file path=xl/worksheets/sheet15.xml><?xml version="1.0" encoding="utf-8"?>
<worksheet xmlns="http://schemas.openxmlformats.org/spreadsheetml/2006/main" xmlns:r="http://schemas.openxmlformats.org/officeDocument/2006/relationships">
  <sheetPr codeName="Sheet9" enableFormatConditionsCalculation="0">
    <tabColor theme="6" tint="0.39997558519241921"/>
  </sheetPr>
  <dimension ref="A1:O35"/>
  <sheetViews>
    <sheetView showGridLines="0" workbookViewId="0">
      <selection activeCell="D29" sqref="D29"/>
    </sheetView>
  </sheetViews>
  <sheetFormatPr defaultRowHeight="12"/>
  <cols>
    <col min="1" max="1" width="2.5703125" style="429" customWidth="1"/>
    <col min="2" max="2" width="29.42578125" style="429" customWidth="1"/>
    <col min="3" max="4" width="9.140625" style="429"/>
    <col min="5" max="5" width="10.85546875" style="429" customWidth="1"/>
    <col min="6" max="6" width="10.5703125" style="429" customWidth="1"/>
    <col min="7" max="7" width="39.85546875" style="429" customWidth="1"/>
    <col min="8" max="8" width="6.85546875" style="429" customWidth="1"/>
    <col min="9" max="13" width="9.140625" style="429"/>
    <col min="14" max="14" width="5.28515625" style="429" customWidth="1"/>
    <col min="15" max="15" width="5.7109375" style="429" customWidth="1"/>
    <col min="16" max="16384" width="9.140625" style="429"/>
  </cols>
  <sheetData>
    <row r="1" spans="1:13" ht="18.75">
      <c r="B1" s="452" t="s">
        <v>2997</v>
      </c>
    </row>
    <row r="3" spans="1:13" ht="18" customHeight="1">
      <c r="B3" s="393" t="s">
        <v>1046</v>
      </c>
    </row>
    <row r="4" spans="1:13">
      <c r="A4" s="429">
        <v>1</v>
      </c>
      <c r="B4" s="540" t="s">
        <v>126</v>
      </c>
      <c r="C4" s="540"/>
      <c r="D4" s="540"/>
      <c r="E4" s="540"/>
      <c r="F4" s="540"/>
      <c r="G4" s="447"/>
      <c r="H4" s="447"/>
      <c r="I4" s="447"/>
      <c r="J4" s="447"/>
      <c r="K4" s="447"/>
      <c r="L4" s="447"/>
      <c r="M4" s="447"/>
    </row>
    <row r="5" spans="1:13">
      <c r="A5" s="429">
        <v>2</v>
      </c>
      <c r="B5" s="541" t="s">
        <v>2683</v>
      </c>
      <c r="C5" s="541"/>
      <c r="D5" s="541"/>
      <c r="E5" s="541"/>
      <c r="F5" s="541"/>
      <c r="G5" s="447"/>
      <c r="H5" s="447"/>
      <c r="I5" s="447"/>
      <c r="J5" s="447"/>
      <c r="K5" s="447"/>
      <c r="L5" s="447"/>
      <c r="M5" s="447"/>
    </row>
    <row r="6" spans="1:13">
      <c r="A6" s="429">
        <v>3</v>
      </c>
      <c r="B6" s="429" t="s">
        <v>2663</v>
      </c>
      <c r="C6" s="447"/>
      <c r="D6" s="447"/>
      <c r="E6" s="447"/>
      <c r="F6" s="447"/>
      <c r="G6" s="447"/>
      <c r="H6" s="447"/>
      <c r="I6" s="447"/>
      <c r="J6" s="447"/>
      <c r="K6" s="447"/>
      <c r="L6" s="447"/>
      <c r="M6" s="447"/>
    </row>
    <row r="7" spans="1:13">
      <c r="A7" s="429">
        <v>4</v>
      </c>
      <c r="B7" s="429" t="s">
        <v>127</v>
      </c>
    </row>
    <row r="9" spans="1:13">
      <c r="B9" s="393" t="s">
        <v>788</v>
      </c>
    </row>
    <row r="11" spans="1:13" ht="36">
      <c r="B11" s="719" t="s">
        <v>128</v>
      </c>
      <c r="C11" s="635" t="s">
        <v>129</v>
      </c>
      <c r="D11" s="635" t="s">
        <v>130</v>
      </c>
      <c r="E11" s="635" t="s">
        <v>2681</v>
      </c>
      <c r="F11" s="635" t="s">
        <v>2803</v>
      </c>
      <c r="G11" s="635" t="s">
        <v>2783</v>
      </c>
    </row>
    <row r="12" spans="1:13">
      <c r="B12" s="719"/>
      <c r="C12" s="635" t="s">
        <v>131</v>
      </c>
      <c r="D12" s="635" t="s">
        <v>883</v>
      </c>
      <c r="E12" s="635" t="s">
        <v>884</v>
      </c>
      <c r="F12" s="635" t="s">
        <v>884</v>
      </c>
      <c r="G12" s="635"/>
    </row>
    <row r="13" spans="1:13">
      <c r="B13" s="437" t="s">
        <v>885</v>
      </c>
      <c r="C13" s="499">
        <v>0.15</v>
      </c>
      <c r="D13" s="641"/>
      <c r="E13" s="474">
        <f>D13*C13</f>
        <v>0</v>
      </c>
      <c r="F13" s="641"/>
      <c r="G13" s="642"/>
    </row>
    <row r="14" spans="1:13">
      <c r="B14" s="437" t="s">
        <v>886</v>
      </c>
      <c r="C14" s="499">
        <v>0.2</v>
      </c>
      <c r="D14" s="641"/>
      <c r="E14" s="474">
        <f>D14*C14</f>
        <v>0</v>
      </c>
      <c r="F14" s="641"/>
      <c r="G14" s="642"/>
    </row>
    <row r="15" spans="1:13">
      <c r="B15" s="437" t="s">
        <v>887</v>
      </c>
      <c r="C15" s="499">
        <v>1</v>
      </c>
      <c r="D15" s="641"/>
      <c r="E15" s="474">
        <f>D15*C15</f>
        <v>0</v>
      </c>
      <c r="F15" s="641"/>
      <c r="G15" s="642"/>
    </row>
    <row r="16" spans="1:13">
      <c r="B16" s="437" t="s">
        <v>888</v>
      </c>
      <c r="C16" s="499">
        <v>1.25</v>
      </c>
      <c r="D16" s="641"/>
      <c r="E16" s="474">
        <f>D16*C16</f>
        <v>0</v>
      </c>
      <c r="F16" s="641"/>
      <c r="G16" s="642"/>
    </row>
    <row r="17" spans="2:15">
      <c r="B17" s="437" t="s">
        <v>889</v>
      </c>
      <c r="C17" s="499">
        <v>0.2</v>
      </c>
      <c r="D17" s="641"/>
      <c r="E17" s="474">
        <f>D17*C17</f>
        <v>0</v>
      </c>
      <c r="F17" s="641"/>
      <c r="G17" s="642"/>
      <c r="I17" s="536"/>
    </row>
    <row r="18" spans="2:15">
      <c r="B18" s="447"/>
      <c r="C18" s="447"/>
      <c r="D18" s="473"/>
      <c r="E18" s="473"/>
      <c r="I18" s="536"/>
    </row>
    <row r="19" spans="2:15" ht="36">
      <c r="B19" s="644" t="s">
        <v>128</v>
      </c>
      <c r="C19" s="635" t="s">
        <v>890</v>
      </c>
      <c r="D19" s="635" t="s">
        <v>891</v>
      </c>
      <c r="E19" s="635" t="s">
        <v>2681</v>
      </c>
      <c r="F19" s="635" t="s">
        <v>2803</v>
      </c>
      <c r="G19" s="635" t="s">
        <v>2783</v>
      </c>
    </row>
    <row r="20" spans="2:15" ht="26.25" customHeight="1">
      <c r="B20" s="636"/>
      <c r="C20" s="635" t="s">
        <v>892</v>
      </c>
      <c r="D20" s="635" t="s">
        <v>893</v>
      </c>
      <c r="E20" s="635" t="s">
        <v>884</v>
      </c>
      <c r="F20" s="635" t="s">
        <v>884</v>
      </c>
      <c r="G20" s="635"/>
    </row>
    <row r="21" spans="2:15">
      <c r="B21" s="437" t="s">
        <v>894</v>
      </c>
      <c r="C21" s="499">
        <v>1</v>
      </c>
      <c r="D21" s="641"/>
      <c r="E21" s="474">
        <f>D21*C21</f>
        <v>0</v>
      </c>
      <c r="F21" s="641"/>
      <c r="G21" s="642"/>
    </row>
    <row r="22" spans="2:15">
      <c r="B22" s="437" t="s">
        <v>897</v>
      </c>
      <c r="C22" s="499">
        <v>30</v>
      </c>
      <c r="D22" s="641"/>
      <c r="E22" s="474">
        <f>D22*C22</f>
        <v>0</v>
      </c>
      <c r="F22" s="641"/>
      <c r="G22" s="642"/>
    </row>
    <row r="23" spans="2:15">
      <c r="B23" s="437" t="s">
        <v>898</v>
      </c>
      <c r="C23" s="499">
        <v>20</v>
      </c>
      <c r="D23" s="641"/>
      <c r="E23" s="474">
        <f>D23*C23</f>
        <v>0</v>
      </c>
      <c r="F23" s="641"/>
      <c r="G23" s="642"/>
    </row>
    <row r="24" spans="2:15">
      <c r="B24" s="437" t="s">
        <v>899</v>
      </c>
      <c r="C24" s="499">
        <v>5</v>
      </c>
      <c r="D24" s="641"/>
      <c r="E24" s="474">
        <f>D24*C24</f>
        <v>0</v>
      </c>
    </row>
    <row r="25" spans="2:15">
      <c r="C25" s="588"/>
    </row>
    <row r="26" spans="2:15">
      <c r="B26" s="393" t="s">
        <v>2682</v>
      </c>
    </row>
    <row r="27" spans="2:15">
      <c r="B27" s="637"/>
      <c r="C27" s="450" t="s">
        <v>999</v>
      </c>
      <c r="D27" s="429" t="s">
        <v>1000</v>
      </c>
    </row>
    <row r="28" spans="2:15">
      <c r="B28" s="437" t="s">
        <v>137</v>
      </c>
      <c r="C28" s="638">
        <f>1.05*(SUM(E13:E16)+SUM(E21:E23))</f>
        <v>0</v>
      </c>
      <c r="D28" s="433">
        <f>SUM(F13:F16)+SUM(F21:F23)</f>
        <v>0</v>
      </c>
      <c r="E28" s="429" t="s">
        <v>2680</v>
      </c>
    </row>
    <row r="29" spans="2:15">
      <c r="B29" s="437" t="s">
        <v>138</v>
      </c>
      <c r="C29" s="638">
        <f>1.05*MAX(E17,E24)</f>
        <v>0</v>
      </c>
      <c r="D29" s="433">
        <f>IF(F17&gt;C29, F17, C29)</f>
        <v>0</v>
      </c>
      <c r="E29" s="429" t="s">
        <v>2680</v>
      </c>
      <c r="H29" s="465"/>
      <c r="O29" s="639"/>
    </row>
    <row r="30" spans="2:15">
      <c r="C30" s="643">
        <f>SUM(C28:C29)</f>
        <v>0</v>
      </c>
      <c r="D30" s="643">
        <f>SUM(D28:D29)</f>
        <v>0</v>
      </c>
      <c r="E30" s="429" t="s">
        <v>2680</v>
      </c>
    </row>
    <row r="31" spans="2:15">
      <c r="B31" s="640" t="s">
        <v>139</v>
      </c>
    </row>
    <row r="32" spans="2:15">
      <c r="B32" s="429" t="s">
        <v>140</v>
      </c>
    </row>
    <row r="33" spans="2:2">
      <c r="B33" s="429" t="s">
        <v>141</v>
      </c>
    </row>
    <row r="34" spans="2:2">
      <c r="B34" s="429" t="s">
        <v>2261</v>
      </c>
    </row>
    <row r="35" spans="2:2">
      <c r="B35" s="429" t="s">
        <v>2262</v>
      </c>
    </row>
  </sheetData>
  <mergeCells count="1">
    <mergeCell ref="B11:B12"/>
  </mergeCells>
  <phoneticPr fontId="29" type="noConversion"/>
  <pageMargins left="0.75" right="0.75" top="1" bottom="1" header="0.5" footer="0.5"/>
  <pageSetup orientation="portrait" horizontalDpi="4294967293" r:id="rId1"/>
  <headerFooter alignWithMargins="0">
    <oddHeader>&amp;REMP Simulation Spreadsheet
October 5, 2005</oddHeader>
    <oddFooter>&amp;CTaitem Engineering
Page &amp;P of &amp;N</oddFooter>
  </headerFooter>
</worksheet>
</file>

<file path=xl/worksheets/sheet16.xml><?xml version="1.0" encoding="utf-8"?>
<worksheet xmlns="http://schemas.openxmlformats.org/spreadsheetml/2006/main" xmlns:r="http://schemas.openxmlformats.org/officeDocument/2006/relationships">
  <sheetPr codeName="Sheet10" enableFormatConditionsCalculation="0">
    <tabColor theme="6" tint="0.39997558519241921"/>
  </sheetPr>
  <dimension ref="A1:N75"/>
  <sheetViews>
    <sheetView showGridLines="0" workbookViewId="0">
      <selection activeCell="A12" sqref="A12"/>
    </sheetView>
  </sheetViews>
  <sheetFormatPr defaultRowHeight="12"/>
  <cols>
    <col min="1" max="1" width="2" style="429" bestFit="1" customWidth="1"/>
    <col min="2" max="2" width="18.7109375" style="429" customWidth="1"/>
    <col min="3" max="3" width="8.28515625" style="429" customWidth="1"/>
    <col min="4" max="4" width="11.140625" style="429" customWidth="1"/>
    <col min="5" max="5" width="12.140625" style="429" customWidth="1"/>
    <col min="6" max="6" width="24.5703125" style="429" customWidth="1"/>
    <col min="7" max="10" width="9.140625" style="429"/>
    <col min="11" max="11" width="15" style="429" customWidth="1"/>
    <col min="12" max="12" width="9.140625" style="429"/>
    <col min="13" max="13" width="11.140625" style="429" customWidth="1"/>
    <col min="14" max="16384" width="9.140625" style="429"/>
  </cols>
  <sheetData>
    <row r="1" spans="1:14" ht="18.75">
      <c r="B1" s="452" t="s">
        <v>2994</v>
      </c>
    </row>
    <row r="3" spans="1:14">
      <c r="B3" s="393" t="s">
        <v>1046</v>
      </c>
    </row>
    <row r="4" spans="1:14" ht="12.75" customHeight="1">
      <c r="A4" s="571">
        <v>1</v>
      </c>
      <c r="B4" s="578" t="s">
        <v>2995</v>
      </c>
      <c r="C4" s="578"/>
      <c r="D4" s="578"/>
      <c r="E4" s="578"/>
      <c r="F4" s="578"/>
      <c r="G4" s="578"/>
      <c r="H4" s="578"/>
      <c r="I4" s="578"/>
      <c r="J4" s="578"/>
      <c r="K4" s="578"/>
      <c r="L4" s="485"/>
    </row>
    <row r="5" spans="1:14" ht="26.25" customHeight="1">
      <c r="A5" s="571">
        <v>2</v>
      </c>
      <c r="B5" s="720" t="s">
        <v>2851</v>
      </c>
      <c r="C5" s="720"/>
      <c r="D5" s="720"/>
      <c r="E5" s="720"/>
      <c r="F5" s="720"/>
      <c r="G5" s="720"/>
      <c r="H5" s="720"/>
      <c r="I5" s="720"/>
      <c r="J5" s="720"/>
      <c r="K5" s="720"/>
      <c r="L5" s="720"/>
    </row>
    <row r="6" spans="1:14">
      <c r="A6" s="571">
        <v>3</v>
      </c>
      <c r="B6" s="536" t="s">
        <v>3018</v>
      </c>
      <c r="C6" s="536"/>
      <c r="D6" s="536"/>
      <c r="E6" s="536"/>
      <c r="F6" s="536"/>
      <c r="G6" s="536"/>
      <c r="H6" s="536"/>
      <c r="I6" s="536"/>
      <c r="J6" s="536"/>
      <c r="K6" s="536"/>
      <c r="L6" s="536"/>
    </row>
    <row r="7" spans="1:14" s="447" customFormat="1" ht="45" customHeight="1">
      <c r="A7" s="572">
        <v>4</v>
      </c>
      <c r="B7" s="721" t="s">
        <v>2678</v>
      </c>
      <c r="C7" s="721"/>
      <c r="D7" s="721"/>
      <c r="E7" s="721"/>
      <c r="F7" s="721"/>
      <c r="G7" s="721"/>
      <c r="H7" s="721"/>
      <c r="I7" s="721"/>
      <c r="J7" s="721"/>
      <c r="K7" s="721"/>
      <c r="L7" s="721"/>
    </row>
    <row r="8" spans="1:14">
      <c r="A8" s="571">
        <v>5</v>
      </c>
      <c r="B8" s="601" t="s">
        <v>142</v>
      </c>
      <c r="C8" s="601"/>
      <c r="D8" s="601"/>
      <c r="E8" s="602"/>
      <c r="F8" s="580"/>
      <c r="G8" s="580"/>
      <c r="H8" s="536"/>
      <c r="I8" s="536"/>
      <c r="J8" s="536"/>
      <c r="K8" s="536"/>
    </row>
    <row r="9" spans="1:14">
      <c r="A9" s="571">
        <v>6</v>
      </c>
      <c r="B9" s="580" t="s">
        <v>659</v>
      </c>
      <c r="C9" s="580"/>
      <c r="D9" s="580"/>
      <c r="E9" s="580"/>
      <c r="F9" s="580"/>
      <c r="G9" s="580"/>
      <c r="H9" s="580"/>
      <c r="I9" s="580"/>
      <c r="J9" s="580"/>
      <c r="K9" s="580"/>
      <c r="L9" s="447"/>
    </row>
    <row r="10" spans="1:14">
      <c r="A10" s="571">
        <v>7</v>
      </c>
      <c r="B10" s="581" t="s">
        <v>2660</v>
      </c>
      <c r="C10" s="581"/>
      <c r="D10" s="581"/>
      <c r="E10" s="581"/>
      <c r="F10" s="581"/>
      <c r="G10" s="581"/>
      <c r="H10" s="581"/>
      <c r="I10" s="581"/>
      <c r="J10" s="602"/>
      <c r="K10" s="602"/>
    </row>
    <row r="11" spans="1:14">
      <c r="A11" s="571">
        <v>8</v>
      </c>
      <c r="B11" s="604" t="s">
        <v>3023</v>
      </c>
      <c r="C11" s="604"/>
      <c r="D11" s="604"/>
      <c r="E11" s="604"/>
      <c r="F11" s="604"/>
      <c r="G11" s="604"/>
      <c r="H11" s="604"/>
      <c r="I11" s="604"/>
      <c r="J11" s="604"/>
      <c r="K11" s="604"/>
      <c r="L11" s="603"/>
    </row>
    <row r="12" spans="1:14">
      <c r="A12" s="571"/>
      <c r="B12" s="604" t="s">
        <v>3022</v>
      </c>
      <c r="C12" s="604"/>
      <c r="D12" s="604"/>
      <c r="E12" s="604"/>
      <c r="F12" s="604"/>
      <c r="G12" s="604"/>
      <c r="H12" s="604"/>
      <c r="I12" s="604"/>
      <c r="J12" s="604"/>
      <c r="K12" s="604"/>
      <c r="L12" s="603"/>
    </row>
    <row r="13" spans="1:14">
      <c r="B13" s="447"/>
      <c r="C13" s="447"/>
      <c r="D13" s="447"/>
      <c r="E13" s="447"/>
      <c r="F13" s="447"/>
      <c r="G13" s="447"/>
    </row>
    <row r="14" spans="1:14">
      <c r="B14" s="582" t="s">
        <v>1229</v>
      </c>
    </row>
    <row r="15" spans="1:14" ht="48">
      <c r="B15" s="597" t="s">
        <v>2837</v>
      </c>
      <c r="C15" s="597" t="s">
        <v>1230</v>
      </c>
      <c r="D15" s="597" t="s">
        <v>2749</v>
      </c>
      <c r="E15" s="597" t="s">
        <v>3016</v>
      </c>
      <c r="F15" s="597" t="s">
        <v>2852</v>
      </c>
      <c r="G15" s="597" t="s">
        <v>2853</v>
      </c>
      <c r="H15" s="597" t="s">
        <v>1231</v>
      </c>
      <c r="I15" s="597" t="s">
        <v>1232</v>
      </c>
      <c r="J15" s="597" t="s">
        <v>2854</v>
      </c>
      <c r="K15" s="597" t="s">
        <v>2855</v>
      </c>
      <c r="L15" s="583"/>
      <c r="N15" s="587"/>
    </row>
    <row r="16" spans="1:14">
      <c r="B16" s="595"/>
      <c r="C16" s="596"/>
      <c r="D16" s="596"/>
      <c r="E16" s="596"/>
      <c r="F16" s="527">
        <f>IF(E16="",0, LOOKUP('In-Unit Lighting'!E16,'Interior Lighting'!$I$4:$I$26,'Interior Lighting'!$K$4:$K$26))</f>
        <v>0</v>
      </c>
      <c r="G16" s="527">
        <f>IF(E16="",0, LOOKUP('In-Unit Lighting'!E16,'Interior Lighting'!$I$4:$I$26,'Interior Lighting'!$L$4:$L$26))</f>
        <v>0</v>
      </c>
      <c r="H16" s="596"/>
      <c r="I16" s="584">
        <f>C16*H16</f>
        <v>0</v>
      </c>
      <c r="J16" s="584">
        <f>D16*F16*H16</f>
        <v>0</v>
      </c>
      <c r="K16" s="585" t="str">
        <f>IF(G16&gt;0, D16*G16/C16, "0.0")</f>
        <v>0.0</v>
      </c>
      <c r="L16" s="586"/>
      <c r="N16" s="587"/>
    </row>
    <row r="17" spans="2:14">
      <c r="B17" s="595"/>
      <c r="C17" s="596"/>
      <c r="D17" s="596"/>
      <c r="E17" s="596"/>
      <c r="F17" s="527">
        <f>IF(E17="",0, LOOKUP('In-Unit Lighting'!E17,'Interior Lighting'!$I$4:$I$26,'Interior Lighting'!$K$4:$K$26))</f>
        <v>0</v>
      </c>
      <c r="G17" s="527">
        <f>IF(E17="",0, LOOKUP('In-Unit Lighting'!E17,'Interior Lighting'!$I$4:$I$26,'Interior Lighting'!$L$4:$L$26))</f>
        <v>0</v>
      </c>
      <c r="H17" s="596"/>
      <c r="I17" s="584">
        <f t="shared" ref="I17:I44" si="0">C17*H17</f>
        <v>0</v>
      </c>
      <c r="J17" s="584">
        <f t="shared" ref="J17:J44" si="1">D17*F17*H17</f>
        <v>0</v>
      </c>
      <c r="K17" s="585" t="str">
        <f t="shared" ref="K17:K44" si="2">IF(G17&gt;0, D17*G17/C17, "0.0")</f>
        <v>0.0</v>
      </c>
      <c r="L17" s="586"/>
      <c r="N17" s="587"/>
    </row>
    <row r="18" spans="2:14">
      <c r="B18" s="595"/>
      <c r="C18" s="596"/>
      <c r="D18" s="596"/>
      <c r="E18" s="596"/>
      <c r="F18" s="527">
        <f>IF(E18="",0, LOOKUP('In-Unit Lighting'!E18,'Interior Lighting'!$I$4:$I$26,'Interior Lighting'!$K$4:$K$26))</f>
        <v>0</v>
      </c>
      <c r="G18" s="527">
        <f>IF(E18="",0, LOOKUP('In-Unit Lighting'!E18,'Interior Lighting'!$I$4:$I$26,'Interior Lighting'!$L$4:$L$26))</f>
        <v>0</v>
      </c>
      <c r="H18" s="596"/>
      <c r="I18" s="584">
        <f t="shared" si="0"/>
        <v>0</v>
      </c>
      <c r="J18" s="584">
        <f t="shared" si="1"/>
        <v>0</v>
      </c>
      <c r="K18" s="585" t="str">
        <f t="shared" si="2"/>
        <v>0.0</v>
      </c>
      <c r="L18" s="586"/>
      <c r="N18" s="587"/>
    </row>
    <row r="19" spans="2:14">
      <c r="B19" s="595"/>
      <c r="C19" s="596"/>
      <c r="D19" s="596"/>
      <c r="E19" s="596"/>
      <c r="F19" s="527">
        <f>IF(E19="",0, LOOKUP('In-Unit Lighting'!E19,'Interior Lighting'!$I$4:$I$26,'Interior Lighting'!$K$4:$K$26))</f>
        <v>0</v>
      </c>
      <c r="G19" s="527">
        <f>IF(E19="",0, LOOKUP('In-Unit Lighting'!E19,'Interior Lighting'!$I$4:$I$26,'Interior Lighting'!$L$4:$L$26))</f>
        <v>0</v>
      </c>
      <c r="H19" s="596"/>
      <c r="I19" s="584">
        <f t="shared" si="0"/>
        <v>0</v>
      </c>
      <c r="J19" s="584">
        <f t="shared" si="1"/>
        <v>0</v>
      </c>
      <c r="K19" s="585" t="str">
        <f t="shared" si="2"/>
        <v>0.0</v>
      </c>
      <c r="L19" s="586"/>
      <c r="N19" s="587"/>
    </row>
    <row r="20" spans="2:14">
      <c r="B20" s="595"/>
      <c r="C20" s="596"/>
      <c r="D20" s="596"/>
      <c r="E20" s="596"/>
      <c r="F20" s="527">
        <f>IF(E20="",0, LOOKUP('In-Unit Lighting'!E20,'Interior Lighting'!$I$4:$I$26,'Interior Lighting'!$K$4:$K$26))</f>
        <v>0</v>
      </c>
      <c r="G20" s="527">
        <f>IF(E20="",0, LOOKUP('In-Unit Lighting'!E20,'Interior Lighting'!$I$4:$I$26,'Interior Lighting'!$L$4:$L$26))</f>
        <v>0</v>
      </c>
      <c r="H20" s="596"/>
      <c r="I20" s="584">
        <f t="shared" si="0"/>
        <v>0</v>
      </c>
      <c r="J20" s="584">
        <f t="shared" si="1"/>
        <v>0</v>
      </c>
      <c r="K20" s="585" t="str">
        <f t="shared" si="2"/>
        <v>0.0</v>
      </c>
      <c r="L20" s="586"/>
      <c r="N20" s="587"/>
    </row>
    <row r="21" spans="2:14">
      <c r="B21" s="595"/>
      <c r="C21" s="596"/>
      <c r="D21" s="596"/>
      <c r="E21" s="596"/>
      <c r="F21" s="527">
        <f>IF(E21="",0, LOOKUP('In-Unit Lighting'!E21,'Interior Lighting'!$I$4:$I$26,'Interior Lighting'!$K$4:$K$26))</f>
        <v>0</v>
      </c>
      <c r="G21" s="527">
        <f>IF(E21="",0, LOOKUP('In-Unit Lighting'!E21,'Interior Lighting'!$I$4:$I$26,'Interior Lighting'!$L$4:$L$26))</f>
        <v>0</v>
      </c>
      <c r="H21" s="596"/>
      <c r="I21" s="584">
        <f t="shared" si="0"/>
        <v>0</v>
      </c>
      <c r="J21" s="584">
        <f t="shared" si="1"/>
        <v>0</v>
      </c>
      <c r="K21" s="585" t="str">
        <f t="shared" si="2"/>
        <v>0.0</v>
      </c>
      <c r="L21" s="586"/>
    </row>
    <row r="22" spans="2:14">
      <c r="B22" s="595"/>
      <c r="C22" s="596"/>
      <c r="D22" s="596"/>
      <c r="E22" s="596"/>
      <c r="F22" s="527">
        <f>IF(E22="",0, LOOKUP('In-Unit Lighting'!E22,'Interior Lighting'!$I$4:$I$26,'Interior Lighting'!$K$4:$K$26))</f>
        <v>0</v>
      </c>
      <c r="G22" s="527">
        <f>IF(E22="",0, LOOKUP('In-Unit Lighting'!E22,'Interior Lighting'!$I$4:$I$26,'Interior Lighting'!$L$4:$L$26))</f>
        <v>0</v>
      </c>
      <c r="H22" s="596"/>
      <c r="I22" s="584">
        <f t="shared" si="0"/>
        <v>0</v>
      </c>
      <c r="J22" s="584">
        <f t="shared" si="1"/>
        <v>0</v>
      </c>
      <c r="K22" s="585" t="str">
        <f t="shared" si="2"/>
        <v>0.0</v>
      </c>
      <c r="L22" s="588"/>
    </row>
    <row r="23" spans="2:14">
      <c r="B23" s="595"/>
      <c r="C23" s="596"/>
      <c r="D23" s="596"/>
      <c r="E23" s="596"/>
      <c r="F23" s="527">
        <f>IF(E23="",0, LOOKUP('In-Unit Lighting'!E23,'Interior Lighting'!$I$4:$I$26,'Interior Lighting'!$K$4:$K$26))</f>
        <v>0</v>
      </c>
      <c r="G23" s="527">
        <f>IF(E23="",0, LOOKUP('In-Unit Lighting'!E23,'Interior Lighting'!$I$4:$I$26,'Interior Lighting'!$L$4:$L$26))</f>
        <v>0</v>
      </c>
      <c r="H23" s="596"/>
      <c r="I23" s="584">
        <f t="shared" si="0"/>
        <v>0</v>
      </c>
      <c r="J23" s="584">
        <f t="shared" si="1"/>
        <v>0</v>
      </c>
      <c r="K23" s="585" t="str">
        <f t="shared" si="2"/>
        <v>0.0</v>
      </c>
    </row>
    <row r="24" spans="2:14">
      <c r="B24" s="595"/>
      <c r="C24" s="596"/>
      <c r="D24" s="596"/>
      <c r="E24" s="596"/>
      <c r="F24" s="527">
        <f>IF(E24="",0, LOOKUP('In-Unit Lighting'!E24,'Interior Lighting'!$I$4:$I$26,'Interior Lighting'!$K$4:$K$26))</f>
        <v>0</v>
      </c>
      <c r="G24" s="527">
        <f>IF(E24="",0, LOOKUP('In-Unit Lighting'!E24,'Interior Lighting'!$I$4:$I$26,'Interior Lighting'!$L$4:$L$26))</f>
        <v>0</v>
      </c>
      <c r="H24" s="596"/>
      <c r="I24" s="584">
        <f t="shared" si="0"/>
        <v>0</v>
      </c>
      <c r="J24" s="584">
        <f t="shared" si="1"/>
        <v>0</v>
      </c>
      <c r="K24" s="585" t="str">
        <f t="shared" si="2"/>
        <v>0.0</v>
      </c>
    </row>
    <row r="25" spans="2:14">
      <c r="B25" s="595"/>
      <c r="C25" s="596"/>
      <c r="D25" s="596"/>
      <c r="E25" s="596"/>
      <c r="F25" s="527">
        <f>IF(E25="",0, LOOKUP('In-Unit Lighting'!E25,'Interior Lighting'!$I$4:$I$26,'Interior Lighting'!$K$4:$K$26))</f>
        <v>0</v>
      </c>
      <c r="G25" s="527">
        <f>IF(E25="",0, LOOKUP('In-Unit Lighting'!E25,'Interior Lighting'!$I$4:$I$26,'Interior Lighting'!$L$4:$L$26))</f>
        <v>0</v>
      </c>
      <c r="H25" s="596"/>
      <c r="I25" s="584">
        <f t="shared" si="0"/>
        <v>0</v>
      </c>
      <c r="J25" s="584">
        <f t="shared" si="1"/>
        <v>0</v>
      </c>
      <c r="K25" s="585" t="str">
        <f t="shared" si="2"/>
        <v>0.0</v>
      </c>
    </row>
    <row r="26" spans="2:14">
      <c r="B26" s="595"/>
      <c r="C26" s="596"/>
      <c r="D26" s="596"/>
      <c r="E26" s="596"/>
      <c r="F26" s="527">
        <f>IF(E26="",0, LOOKUP('In-Unit Lighting'!E26,'Interior Lighting'!$I$4:$I$26,'Interior Lighting'!$K$4:$K$26))</f>
        <v>0</v>
      </c>
      <c r="G26" s="527">
        <f>IF(E26="",0, LOOKUP('In-Unit Lighting'!E26,'Interior Lighting'!$I$4:$I$26,'Interior Lighting'!$L$4:$L$26))</f>
        <v>0</v>
      </c>
      <c r="H26" s="596"/>
      <c r="I26" s="584">
        <f t="shared" si="0"/>
        <v>0</v>
      </c>
      <c r="J26" s="584">
        <f t="shared" si="1"/>
        <v>0</v>
      </c>
      <c r="K26" s="585" t="str">
        <f t="shared" si="2"/>
        <v>0.0</v>
      </c>
    </row>
    <row r="27" spans="2:14">
      <c r="B27" s="595"/>
      <c r="C27" s="596"/>
      <c r="D27" s="596"/>
      <c r="E27" s="596"/>
      <c r="F27" s="527">
        <f>IF(E27="",0, LOOKUP('In-Unit Lighting'!E27,'Interior Lighting'!$I$4:$I$26,'Interior Lighting'!$K$4:$K$26))</f>
        <v>0</v>
      </c>
      <c r="G27" s="527">
        <f>IF(E27="",0, LOOKUP('In-Unit Lighting'!E27,'Interior Lighting'!$I$4:$I$26,'Interior Lighting'!$L$4:$L$26))</f>
        <v>0</v>
      </c>
      <c r="H27" s="596"/>
      <c r="I27" s="584">
        <f t="shared" si="0"/>
        <v>0</v>
      </c>
      <c r="J27" s="584">
        <f t="shared" si="1"/>
        <v>0</v>
      </c>
      <c r="K27" s="585" t="str">
        <f t="shared" si="2"/>
        <v>0.0</v>
      </c>
    </row>
    <row r="28" spans="2:14">
      <c r="B28" s="595"/>
      <c r="C28" s="596"/>
      <c r="D28" s="596"/>
      <c r="E28" s="596"/>
      <c r="F28" s="527">
        <f>IF(E28="",0, LOOKUP('In-Unit Lighting'!E28,'Interior Lighting'!$I$4:$I$26,'Interior Lighting'!$K$4:$K$26))</f>
        <v>0</v>
      </c>
      <c r="G28" s="527">
        <f>IF(E28="",0, LOOKUP('In-Unit Lighting'!E28,'Interior Lighting'!$I$4:$I$26,'Interior Lighting'!$L$4:$L$26))</f>
        <v>0</v>
      </c>
      <c r="H28" s="596"/>
      <c r="I28" s="584">
        <f t="shared" si="0"/>
        <v>0</v>
      </c>
      <c r="J28" s="584">
        <f t="shared" si="1"/>
        <v>0</v>
      </c>
      <c r="K28" s="585" t="str">
        <f t="shared" si="2"/>
        <v>0.0</v>
      </c>
    </row>
    <row r="29" spans="2:14">
      <c r="B29" s="595"/>
      <c r="C29" s="596"/>
      <c r="D29" s="596"/>
      <c r="E29" s="596"/>
      <c r="F29" s="527">
        <f>IF(E29="",0, LOOKUP('In-Unit Lighting'!E29,'Interior Lighting'!$I$4:$I$26,'Interior Lighting'!$K$4:$K$26))</f>
        <v>0</v>
      </c>
      <c r="G29" s="527">
        <f>IF(E29="",0, LOOKUP('In-Unit Lighting'!E29,'Interior Lighting'!$I$4:$I$26,'Interior Lighting'!$L$4:$L$26))</f>
        <v>0</v>
      </c>
      <c r="H29" s="596"/>
      <c r="I29" s="584">
        <f t="shared" si="0"/>
        <v>0</v>
      </c>
      <c r="J29" s="584">
        <f t="shared" si="1"/>
        <v>0</v>
      </c>
      <c r="K29" s="585" t="str">
        <f t="shared" si="2"/>
        <v>0.0</v>
      </c>
    </row>
    <row r="30" spans="2:14">
      <c r="B30" s="595"/>
      <c r="C30" s="596"/>
      <c r="D30" s="596"/>
      <c r="E30" s="596"/>
      <c r="F30" s="527">
        <f>IF(E30="",0, LOOKUP('In-Unit Lighting'!E30,'Interior Lighting'!$I$4:$I$26,'Interior Lighting'!$K$4:$K$26))</f>
        <v>0</v>
      </c>
      <c r="G30" s="527">
        <f>IF(E30="",0, LOOKUP('In-Unit Lighting'!E30,'Interior Lighting'!$I$4:$I$26,'Interior Lighting'!$L$4:$L$26))</f>
        <v>0</v>
      </c>
      <c r="H30" s="596"/>
      <c r="I30" s="584">
        <f t="shared" si="0"/>
        <v>0</v>
      </c>
      <c r="J30" s="584">
        <f t="shared" si="1"/>
        <v>0</v>
      </c>
      <c r="K30" s="585" t="str">
        <f t="shared" si="2"/>
        <v>0.0</v>
      </c>
    </row>
    <row r="31" spans="2:14">
      <c r="B31" s="595"/>
      <c r="C31" s="596"/>
      <c r="D31" s="596"/>
      <c r="E31" s="596"/>
      <c r="F31" s="527">
        <f>IF(E31="",0, LOOKUP('In-Unit Lighting'!E31,'Interior Lighting'!$I$4:$I$26,'Interior Lighting'!$K$4:$K$26))</f>
        <v>0</v>
      </c>
      <c r="G31" s="527">
        <f>IF(E31="",0, LOOKUP('In-Unit Lighting'!E31,'Interior Lighting'!$I$4:$I$26,'Interior Lighting'!$L$4:$L$26))</f>
        <v>0</v>
      </c>
      <c r="H31" s="596"/>
      <c r="I31" s="584">
        <f t="shared" si="0"/>
        <v>0</v>
      </c>
      <c r="J31" s="584">
        <f t="shared" si="1"/>
        <v>0</v>
      </c>
      <c r="K31" s="585" t="str">
        <f t="shared" si="2"/>
        <v>0.0</v>
      </c>
    </row>
    <row r="32" spans="2:14">
      <c r="B32" s="595"/>
      <c r="C32" s="596"/>
      <c r="D32" s="596"/>
      <c r="E32" s="596"/>
      <c r="F32" s="527">
        <f>IF(E32="",0, LOOKUP('In-Unit Lighting'!E32,'Interior Lighting'!$I$4:$I$26,'Interior Lighting'!$K$4:$K$26))</f>
        <v>0</v>
      </c>
      <c r="G32" s="527">
        <f>IF(E32="",0, LOOKUP('In-Unit Lighting'!E32,'Interior Lighting'!$I$4:$I$26,'Interior Lighting'!$L$4:$L$26))</f>
        <v>0</v>
      </c>
      <c r="H32" s="596"/>
      <c r="I32" s="584">
        <f t="shared" si="0"/>
        <v>0</v>
      </c>
      <c r="J32" s="584">
        <f t="shared" si="1"/>
        <v>0</v>
      </c>
      <c r="K32" s="585" t="str">
        <f t="shared" si="2"/>
        <v>0.0</v>
      </c>
    </row>
    <row r="33" spans="2:14">
      <c r="B33" s="595"/>
      <c r="C33" s="596"/>
      <c r="D33" s="596"/>
      <c r="E33" s="596"/>
      <c r="F33" s="527">
        <f>IF(E33="",0, LOOKUP('In-Unit Lighting'!E33,'Interior Lighting'!$I$4:$I$26,'Interior Lighting'!$K$4:$K$26))</f>
        <v>0</v>
      </c>
      <c r="G33" s="527">
        <f>IF(E33="",0, LOOKUP('In-Unit Lighting'!E33,'Interior Lighting'!$I$4:$I$26,'Interior Lighting'!$L$4:$L$26))</f>
        <v>0</v>
      </c>
      <c r="H33" s="596"/>
      <c r="I33" s="584">
        <f t="shared" si="0"/>
        <v>0</v>
      </c>
      <c r="J33" s="584">
        <f t="shared" si="1"/>
        <v>0</v>
      </c>
      <c r="K33" s="585" t="str">
        <f t="shared" si="2"/>
        <v>0.0</v>
      </c>
    </row>
    <row r="34" spans="2:14">
      <c r="B34" s="595"/>
      <c r="C34" s="596"/>
      <c r="D34" s="596"/>
      <c r="E34" s="596"/>
      <c r="F34" s="527">
        <f>IF(E34="",0, LOOKUP('In-Unit Lighting'!E34,'Interior Lighting'!$I$4:$I$26,'Interior Lighting'!$K$4:$K$26))</f>
        <v>0</v>
      </c>
      <c r="G34" s="527">
        <f>IF(E34="",0, LOOKUP('In-Unit Lighting'!E34,'Interior Lighting'!$I$4:$I$26,'Interior Lighting'!$L$4:$L$26))</f>
        <v>0</v>
      </c>
      <c r="H34" s="596"/>
      <c r="I34" s="584">
        <f t="shared" si="0"/>
        <v>0</v>
      </c>
      <c r="J34" s="584">
        <f t="shared" si="1"/>
        <v>0</v>
      </c>
      <c r="K34" s="585" t="str">
        <f t="shared" si="2"/>
        <v>0.0</v>
      </c>
    </row>
    <row r="35" spans="2:14">
      <c r="B35" s="595"/>
      <c r="C35" s="596"/>
      <c r="D35" s="596"/>
      <c r="E35" s="596"/>
      <c r="F35" s="527">
        <f>IF(E35="",0, LOOKUP('In-Unit Lighting'!E35,'Interior Lighting'!$I$4:$I$26,'Interior Lighting'!$K$4:$K$26))</f>
        <v>0</v>
      </c>
      <c r="G35" s="527">
        <f>IF(E35="",0, LOOKUP('In-Unit Lighting'!E35,'Interior Lighting'!$I$4:$I$26,'Interior Lighting'!$L$4:$L$26))</f>
        <v>0</v>
      </c>
      <c r="H35" s="596"/>
      <c r="I35" s="584">
        <f t="shared" si="0"/>
        <v>0</v>
      </c>
      <c r="J35" s="584">
        <f t="shared" si="1"/>
        <v>0</v>
      </c>
      <c r="K35" s="585" t="str">
        <f t="shared" si="2"/>
        <v>0.0</v>
      </c>
      <c r="M35" s="589"/>
      <c r="N35" s="589"/>
    </row>
    <row r="36" spans="2:14">
      <c r="B36" s="595"/>
      <c r="C36" s="596"/>
      <c r="D36" s="596"/>
      <c r="E36" s="596"/>
      <c r="F36" s="527">
        <f>IF(E36="",0, LOOKUP('In-Unit Lighting'!E36,'Interior Lighting'!$I$4:$I$26,'Interior Lighting'!$K$4:$K$26))</f>
        <v>0</v>
      </c>
      <c r="G36" s="527">
        <f>IF(E36="",0, LOOKUP('In-Unit Lighting'!E36,'Interior Lighting'!$I$4:$I$26,'Interior Lighting'!$L$4:$L$26))</f>
        <v>0</v>
      </c>
      <c r="H36" s="596"/>
      <c r="I36" s="584">
        <f t="shared" si="0"/>
        <v>0</v>
      </c>
      <c r="J36" s="584">
        <f t="shared" si="1"/>
        <v>0</v>
      </c>
      <c r="K36" s="585" t="str">
        <f t="shared" si="2"/>
        <v>0.0</v>
      </c>
      <c r="L36" s="589"/>
    </row>
    <row r="37" spans="2:14">
      <c r="B37" s="595"/>
      <c r="C37" s="596"/>
      <c r="D37" s="596"/>
      <c r="E37" s="596"/>
      <c r="F37" s="527">
        <f>IF(E37="",0, LOOKUP('In-Unit Lighting'!E37,'Interior Lighting'!$I$4:$I$26,'Interior Lighting'!$K$4:$K$26))</f>
        <v>0</v>
      </c>
      <c r="G37" s="527">
        <f>IF(E37="",0, LOOKUP('In-Unit Lighting'!E37,'Interior Lighting'!$I$4:$I$26,'Interior Lighting'!$L$4:$L$26))</f>
        <v>0</v>
      </c>
      <c r="H37" s="596"/>
      <c r="I37" s="584">
        <f t="shared" si="0"/>
        <v>0</v>
      </c>
      <c r="J37" s="584">
        <f t="shared" si="1"/>
        <v>0</v>
      </c>
      <c r="K37" s="585" t="str">
        <f t="shared" si="2"/>
        <v>0.0</v>
      </c>
    </row>
    <row r="38" spans="2:14">
      <c r="B38" s="595"/>
      <c r="C38" s="596"/>
      <c r="D38" s="596"/>
      <c r="E38" s="596"/>
      <c r="F38" s="527">
        <f>IF(E38="",0, LOOKUP('In-Unit Lighting'!E38,'Interior Lighting'!$I$4:$I$26,'Interior Lighting'!$K$4:$K$26))</f>
        <v>0</v>
      </c>
      <c r="G38" s="527">
        <f>IF(E38="",0, LOOKUP('In-Unit Lighting'!E38,'Interior Lighting'!$I$4:$I$26,'Interior Lighting'!$L$4:$L$26))</f>
        <v>0</v>
      </c>
      <c r="H38" s="596"/>
      <c r="I38" s="584">
        <f t="shared" si="0"/>
        <v>0</v>
      </c>
      <c r="J38" s="584">
        <f t="shared" si="1"/>
        <v>0</v>
      </c>
      <c r="K38" s="585" t="str">
        <f t="shared" si="2"/>
        <v>0.0</v>
      </c>
    </row>
    <row r="39" spans="2:14">
      <c r="B39" s="595"/>
      <c r="C39" s="596"/>
      <c r="D39" s="596"/>
      <c r="E39" s="596"/>
      <c r="F39" s="527">
        <f>IF(E39="",0, LOOKUP('In-Unit Lighting'!E39,'Interior Lighting'!$I$4:$I$26,'Interior Lighting'!$K$4:$K$26))</f>
        <v>0</v>
      </c>
      <c r="G39" s="527">
        <f>IF(E39="",0, LOOKUP('In-Unit Lighting'!E39,'Interior Lighting'!$I$4:$I$26,'Interior Lighting'!$L$4:$L$26))</f>
        <v>0</v>
      </c>
      <c r="H39" s="596"/>
      <c r="I39" s="584">
        <f t="shared" si="0"/>
        <v>0</v>
      </c>
      <c r="J39" s="584">
        <f t="shared" si="1"/>
        <v>0</v>
      </c>
      <c r="K39" s="585" t="str">
        <f t="shared" si="2"/>
        <v>0.0</v>
      </c>
      <c r="N39" s="433"/>
    </row>
    <row r="40" spans="2:14">
      <c r="B40" s="595"/>
      <c r="C40" s="596"/>
      <c r="D40" s="596"/>
      <c r="E40" s="596"/>
      <c r="F40" s="527">
        <f>IF(E40="",0, LOOKUP('In-Unit Lighting'!E40,'Interior Lighting'!$I$4:$I$26,'Interior Lighting'!$K$4:$K$26))</f>
        <v>0</v>
      </c>
      <c r="G40" s="527">
        <f>IF(E40="",0, LOOKUP('In-Unit Lighting'!E40,'Interior Lighting'!$I$4:$I$26,'Interior Lighting'!$L$4:$L$26))</f>
        <v>0</v>
      </c>
      <c r="H40" s="596"/>
      <c r="I40" s="584">
        <f t="shared" si="0"/>
        <v>0</v>
      </c>
      <c r="J40" s="584">
        <f t="shared" si="1"/>
        <v>0</v>
      </c>
      <c r="K40" s="585" t="str">
        <f t="shared" si="2"/>
        <v>0.0</v>
      </c>
    </row>
    <row r="41" spans="2:14">
      <c r="B41" s="595"/>
      <c r="C41" s="596"/>
      <c r="D41" s="596"/>
      <c r="E41" s="596"/>
      <c r="F41" s="527">
        <f>IF(E41="",0, LOOKUP('In-Unit Lighting'!E41,'Interior Lighting'!$I$4:$I$26,'Interior Lighting'!$K$4:$K$26))</f>
        <v>0</v>
      </c>
      <c r="G41" s="527">
        <f>IF(E41="",0, LOOKUP('In-Unit Lighting'!E41,'Interior Lighting'!$I$4:$I$26,'Interior Lighting'!$L$4:$L$26))</f>
        <v>0</v>
      </c>
      <c r="H41" s="596"/>
      <c r="I41" s="584">
        <f t="shared" si="0"/>
        <v>0</v>
      </c>
      <c r="J41" s="584">
        <f t="shared" si="1"/>
        <v>0</v>
      </c>
      <c r="K41" s="585" t="str">
        <f t="shared" si="2"/>
        <v>0.0</v>
      </c>
    </row>
    <row r="42" spans="2:14">
      <c r="B42" s="595"/>
      <c r="C42" s="596"/>
      <c r="D42" s="596"/>
      <c r="E42" s="596"/>
      <c r="F42" s="527">
        <f>IF(E42="",0, LOOKUP('In-Unit Lighting'!E42,'Interior Lighting'!$I$4:$I$26,'Interior Lighting'!$K$4:$K$26))</f>
        <v>0</v>
      </c>
      <c r="G42" s="527">
        <f>IF(E42="",0, LOOKUP('In-Unit Lighting'!E42,'Interior Lighting'!$I$4:$I$26,'Interior Lighting'!$L$4:$L$26))</f>
        <v>0</v>
      </c>
      <c r="H42" s="596"/>
      <c r="I42" s="584">
        <f t="shared" si="0"/>
        <v>0</v>
      </c>
      <c r="J42" s="584">
        <f t="shared" si="1"/>
        <v>0</v>
      </c>
      <c r="K42" s="585" t="str">
        <f t="shared" si="2"/>
        <v>0.0</v>
      </c>
    </row>
    <row r="43" spans="2:14">
      <c r="B43" s="595"/>
      <c r="C43" s="596"/>
      <c r="D43" s="596"/>
      <c r="E43" s="596"/>
      <c r="F43" s="527">
        <f>IF(E43="",0, LOOKUP('In-Unit Lighting'!E43,'Interior Lighting'!$I$4:$I$26,'Interior Lighting'!$K$4:$K$26))</f>
        <v>0</v>
      </c>
      <c r="G43" s="527">
        <f>IF(E43="",0, LOOKUP('In-Unit Lighting'!E43,'Interior Lighting'!$I$4:$I$26,'Interior Lighting'!$L$4:$L$26))</f>
        <v>0</v>
      </c>
      <c r="H43" s="596"/>
      <c r="I43" s="584">
        <f t="shared" si="0"/>
        <v>0</v>
      </c>
      <c r="J43" s="584">
        <f t="shared" si="1"/>
        <v>0</v>
      </c>
      <c r="K43" s="585" t="str">
        <f t="shared" si="2"/>
        <v>0.0</v>
      </c>
    </row>
    <row r="44" spans="2:14">
      <c r="B44" s="595"/>
      <c r="C44" s="596"/>
      <c r="D44" s="596"/>
      <c r="E44" s="596"/>
      <c r="F44" s="527">
        <f>IF(E44="",0, LOOKUP('In-Unit Lighting'!E44,'Interior Lighting'!$I$4:$I$26,'Interior Lighting'!$K$4:$K$26))</f>
        <v>0</v>
      </c>
      <c r="G44" s="527">
        <f>IF(E44="",0, LOOKUP('In-Unit Lighting'!E44,'Interior Lighting'!$I$4:$I$26,'Interior Lighting'!$L$4:$L$26))</f>
        <v>0</v>
      </c>
      <c r="H44" s="596"/>
      <c r="I44" s="584">
        <f t="shared" si="0"/>
        <v>0</v>
      </c>
      <c r="J44" s="584">
        <f t="shared" si="1"/>
        <v>0</v>
      </c>
      <c r="K44" s="585" t="str">
        <f t="shared" si="2"/>
        <v>0.0</v>
      </c>
      <c r="M44" s="313"/>
      <c r="N44" s="313"/>
    </row>
    <row r="45" spans="2:14">
      <c r="H45" s="313"/>
      <c r="I45" s="313"/>
      <c r="J45" s="313"/>
      <c r="K45" s="313"/>
      <c r="L45" s="313"/>
      <c r="M45" s="313"/>
      <c r="N45" s="313"/>
    </row>
    <row r="46" spans="2:14">
      <c r="H46" s="313"/>
      <c r="I46" s="313"/>
      <c r="J46" s="313"/>
      <c r="K46" s="313"/>
      <c r="L46" s="313"/>
      <c r="M46" s="313"/>
      <c r="N46" s="313"/>
    </row>
    <row r="47" spans="2:14">
      <c r="B47" s="725" t="s">
        <v>1233</v>
      </c>
      <c r="C47" s="726"/>
      <c r="D47" s="726"/>
      <c r="E47" s="726"/>
      <c r="F47" s="727"/>
      <c r="G47" s="590"/>
      <c r="H47" s="591"/>
      <c r="I47" s="313"/>
      <c r="J47" s="592"/>
      <c r="K47" s="592"/>
      <c r="L47" s="592"/>
      <c r="M47" s="313"/>
      <c r="N47" s="313"/>
    </row>
    <row r="48" spans="2:14">
      <c r="B48" s="723" t="s">
        <v>1234</v>
      </c>
      <c r="C48" s="723"/>
      <c r="D48" s="723"/>
      <c r="E48" s="724"/>
      <c r="F48" s="600">
        <f>SUM(I16:I44)</f>
        <v>0</v>
      </c>
      <c r="G48" s="598"/>
      <c r="H48" s="320"/>
      <c r="I48" s="313"/>
      <c r="J48" s="313"/>
      <c r="K48" s="313"/>
      <c r="L48" s="313"/>
      <c r="M48" s="313"/>
      <c r="N48" s="313"/>
    </row>
    <row r="49" spans="2:14">
      <c r="B49" s="723" t="s">
        <v>1235</v>
      </c>
      <c r="C49" s="723"/>
      <c r="D49" s="723"/>
      <c r="E49" s="724"/>
      <c r="F49" s="600">
        <f>SUM(J16:J44)</f>
        <v>0</v>
      </c>
      <c r="G49" s="447"/>
      <c r="H49" s="320"/>
      <c r="I49" s="313"/>
      <c r="J49" s="313"/>
      <c r="K49" s="313"/>
      <c r="L49" s="313"/>
      <c r="M49" s="313"/>
      <c r="N49" s="313"/>
    </row>
    <row r="50" spans="2:14">
      <c r="B50" s="723" t="s">
        <v>1236</v>
      </c>
      <c r="C50" s="723"/>
      <c r="D50" s="723"/>
      <c r="E50" s="723"/>
      <c r="F50" s="599" t="str">
        <f>IF(F48=0,"NA",F49/F48)</f>
        <v>NA</v>
      </c>
      <c r="I50" s="313"/>
      <c r="J50" s="313"/>
      <c r="K50" s="313"/>
      <c r="L50" s="313"/>
    </row>
    <row r="51" spans="2:14">
      <c r="B51" s="722" t="s">
        <v>1050</v>
      </c>
      <c r="C51" s="722"/>
      <c r="D51" s="722"/>
      <c r="E51" s="722"/>
      <c r="F51" s="634" t="e">
        <f>(F49+F52*('Project Size'!C11-F48))/('Project Size'!C11)</f>
        <v>#DIV/0!</v>
      </c>
    </row>
    <row r="52" spans="2:14">
      <c r="B52" s="722" t="s">
        <v>1237</v>
      </c>
      <c r="C52" s="722"/>
      <c r="D52" s="722"/>
      <c r="E52" s="722"/>
      <c r="F52" s="559">
        <v>0.7</v>
      </c>
    </row>
    <row r="54" spans="2:14">
      <c r="B54" s="320"/>
      <c r="C54" s="320"/>
      <c r="D54" s="320"/>
    </row>
    <row r="63" spans="2:14" hidden="1"/>
    <row r="64" spans="2:14" hidden="1">
      <c r="B64" s="593" t="s">
        <v>1238</v>
      </c>
    </row>
    <row r="65" spans="2:2" hidden="1">
      <c r="B65" s="594" t="s">
        <v>1239</v>
      </c>
    </row>
    <row r="66" spans="2:2" hidden="1">
      <c r="B66" s="594" t="s">
        <v>1240</v>
      </c>
    </row>
    <row r="67" spans="2:2" hidden="1">
      <c r="B67" s="594" t="s">
        <v>1241</v>
      </c>
    </row>
    <row r="68" spans="2:2" hidden="1">
      <c r="B68" s="594" t="s">
        <v>1242</v>
      </c>
    </row>
    <row r="69" spans="2:2" hidden="1">
      <c r="B69" s="594" t="s">
        <v>1243</v>
      </c>
    </row>
    <row r="70" spans="2:2" hidden="1">
      <c r="B70" s="594" t="s">
        <v>1244</v>
      </c>
    </row>
    <row r="71" spans="2:2" hidden="1">
      <c r="B71" s="594" t="s">
        <v>1245</v>
      </c>
    </row>
    <row r="72" spans="2:2" hidden="1">
      <c r="B72" s="594" t="s">
        <v>1246</v>
      </c>
    </row>
    <row r="73" spans="2:2" hidden="1">
      <c r="B73" s="594" t="s">
        <v>1247</v>
      </c>
    </row>
    <row r="74" spans="2:2" hidden="1">
      <c r="B74" s="594" t="s">
        <v>1248</v>
      </c>
    </row>
    <row r="75" spans="2:2" hidden="1">
      <c r="B75" s="594" t="s">
        <v>1334</v>
      </c>
    </row>
  </sheetData>
  <mergeCells count="8">
    <mergeCell ref="B5:L5"/>
    <mergeCell ref="B7:L7"/>
    <mergeCell ref="B52:E52"/>
    <mergeCell ref="B51:E51"/>
    <mergeCell ref="B48:E48"/>
    <mergeCell ref="B49:E49"/>
    <mergeCell ref="B50:E50"/>
    <mergeCell ref="B47:F47"/>
  </mergeCells>
  <phoneticPr fontId="29" type="noConversion"/>
  <conditionalFormatting sqref="K16:K44">
    <cfRule type="cellIs" dxfId="2" priority="1" stopIfTrue="1" operator="lessThan">
      <formula>16</formula>
    </cfRule>
  </conditionalFormatting>
  <dataValidations count="2">
    <dataValidation type="list" allowBlank="1" showInputMessage="1" showErrorMessage="1" sqref="B76">
      <formula1>$B$65:$B$75</formula1>
    </dataValidation>
    <dataValidation type="list" allowBlank="1" showInputMessage="1" showErrorMessage="1" sqref="B16:B44">
      <formula1>$B$64:$B$74</formula1>
    </dataValidation>
  </dataValidations>
  <pageMargins left="0.75" right="0.75" top="1" bottom="1" header="0.5" footer="0.5"/>
  <pageSetup orientation="portrait" r:id="rId1"/>
  <headerFooter alignWithMargins="0"/>
</worksheet>
</file>

<file path=xl/worksheets/sheet17.xml><?xml version="1.0" encoding="utf-8"?>
<worksheet xmlns="http://schemas.openxmlformats.org/spreadsheetml/2006/main" xmlns:r="http://schemas.openxmlformats.org/officeDocument/2006/relationships">
  <sheetPr codeName="Sheet12" enableFormatConditionsCalculation="0">
    <tabColor theme="6" tint="0.39997558519241921"/>
  </sheetPr>
  <dimension ref="A1:J54"/>
  <sheetViews>
    <sheetView showGridLines="0" workbookViewId="0">
      <selection activeCell="B31" sqref="B31"/>
    </sheetView>
  </sheetViews>
  <sheetFormatPr defaultRowHeight="12"/>
  <cols>
    <col min="1" max="1" width="2" style="429" bestFit="1" customWidth="1"/>
    <col min="2" max="2" width="53.140625" style="429" customWidth="1"/>
    <col min="3" max="3" width="18.28515625" style="429" customWidth="1"/>
    <col min="4" max="6" width="18.140625" style="429" customWidth="1"/>
    <col min="7" max="8" width="18" style="429" customWidth="1"/>
    <col min="9" max="9" width="17.85546875" style="429" customWidth="1"/>
    <col min="10" max="10" width="19.140625" style="429" customWidth="1"/>
    <col min="11" max="15" width="9.140625" style="429"/>
    <col min="16" max="17" width="9.140625" style="429" customWidth="1"/>
    <col min="18" max="16384" width="9.140625" style="429"/>
  </cols>
  <sheetData>
    <row r="1" spans="1:10" ht="18.75">
      <c r="B1" s="452" t="s">
        <v>3000</v>
      </c>
    </row>
    <row r="3" spans="1:10">
      <c r="A3" s="393"/>
      <c r="B3" s="393" t="s">
        <v>2345</v>
      </c>
      <c r="C3" s="447"/>
      <c r="D3" s="447"/>
    </row>
    <row r="4" spans="1:10">
      <c r="A4" s="429">
        <v>1</v>
      </c>
      <c r="B4" s="429" t="s">
        <v>2665</v>
      </c>
      <c r="C4" s="447"/>
      <c r="D4" s="447"/>
    </row>
    <row r="5" spans="1:10">
      <c r="A5" s="429">
        <v>2</v>
      </c>
      <c r="B5" s="429" t="s">
        <v>2666</v>
      </c>
      <c r="C5" s="447"/>
      <c r="D5" s="447"/>
    </row>
    <row r="6" spans="1:10">
      <c r="A6" s="429">
        <v>3</v>
      </c>
      <c r="B6" s="540" t="s">
        <v>2346</v>
      </c>
      <c r="C6" s="447"/>
      <c r="D6" s="447"/>
    </row>
    <row r="7" spans="1:10">
      <c r="A7" s="429">
        <v>4</v>
      </c>
      <c r="B7" s="541" t="s">
        <v>2664</v>
      </c>
      <c r="C7" s="447"/>
      <c r="D7" s="447"/>
    </row>
    <row r="8" spans="1:10">
      <c r="A8" s="429">
        <v>5</v>
      </c>
      <c r="B8" s="429" t="s">
        <v>2667</v>
      </c>
      <c r="C8" s="447"/>
      <c r="D8" s="447"/>
    </row>
    <row r="9" spans="1:10">
      <c r="A9" s="548">
        <v>6</v>
      </c>
      <c r="B9" s="429" t="s">
        <v>2668</v>
      </c>
      <c r="C9" s="447"/>
      <c r="D9" s="447"/>
    </row>
    <row r="10" spans="1:10">
      <c r="A10" s="548">
        <v>7</v>
      </c>
      <c r="B10" s="429" t="s">
        <v>2669</v>
      </c>
      <c r="C10" s="447"/>
      <c r="D10" s="447"/>
    </row>
    <row r="11" spans="1:10">
      <c r="A11" s="548">
        <v>8</v>
      </c>
      <c r="B11" s="429" t="s">
        <v>2670</v>
      </c>
    </row>
    <row r="12" spans="1:10">
      <c r="A12" s="548">
        <v>9</v>
      </c>
      <c r="B12" s="579" t="s">
        <v>2998</v>
      </c>
      <c r="C12" s="645"/>
    </row>
    <row r="13" spans="1:10" s="453" customFormat="1">
      <c r="A13" s="656"/>
      <c r="B13" s="602"/>
      <c r="C13" s="657"/>
    </row>
    <row r="14" spans="1:10">
      <c r="A14" s="548"/>
      <c r="B14" s="459"/>
      <c r="C14" s="681" t="s">
        <v>999</v>
      </c>
      <c r="D14" s="681" t="s">
        <v>1000</v>
      </c>
      <c r="E14" s="681" t="s">
        <v>999</v>
      </c>
      <c r="F14" s="681" t="s">
        <v>1000</v>
      </c>
      <c r="G14" s="681" t="s">
        <v>999</v>
      </c>
      <c r="H14" s="681" t="s">
        <v>1000</v>
      </c>
      <c r="I14" s="681" t="s">
        <v>999</v>
      </c>
      <c r="J14" s="681" t="s">
        <v>1000</v>
      </c>
    </row>
    <row r="15" spans="1:10">
      <c r="A15" s="640"/>
      <c r="B15" s="544" t="s">
        <v>2349</v>
      </c>
      <c r="C15" s="729" t="s">
        <v>1276</v>
      </c>
      <c r="D15" s="729"/>
      <c r="E15" s="729" t="s">
        <v>1075</v>
      </c>
      <c r="F15" s="729"/>
      <c r="G15" s="729" t="s">
        <v>668</v>
      </c>
      <c r="H15" s="729"/>
      <c r="I15" s="728"/>
      <c r="J15" s="728"/>
    </row>
    <row r="16" spans="1:10">
      <c r="B16" s="544" t="s">
        <v>789</v>
      </c>
      <c r="C16" s="730">
        <f>'Project Size'!C11</f>
        <v>0</v>
      </c>
      <c r="D16" s="729"/>
      <c r="E16" s="728"/>
      <c r="F16" s="728"/>
      <c r="G16" s="728"/>
      <c r="H16" s="728"/>
      <c r="I16" s="728"/>
      <c r="J16" s="728"/>
    </row>
    <row r="17" spans="1:10">
      <c r="A17" s="646"/>
      <c r="B17" s="544" t="s">
        <v>2394</v>
      </c>
      <c r="C17" s="728"/>
      <c r="D17" s="728"/>
      <c r="E17" s="728"/>
      <c r="F17" s="728"/>
      <c r="G17" s="728"/>
      <c r="H17" s="728"/>
      <c r="I17" s="728"/>
      <c r="J17" s="728"/>
    </row>
    <row r="18" spans="1:10">
      <c r="B18" s="544" t="s">
        <v>2395</v>
      </c>
      <c r="C18" s="729">
        <f>C16*C17</f>
        <v>0</v>
      </c>
      <c r="D18" s="729"/>
      <c r="E18" s="729">
        <f>E16*E17</f>
        <v>0</v>
      </c>
      <c r="F18" s="729"/>
      <c r="G18" s="729">
        <f>G16*G17</f>
        <v>0</v>
      </c>
      <c r="H18" s="729"/>
      <c r="I18" s="729">
        <f>I16*I17</f>
        <v>0</v>
      </c>
      <c r="J18" s="729"/>
    </row>
    <row r="19" spans="1:10">
      <c r="B19" s="544" t="s">
        <v>2396</v>
      </c>
      <c r="C19" s="469"/>
      <c r="D19" s="469"/>
      <c r="E19" s="469"/>
      <c r="F19" s="469"/>
      <c r="G19" s="469"/>
      <c r="H19" s="469"/>
      <c r="I19" s="469"/>
      <c r="J19" s="469"/>
    </row>
    <row r="20" spans="1:10">
      <c r="B20" s="647" t="s">
        <v>2856</v>
      </c>
      <c r="C20" s="595"/>
      <c r="D20" s="595"/>
      <c r="E20" s="595"/>
      <c r="F20" s="595"/>
      <c r="G20" s="595"/>
      <c r="H20" s="595"/>
      <c r="I20" s="595"/>
      <c r="J20" s="595"/>
    </row>
    <row r="21" spans="1:10">
      <c r="B21" s="544" t="s">
        <v>2397</v>
      </c>
      <c r="C21" s="469"/>
      <c r="D21" s="469"/>
      <c r="E21" s="469"/>
      <c r="F21" s="469"/>
      <c r="G21" s="469"/>
      <c r="H21" s="469"/>
      <c r="I21" s="469"/>
      <c r="J21" s="469"/>
    </row>
    <row r="22" spans="1:10">
      <c r="B22" s="544" t="s">
        <v>2398</v>
      </c>
      <c r="C22" s="437">
        <v>0.1</v>
      </c>
      <c r="D22" s="437">
        <v>0.1</v>
      </c>
      <c r="E22" s="437">
        <v>0.1</v>
      </c>
      <c r="F22" s="437">
        <v>0.1</v>
      </c>
      <c r="G22" s="437">
        <v>0.1</v>
      </c>
      <c r="H22" s="437">
        <v>0.1</v>
      </c>
      <c r="I22" s="437"/>
      <c r="J22" s="437"/>
    </row>
    <row r="23" spans="1:10">
      <c r="B23" s="544" t="s">
        <v>2399</v>
      </c>
      <c r="C23" s="499" t="e">
        <f>C19*60*C21/24/C18</f>
        <v>#DIV/0!</v>
      </c>
      <c r="D23" s="499" t="e">
        <f>D19*60*D21/24/C18</f>
        <v>#DIV/0!</v>
      </c>
      <c r="E23" s="437" t="e">
        <f>E19*60*E21/24/E18</f>
        <v>#DIV/0!</v>
      </c>
      <c r="F23" s="437" t="e">
        <f>F19*60*F21/24/E18</f>
        <v>#DIV/0!</v>
      </c>
      <c r="G23" s="437" t="e">
        <f>G19*60*G21/24/G18</f>
        <v>#DIV/0!</v>
      </c>
      <c r="H23" s="437" t="e">
        <f>H19*60*H21/24/G18</f>
        <v>#DIV/0!</v>
      </c>
      <c r="I23" s="437" t="e">
        <f>I19*60*I21/24/I18</f>
        <v>#DIV/0!</v>
      </c>
      <c r="J23" s="437" t="e">
        <f>J19*60*J21/24/I18</f>
        <v>#DIV/0!</v>
      </c>
    </row>
    <row r="24" spans="1:10">
      <c r="B24" s="544" t="s">
        <v>2400</v>
      </c>
      <c r="C24" s="469">
        <v>0</v>
      </c>
      <c r="D24" s="469">
        <v>0</v>
      </c>
      <c r="E24" s="469">
        <v>0</v>
      </c>
      <c r="F24" s="469">
        <v>0</v>
      </c>
      <c r="G24" s="469">
        <v>0</v>
      </c>
      <c r="H24" s="469">
        <v>0</v>
      </c>
      <c r="I24" s="469">
        <v>0</v>
      </c>
      <c r="J24" s="469">
        <v>0</v>
      </c>
    </row>
    <row r="25" spans="1:10">
      <c r="A25" s="648"/>
      <c r="B25" s="544" t="s">
        <v>2401</v>
      </c>
      <c r="C25" s="469">
        <v>0</v>
      </c>
      <c r="D25" s="469">
        <v>0</v>
      </c>
      <c r="E25" s="469">
        <v>0</v>
      </c>
      <c r="F25" s="469">
        <v>0</v>
      </c>
      <c r="G25" s="469">
        <v>0</v>
      </c>
      <c r="H25" s="469">
        <v>0</v>
      </c>
      <c r="I25" s="469">
        <v>0</v>
      </c>
      <c r="J25" s="469">
        <v>0</v>
      </c>
    </row>
    <row r="26" spans="1:10">
      <c r="A26" s="473"/>
      <c r="B26" s="544" t="s">
        <v>2402</v>
      </c>
      <c r="C26" s="437" t="e">
        <f>C24*60*C25/24/C18</f>
        <v>#DIV/0!</v>
      </c>
      <c r="D26" s="437" t="e">
        <f>D24*60*D25/24/C18</f>
        <v>#DIV/0!</v>
      </c>
      <c r="E26" s="437" t="e">
        <f>E24*60*E25/24/E18</f>
        <v>#DIV/0!</v>
      </c>
      <c r="F26" s="437" t="e">
        <f>F24*60*F25/24/E18</f>
        <v>#DIV/0!</v>
      </c>
      <c r="G26" s="437" t="e">
        <f>G24*60*G25/24/G18</f>
        <v>#DIV/0!</v>
      </c>
      <c r="H26" s="437" t="e">
        <f>H24*60*H25/24/G18</f>
        <v>#DIV/0!</v>
      </c>
      <c r="I26" s="437" t="e">
        <f>I24*60*I25/24/I18</f>
        <v>#DIV/0!</v>
      </c>
      <c r="J26" s="437" t="e">
        <f>J24*60*J25/24/I18</f>
        <v>#DIV/0!</v>
      </c>
    </row>
    <row r="27" spans="1:10">
      <c r="A27" s="473"/>
      <c r="B27" s="544" t="s">
        <v>2403</v>
      </c>
      <c r="C27" s="437">
        <v>0.35</v>
      </c>
      <c r="D27" s="437">
        <v>0.35</v>
      </c>
      <c r="E27" s="469"/>
      <c r="F27" s="469"/>
      <c r="G27" s="469"/>
      <c r="H27" s="469"/>
      <c r="I27" s="469"/>
      <c r="J27" s="469"/>
    </row>
    <row r="28" spans="1:10">
      <c r="B28" s="437" t="s">
        <v>903</v>
      </c>
      <c r="C28" s="632" t="e">
        <f>MAX(C23,C26,C27)</f>
        <v>#DIV/0!</v>
      </c>
      <c r="D28" s="632" t="e">
        <f t="shared" ref="D28:J28" si="0">MAX(D23,D26,D27)</f>
        <v>#DIV/0!</v>
      </c>
      <c r="E28" s="658" t="e">
        <f>MAX(E23,E26,E27)</f>
        <v>#DIV/0!</v>
      </c>
      <c r="F28" s="658" t="e">
        <f t="shared" si="0"/>
        <v>#DIV/0!</v>
      </c>
      <c r="G28" s="658" t="e">
        <f t="shared" si="0"/>
        <v>#DIV/0!</v>
      </c>
      <c r="H28" s="658" t="e">
        <f t="shared" si="0"/>
        <v>#DIV/0!</v>
      </c>
      <c r="I28" s="649" t="e">
        <f t="shared" si="0"/>
        <v>#DIV/0!</v>
      </c>
      <c r="J28" s="649" t="e">
        <f t="shared" si="0"/>
        <v>#DIV/0!</v>
      </c>
    </row>
    <row r="29" spans="1:10">
      <c r="B29" s="437" t="s">
        <v>904</v>
      </c>
      <c r="C29" s="558" t="e">
        <f>C28*C18/60/C16</f>
        <v>#DIV/0!</v>
      </c>
      <c r="D29" s="558" t="e">
        <f>D28*C18/60/C16</f>
        <v>#DIV/0!</v>
      </c>
      <c r="E29" s="558" t="e">
        <f>E28*E18/60/E16</f>
        <v>#DIV/0!</v>
      </c>
      <c r="F29" s="558" t="e">
        <f>F28*E18/60/E16</f>
        <v>#DIV/0!</v>
      </c>
      <c r="G29" s="659" t="e">
        <f>G28*G18/60/G16</f>
        <v>#DIV/0!</v>
      </c>
      <c r="H29" s="659" t="e">
        <f>H28*G18/60/G16</f>
        <v>#DIV/0!</v>
      </c>
      <c r="I29" s="433"/>
      <c r="J29" s="433"/>
    </row>
    <row r="30" spans="1:10">
      <c r="B30" s="648"/>
    </row>
    <row r="31" spans="1:10">
      <c r="B31" s="650" t="s">
        <v>2690</v>
      </c>
      <c r="C31" s="595"/>
      <c r="D31" s="617">
        <f>C31</f>
        <v>0</v>
      </c>
      <c r="E31" s="595"/>
      <c r="F31" s="617">
        <f>E31</f>
        <v>0</v>
      </c>
      <c r="G31" s="595"/>
      <c r="H31" s="617">
        <f>G31</f>
        <v>0</v>
      </c>
    </row>
    <row r="32" spans="1:10">
      <c r="B32" s="650" t="s">
        <v>2687</v>
      </c>
      <c r="C32" s="609" t="e">
        <f>LOOKUP(C31, P14:P17, Q14:Q17)</f>
        <v>#N/A</v>
      </c>
      <c r="D32" s="660"/>
      <c r="E32" s="609" t="e">
        <f>LOOKUP(E31, R14:R17, S14:S17)</f>
        <v>#N/A</v>
      </c>
      <c r="F32" s="660"/>
      <c r="G32" s="609" t="e">
        <f>LOOKUP(G31, T14:T17, U14:U17)</f>
        <v>#N/A</v>
      </c>
      <c r="H32" s="660"/>
    </row>
    <row r="33" spans="2:8">
      <c r="B33" s="650" t="s">
        <v>2999</v>
      </c>
      <c r="C33" s="679" t="e">
        <f>IF(C31="Rooftop","Enter Info Below",C19/C32)</f>
        <v>#N/A</v>
      </c>
      <c r="D33" s="679" t="e">
        <f>IF(D31="Rooftop", "Enter Info Below", D19/D32)</f>
        <v>#DIV/0!</v>
      </c>
      <c r="E33" s="679" t="e">
        <f>IF(E31="Rooftop","Enter Info Below",E19/E32)</f>
        <v>#N/A</v>
      </c>
      <c r="F33" s="679" t="e">
        <f>IF(F31="Rooftop", "Enter Info Below", F19/F32)</f>
        <v>#DIV/0!</v>
      </c>
      <c r="G33" s="679" t="e">
        <f>IF(G31="Rooftop","Enter Info Below",G19/G32)</f>
        <v>#N/A</v>
      </c>
      <c r="H33" s="679" t="e">
        <f>IF(H31="Rooftop", "Enter Info Below", H19/H32)</f>
        <v>#DIV/0!</v>
      </c>
    </row>
    <row r="34" spans="2:8">
      <c r="B34" s="651" t="s">
        <v>2688</v>
      </c>
      <c r="C34" s="595" t="str">
        <f t="shared" ref="C34:H34" si="1">IF(C31="Rooftop", "", "Do not Enter data")</f>
        <v>Do not Enter data</v>
      </c>
      <c r="D34" s="595" t="str">
        <f t="shared" si="1"/>
        <v>Do not Enter data</v>
      </c>
      <c r="E34" s="595" t="str">
        <f t="shared" si="1"/>
        <v>Do not Enter data</v>
      </c>
      <c r="F34" s="595" t="str">
        <f t="shared" si="1"/>
        <v>Do not Enter data</v>
      </c>
      <c r="G34" s="595" t="str">
        <f t="shared" si="1"/>
        <v>Do not Enter data</v>
      </c>
      <c r="H34" s="595" t="str">
        <f t="shared" si="1"/>
        <v>Do not Enter data</v>
      </c>
    </row>
    <row r="35" spans="2:8">
      <c r="B35" s="650" t="s">
        <v>2999</v>
      </c>
      <c r="C35" s="680" t="str">
        <f t="shared" ref="C35:H35" si="2">IF(C31="Rooftop", C34*746, "NA")</f>
        <v>NA</v>
      </c>
      <c r="D35" s="680" t="str">
        <f t="shared" si="2"/>
        <v>NA</v>
      </c>
      <c r="E35" s="680" t="str">
        <f t="shared" si="2"/>
        <v>NA</v>
      </c>
      <c r="F35" s="680" t="str">
        <f t="shared" si="2"/>
        <v>NA</v>
      </c>
      <c r="G35" s="680" t="str">
        <f t="shared" si="2"/>
        <v>NA</v>
      </c>
      <c r="H35" s="680" t="str">
        <f t="shared" si="2"/>
        <v>NA</v>
      </c>
    </row>
    <row r="36" spans="2:8">
      <c r="B36" s="650" t="s">
        <v>2689</v>
      </c>
      <c r="C36" s="595" t="str">
        <f>IF(C31="Rooftop", "", "Do not Enter data")</f>
        <v>Do not Enter data</v>
      </c>
      <c r="D36" s="595" t="str">
        <f>IF(D31="Rooftop","","Do not Enter data")</f>
        <v>Do not Enter data</v>
      </c>
      <c r="E36" s="595" t="str">
        <f>IF(E31="Rooftop", "", "Do not Enter data")</f>
        <v>Do not Enter data</v>
      </c>
      <c r="F36" s="595" t="str">
        <f>IF(F31="Rooftop","","Do not Enter data")</f>
        <v>Do not Enter data</v>
      </c>
      <c r="G36" s="595" t="str">
        <f>IF(G31="Rooftop","","Do not Enter data")</f>
        <v>Do not Enter data</v>
      </c>
      <c r="H36" s="595" t="str">
        <f>IF(H31="Rooftop","","Do not Enter data")</f>
        <v>Do not Enter data</v>
      </c>
    </row>
    <row r="37" spans="2:8">
      <c r="B37" s="650" t="s">
        <v>2695</v>
      </c>
      <c r="C37" s="661" t="str">
        <f>IF(C31="Rooftop", "", "Do not Enter data")</f>
        <v>Do not Enter data</v>
      </c>
      <c r="D37" s="661" t="str">
        <f>IF(D31="Rooftop","","Do not Enter data")</f>
        <v>Do not Enter data</v>
      </c>
      <c r="E37" s="661" t="str">
        <f>IF(E31="Rooftop", "", "Do not Enter data")</f>
        <v>Do not Enter data</v>
      </c>
      <c r="F37" s="661" t="str">
        <f>IF(F31="Rooftop","","Do not Enter data")</f>
        <v>Do not Enter data</v>
      </c>
      <c r="G37" s="661" t="str">
        <f>IF(G31="Rooftop","","Do not Enter data")</f>
        <v>Do not Enter data</v>
      </c>
      <c r="H37" s="661" t="str">
        <f>IF(H31="Rooftop","","Do not Enter data")</f>
        <v>Do not Enter data</v>
      </c>
    </row>
    <row r="38" spans="2:8">
      <c r="B38" s="650" t="s">
        <v>2999</v>
      </c>
      <c r="C38" s="679" t="str">
        <f t="shared" ref="C38:H38" si="3">IF(C31="Rooftop", C36*746/C37, "NA")</f>
        <v>NA</v>
      </c>
      <c r="D38" s="679" t="str">
        <f t="shared" si="3"/>
        <v>NA</v>
      </c>
      <c r="E38" s="679" t="str">
        <f t="shared" si="3"/>
        <v>NA</v>
      </c>
      <c r="F38" s="679" t="str">
        <f t="shared" si="3"/>
        <v>NA</v>
      </c>
      <c r="G38" s="679" t="str">
        <f t="shared" si="3"/>
        <v>NA</v>
      </c>
      <c r="H38" s="679" t="str">
        <f t="shared" si="3"/>
        <v>NA</v>
      </c>
    </row>
    <row r="40" spans="2:8">
      <c r="B40" s="536"/>
      <c r="C40" s="608" t="s">
        <v>1245</v>
      </c>
      <c r="D40" s="608" t="s">
        <v>1239</v>
      </c>
      <c r="E40" s="608" t="s">
        <v>2698</v>
      </c>
      <c r="F40" s="608"/>
      <c r="G40" s="536"/>
    </row>
    <row r="41" spans="2:8">
      <c r="B41" s="652" t="s">
        <v>2696</v>
      </c>
      <c r="C41" s="613">
        <f>1.5*C45</f>
        <v>100</v>
      </c>
      <c r="D41" s="613">
        <f>1.5*20</f>
        <v>30</v>
      </c>
      <c r="E41" s="613">
        <f>C41*'DHW Demand'!$G$26+D41*'DHW Demand'!$G$27</f>
        <v>0</v>
      </c>
      <c r="F41" s="608"/>
      <c r="G41" s="536"/>
    </row>
    <row r="42" spans="2:8">
      <c r="B42" s="652" t="s">
        <v>2697</v>
      </c>
      <c r="C42" s="613">
        <f>1.5*100</f>
        <v>150</v>
      </c>
      <c r="D42" s="613">
        <f>1.5*50</f>
        <v>75</v>
      </c>
      <c r="E42" s="613">
        <f>C42*'DHW Demand'!$G$26+D42*'DHW Demand'!$G$27</f>
        <v>0</v>
      </c>
      <c r="F42" s="536"/>
      <c r="G42" s="536"/>
    </row>
    <row r="43" spans="2:8">
      <c r="B43" s="536"/>
      <c r="C43" s="536"/>
      <c r="D43" s="536"/>
      <c r="E43" s="536"/>
      <c r="F43" s="536"/>
      <c r="G43" s="536"/>
    </row>
    <row r="44" spans="2:8">
      <c r="B44" s="536"/>
      <c r="C44" s="608" t="s">
        <v>1245</v>
      </c>
      <c r="D44" s="608" t="s">
        <v>1239</v>
      </c>
      <c r="E44" s="608" t="s">
        <v>2857</v>
      </c>
      <c r="F44" s="536"/>
      <c r="G44" s="536"/>
    </row>
    <row r="45" spans="2:8">
      <c r="B45" s="652" t="s">
        <v>2858</v>
      </c>
      <c r="C45" s="615">
        <f>C50</f>
        <v>66.666666666666671</v>
      </c>
      <c r="D45" s="613">
        <v>20</v>
      </c>
      <c r="E45" s="613">
        <f>C45*'DHW Demand'!$G$26+D45*'DHW Demand'!$G$27</f>
        <v>0</v>
      </c>
      <c r="F45" s="536"/>
      <c r="G45" s="536"/>
    </row>
    <row r="46" spans="2:8">
      <c r="B46" s="652" t="s">
        <v>2859</v>
      </c>
      <c r="C46" s="613">
        <v>100</v>
      </c>
      <c r="D46" s="613">
        <v>50</v>
      </c>
      <c r="E46" s="613">
        <f>C46*'DHW Demand'!$G$26+D46*'DHW Demand'!$G$27</f>
        <v>0</v>
      </c>
      <c r="F46" s="536"/>
      <c r="G46" s="536"/>
    </row>
    <row r="47" spans="2:8">
      <c r="B47" s="536"/>
      <c r="C47" s="536"/>
      <c r="D47" s="536"/>
      <c r="E47" s="536"/>
      <c r="F47" s="536"/>
      <c r="G47" s="536"/>
    </row>
    <row r="48" spans="2:8">
      <c r="B48" s="654" t="s">
        <v>2860</v>
      </c>
      <c r="C48" s="484">
        <v>100</v>
      </c>
      <c r="D48" s="536"/>
      <c r="E48" s="536"/>
      <c r="F48" s="536"/>
      <c r="G48" s="536"/>
    </row>
    <row r="49" spans="2:7">
      <c r="B49" s="654" t="s">
        <v>2861</v>
      </c>
      <c r="C49" s="484">
        <v>8</v>
      </c>
      <c r="D49" s="536"/>
      <c r="E49" s="536"/>
      <c r="F49" s="536"/>
      <c r="G49" s="536"/>
    </row>
    <row r="50" spans="2:7">
      <c r="B50" s="654" t="s">
        <v>2862</v>
      </c>
      <c r="C50" s="653">
        <f>5*C48*C49/60</f>
        <v>66.666666666666671</v>
      </c>
      <c r="D50" s="536"/>
      <c r="E50" s="536"/>
      <c r="F50" s="536"/>
      <c r="G50" s="536"/>
    </row>
    <row r="51" spans="2:7">
      <c r="B51" s="536"/>
      <c r="C51" s="536"/>
      <c r="D51" s="536"/>
      <c r="E51" s="536"/>
      <c r="F51" s="536"/>
      <c r="G51" s="536"/>
    </row>
    <row r="52" spans="2:7">
      <c r="B52" s="655" t="s">
        <v>3002</v>
      </c>
      <c r="C52" s="618" t="s">
        <v>2863</v>
      </c>
      <c r="D52" s="618" t="s">
        <v>2864</v>
      </c>
      <c r="E52" s="618" t="s">
        <v>2865</v>
      </c>
      <c r="F52" s="618" t="s">
        <v>2866</v>
      </c>
      <c r="G52" s="618" t="s">
        <v>2867</v>
      </c>
    </row>
    <row r="53" spans="2:7">
      <c r="B53" s="654" t="s">
        <v>2868</v>
      </c>
      <c r="C53" s="484"/>
      <c r="D53" s="484"/>
      <c r="E53" s="484"/>
      <c r="F53" s="484"/>
      <c r="G53" s="484"/>
    </row>
    <row r="54" spans="2:7">
      <c r="B54" s="654" t="s">
        <v>2869</v>
      </c>
      <c r="C54" s="653">
        <f>0.01*C53+7.5*(2)</f>
        <v>15</v>
      </c>
      <c r="D54" s="653">
        <f>0.01*D53+7.5*(2)</f>
        <v>15</v>
      </c>
      <c r="E54" s="653">
        <f>0.01*E53+7.5*(3)</f>
        <v>22.5</v>
      </c>
      <c r="F54" s="653">
        <f>0.01*F53+7.5*(4)</f>
        <v>30</v>
      </c>
      <c r="G54" s="653">
        <f>0.01*G53+7.5*(5)</f>
        <v>37.5</v>
      </c>
    </row>
  </sheetData>
  <mergeCells count="16">
    <mergeCell ref="I15:J15"/>
    <mergeCell ref="I16:J16"/>
    <mergeCell ref="I17:J17"/>
    <mergeCell ref="I18:J18"/>
    <mergeCell ref="C15:D15"/>
    <mergeCell ref="C16:D16"/>
    <mergeCell ref="C17:D17"/>
    <mergeCell ref="C18:D18"/>
    <mergeCell ref="G15:H15"/>
    <mergeCell ref="G16:H16"/>
    <mergeCell ref="G17:H17"/>
    <mergeCell ref="G18:H18"/>
    <mergeCell ref="E15:F15"/>
    <mergeCell ref="E16:F16"/>
    <mergeCell ref="E17:F17"/>
    <mergeCell ref="E18:F18"/>
  </mergeCells>
  <phoneticPr fontId="29" type="noConversion"/>
  <conditionalFormatting sqref="C19">
    <cfRule type="cellIs" dxfId="1" priority="1" operator="greaterThan">
      <formula>$E$41</formula>
    </cfRule>
    <cfRule type="cellIs" dxfId="0" priority="2" operator="greaterThan">
      <formula>$D$19</formula>
    </cfRule>
  </conditionalFormatting>
  <dataValidations count="2">
    <dataValidation type="list" allowBlank="1" showInputMessage="1" showErrorMessage="1" sqref="E31 G31">
      <formula1>Fan</formula1>
    </dataValidation>
    <dataValidation type="list" allowBlank="1" showInputMessage="1" showErrorMessage="1" sqref="C31">
      <formula1>Fan</formula1>
    </dataValidation>
  </dataValidation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sheetPr codeName="Sheet13" enableFormatConditionsCalculation="0">
    <tabColor theme="6" tint="0.39997558519241921"/>
  </sheetPr>
  <dimension ref="A1:M33"/>
  <sheetViews>
    <sheetView showGridLines="0" workbookViewId="0">
      <selection activeCell="C14" sqref="C14"/>
    </sheetView>
  </sheetViews>
  <sheetFormatPr defaultRowHeight="12"/>
  <cols>
    <col min="1" max="1" width="2" style="429" bestFit="1" customWidth="1"/>
    <col min="2" max="2" width="33.7109375" style="429" customWidth="1"/>
    <col min="3" max="3" width="14.28515625" style="429" customWidth="1"/>
    <col min="4" max="4" width="12.42578125" style="429" customWidth="1"/>
    <col min="5" max="5" width="11.42578125" style="429" customWidth="1"/>
    <col min="6" max="11" width="10" style="429" customWidth="1"/>
    <col min="12" max="16384" width="9.140625" style="429"/>
  </cols>
  <sheetData>
    <row r="1" spans="1:13" ht="18.75">
      <c r="B1" s="452" t="s">
        <v>3001</v>
      </c>
    </row>
    <row r="3" spans="1:13">
      <c r="A3" s="393"/>
      <c r="B3" s="393" t="s">
        <v>2345</v>
      </c>
    </row>
    <row r="4" spans="1:13">
      <c r="A4" s="429">
        <v>1</v>
      </c>
      <c r="B4" s="447" t="s">
        <v>2672</v>
      </c>
      <c r="C4" s="447"/>
      <c r="D4" s="447"/>
      <c r="E4" s="447"/>
    </row>
    <row r="5" spans="1:13">
      <c r="A5" s="429">
        <v>2</v>
      </c>
      <c r="B5" s="447" t="s">
        <v>2673</v>
      </c>
      <c r="C5" s="447"/>
      <c r="D5" s="447"/>
      <c r="E5" s="447"/>
    </row>
    <row r="6" spans="1:13">
      <c r="A6" s="429">
        <v>3</v>
      </c>
      <c r="B6" s="429" t="s">
        <v>1049</v>
      </c>
      <c r="C6" s="447"/>
      <c r="D6" s="447"/>
    </row>
    <row r="7" spans="1:13">
      <c r="A7" s="429">
        <v>4</v>
      </c>
      <c r="B7" s="540" t="s">
        <v>2346</v>
      </c>
      <c r="C7" s="447"/>
      <c r="D7" s="447"/>
    </row>
    <row r="8" spans="1:13">
      <c r="A8" s="429">
        <v>5</v>
      </c>
      <c r="B8" s="432" t="s">
        <v>2671</v>
      </c>
      <c r="C8" s="447"/>
    </row>
    <row r="9" spans="1:13">
      <c r="A9" s="429">
        <v>6</v>
      </c>
      <c r="B9" s="693" t="s">
        <v>3017</v>
      </c>
      <c r="C9" s="693"/>
      <c r="D9" s="693"/>
    </row>
    <row r="10" spans="1:13">
      <c r="B10" s="688"/>
      <c r="C10" s="688"/>
      <c r="D10" s="688"/>
    </row>
    <row r="11" spans="1:13">
      <c r="C11" s="731" t="s">
        <v>787</v>
      </c>
      <c r="D11" s="732"/>
      <c r="E11" s="731" t="s">
        <v>2404</v>
      </c>
      <c r="F11" s="733"/>
      <c r="G11" s="733"/>
      <c r="H11" s="733"/>
      <c r="I11" s="733"/>
      <c r="J11" s="733"/>
      <c r="K11" s="732"/>
    </row>
    <row r="12" spans="1:13" ht="36">
      <c r="B12" s="678"/>
      <c r="C12" s="677" t="s">
        <v>2405</v>
      </c>
      <c r="D12" s="677" t="s">
        <v>667</v>
      </c>
      <c r="E12" s="677" t="s">
        <v>667</v>
      </c>
      <c r="F12" s="677" t="s">
        <v>2406</v>
      </c>
      <c r="G12" s="677" t="s">
        <v>2407</v>
      </c>
      <c r="H12" s="677" t="s">
        <v>2408</v>
      </c>
      <c r="I12" s="677" t="s">
        <v>2409</v>
      </c>
      <c r="J12" s="677" t="s">
        <v>2410</v>
      </c>
      <c r="K12" s="677" t="s">
        <v>2411</v>
      </c>
    </row>
    <row r="13" spans="1:13">
      <c r="B13" s="547" t="s">
        <v>2412</v>
      </c>
      <c r="C13" s="662" t="s">
        <v>2413</v>
      </c>
      <c r="D13" s="662" t="s">
        <v>2413</v>
      </c>
      <c r="E13" s="673"/>
      <c r="F13" s="674"/>
      <c r="G13" s="674"/>
      <c r="H13" s="674"/>
      <c r="I13" s="674"/>
      <c r="J13" s="674"/>
      <c r="K13" s="674"/>
    </row>
    <row r="14" spans="1:13">
      <c r="B14" s="547" t="s">
        <v>1149</v>
      </c>
      <c r="C14" s="663">
        <f>IF(C15&gt;15000,9.305,IF(C15&lt;7000,11.009,12.5-(0.213*C15/1000)))</f>
        <v>11.009</v>
      </c>
      <c r="D14" s="664">
        <f>IF(D15&gt;15000,9.305,IF(D15&lt;7000,11.009,12.5-(0.213*D15/1000)))</f>
        <v>11.009</v>
      </c>
      <c r="E14" s="673"/>
      <c r="F14" s="674"/>
      <c r="G14" s="674"/>
      <c r="H14" s="674"/>
      <c r="I14" s="674"/>
      <c r="J14" s="674"/>
      <c r="K14" s="674"/>
      <c r="M14" s="665"/>
    </row>
    <row r="15" spans="1:13">
      <c r="B15" s="666" t="s">
        <v>3011</v>
      </c>
      <c r="C15" s="689"/>
      <c r="D15" s="689"/>
      <c r="E15" s="689"/>
      <c r="F15" s="689"/>
      <c r="G15" s="689"/>
      <c r="H15" s="689"/>
      <c r="I15" s="689"/>
      <c r="J15" s="689"/>
      <c r="K15" s="689"/>
      <c r="M15" s="665"/>
    </row>
    <row r="16" spans="1:13">
      <c r="B16" s="667" t="s">
        <v>3012</v>
      </c>
      <c r="C16" s="668" t="s">
        <v>202</v>
      </c>
      <c r="D16" s="669" t="s">
        <v>202</v>
      </c>
      <c r="E16" s="674"/>
      <c r="F16" s="674"/>
      <c r="G16" s="674"/>
      <c r="H16" s="674"/>
      <c r="I16" s="674"/>
      <c r="J16" s="674"/>
      <c r="K16" s="674"/>
    </row>
    <row r="17" spans="2:11">
      <c r="B17" s="667" t="s">
        <v>3013</v>
      </c>
      <c r="C17" s="668" t="s">
        <v>202</v>
      </c>
      <c r="D17" s="669" t="s">
        <v>202</v>
      </c>
      <c r="E17" s="690"/>
      <c r="F17" s="691"/>
      <c r="G17" s="691"/>
      <c r="H17" s="691"/>
      <c r="I17" s="691"/>
      <c r="J17" s="691"/>
      <c r="K17" s="691"/>
    </row>
    <row r="18" spans="2:11">
      <c r="B18" s="667" t="s">
        <v>3014</v>
      </c>
      <c r="C18" s="684" t="s">
        <v>202</v>
      </c>
      <c r="D18" s="684" t="s">
        <v>202</v>
      </c>
      <c r="E18" s="675"/>
      <c r="F18" s="676"/>
      <c r="G18" s="676"/>
      <c r="H18" s="676"/>
      <c r="I18" s="676"/>
      <c r="J18" s="676"/>
      <c r="K18" s="676"/>
    </row>
    <row r="19" spans="2:11">
      <c r="B19" s="667" t="s">
        <v>1150</v>
      </c>
      <c r="C19" s="670">
        <v>2.9999999999999997E-4</v>
      </c>
      <c r="D19" s="670">
        <v>2.9999999999999997E-4</v>
      </c>
      <c r="E19" s="671">
        <f>IF(E18+E17=0,0,E16*0.746/E18/E17)</f>
        <v>0</v>
      </c>
      <c r="F19" s="671">
        <f t="shared" ref="F19:K19" si="0">IF(F18+F17=0,0,F16*0.746/F18/F17)</f>
        <v>0</v>
      </c>
      <c r="G19" s="671">
        <f t="shared" si="0"/>
        <v>0</v>
      </c>
      <c r="H19" s="671">
        <f t="shared" si="0"/>
        <v>0</v>
      </c>
      <c r="I19" s="671">
        <f t="shared" si="0"/>
        <v>0</v>
      </c>
      <c r="J19" s="671">
        <f t="shared" si="0"/>
        <v>0</v>
      </c>
      <c r="K19" s="671">
        <f t="shared" si="0"/>
        <v>0</v>
      </c>
    </row>
    <row r="20" spans="2:11">
      <c r="B20" s="667" t="s">
        <v>2414</v>
      </c>
      <c r="C20" s="672">
        <f>(1/C14-0.365*400/12000)/((1/3.413)+0.365*400/12000)</f>
        <v>0.2577895729181931</v>
      </c>
      <c r="D20" s="672">
        <f>(1/D14-0.365*400/12000)/((1/3.413)+0.365*400/12000)</f>
        <v>0.2577895729181931</v>
      </c>
      <c r="E20" s="672">
        <f>IF(E14=0,0,(1/E14-0.365*400/12000)/((1/3.413)+0.365*400/12000))</f>
        <v>0</v>
      </c>
      <c r="F20" s="672">
        <f t="shared" ref="F20:K20" si="1">IF(F14=0,0,(1/F14-0.365*400/12000)/((1/3.413)+0.365*400/12000))</f>
        <v>0</v>
      </c>
      <c r="G20" s="672">
        <f t="shared" si="1"/>
        <v>0</v>
      </c>
      <c r="H20" s="672">
        <f t="shared" si="1"/>
        <v>0</v>
      </c>
      <c r="I20" s="672">
        <f t="shared" si="1"/>
        <v>0</v>
      </c>
      <c r="J20" s="672">
        <f t="shared" si="1"/>
        <v>0</v>
      </c>
      <c r="K20" s="672">
        <f t="shared" si="1"/>
        <v>0</v>
      </c>
    </row>
    <row r="24" spans="2:11">
      <c r="C24" s="731" t="s">
        <v>787</v>
      </c>
      <c r="D24" s="732"/>
      <c r="E24" s="731" t="s">
        <v>2404</v>
      </c>
      <c r="F24" s="733"/>
      <c r="G24" s="733"/>
      <c r="H24" s="733"/>
      <c r="I24" s="733"/>
      <c r="J24" s="733"/>
      <c r="K24" s="732"/>
    </row>
    <row r="25" spans="2:11" ht="36">
      <c r="B25" s="678"/>
      <c r="C25" s="677" t="s">
        <v>2405</v>
      </c>
      <c r="D25" s="677" t="s">
        <v>667</v>
      </c>
      <c r="E25" s="677" t="s">
        <v>667</v>
      </c>
      <c r="F25" s="677" t="s">
        <v>2406</v>
      </c>
      <c r="G25" s="677" t="s">
        <v>2407</v>
      </c>
      <c r="H25" s="677" t="s">
        <v>2408</v>
      </c>
      <c r="I25" s="677" t="s">
        <v>2409</v>
      </c>
      <c r="J25" s="677" t="s">
        <v>2410</v>
      </c>
      <c r="K25" s="677" t="s">
        <v>2411</v>
      </c>
    </row>
    <row r="26" spans="2:11">
      <c r="B26" s="547" t="s">
        <v>2412</v>
      </c>
      <c r="C26" s="662" t="s">
        <v>13</v>
      </c>
      <c r="D26" s="662" t="s">
        <v>13</v>
      </c>
      <c r="E26" s="673"/>
      <c r="F26" s="674"/>
      <c r="G26" s="674"/>
      <c r="H26" s="674"/>
      <c r="I26" s="674"/>
      <c r="J26" s="674"/>
      <c r="K26" s="674"/>
    </row>
    <row r="27" spans="2:11">
      <c r="B27" s="547" t="s">
        <v>1149</v>
      </c>
      <c r="C27" s="663">
        <f>IF(C28&gt;15000,9.105,IF(C28&lt;7000,10.809,12.3-(0.213*C28/1000)))</f>
        <v>10.808999999999999</v>
      </c>
      <c r="D27" s="664">
        <f>IF(D28&gt;15000,9.105,IF(D28&lt;7000,10.809,12.3-(0.213*D28/1000)))</f>
        <v>10.808999999999999</v>
      </c>
      <c r="E27" s="673"/>
      <c r="F27" s="674"/>
      <c r="G27" s="674"/>
      <c r="H27" s="674"/>
      <c r="I27" s="674"/>
      <c r="J27" s="674"/>
      <c r="K27" s="674"/>
    </row>
    <row r="28" spans="2:11">
      <c r="B28" s="666" t="s">
        <v>3011</v>
      </c>
      <c r="C28" s="692"/>
      <c r="D28" s="692"/>
      <c r="E28" s="692"/>
      <c r="F28" s="692"/>
      <c r="G28" s="692"/>
      <c r="H28" s="692"/>
      <c r="I28" s="692"/>
      <c r="J28" s="692"/>
      <c r="K28" s="692"/>
    </row>
    <row r="29" spans="2:11">
      <c r="B29" s="667" t="s">
        <v>3012</v>
      </c>
      <c r="C29" s="668" t="s">
        <v>202</v>
      </c>
      <c r="D29" s="669" t="s">
        <v>202</v>
      </c>
      <c r="E29" s="674"/>
      <c r="F29" s="674"/>
      <c r="G29" s="674"/>
      <c r="H29" s="674"/>
      <c r="I29" s="674"/>
      <c r="J29" s="674"/>
      <c r="K29" s="674"/>
    </row>
    <row r="30" spans="2:11">
      <c r="B30" s="667" t="s">
        <v>3013</v>
      </c>
      <c r="C30" s="668" t="s">
        <v>202</v>
      </c>
      <c r="D30" s="669" t="s">
        <v>202</v>
      </c>
      <c r="E30" s="675"/>
      <c r="F30" s="676"/>
      <c r="G30" s="676"/>
      <c r="H30" s="676"/>
      <c r="I30" s="676"/>
      <c r="J30" s="676"/>
      <c r="K30" s="676"/>
    </row>
    <row r="31" spans="2:11">
      <c r="B31" s="667" t="s">
        <v>3014</v>
      </c>
      <c r="C31" s="684" t="s">
        <v>202</v>
      </c>
      <c r="D31" s="684" t="s">
        <v>202</v>
      </c>
      <c r="E31" s="690"/>
      <c r="F31" s="691"/>
      <c r="G31" s="691"/>
      <c r="H31" s="691"/>
      <c r="I31" s="691"/>
      <c r="J31" s="691"/>
      <c r="K31" s="691"/>
    </row>
    <row r="32" spans="2:11">
      <c r="B32" s="667" t="s">
        <v>1150</v>
      </c>
      <c r="C32" s="670">
        <v>2.9999999999999997E-4</v>
      </c>
      <c r="D32" s="670">
        <v>2.9999999999999997E-4</v>
      </c>
      <c r="E32" s="671">
        <f t="shared" ref="E32:K32" si="2">IF(E31+E30=0,0,E29*0.746/E31/E30)</f>
        <v>0</v>
      </c>
      <c r="F32" s="671">
        <f t="shared" si="2"/>
        <v>0</v>
      </c>
      <c r="G32" s="671">
        <f t="shared" si="2"/>
        <v>0</v>
      </c>
      <c r="H32" s="671">
        <f t="shared" si="2"/>
        <v>0</v>
      </c>
      <c r="I32" s="671">
        <f t="shared" si="2"/>
        <v>0</v>
      </c>
      <c r="J32" s="671">
        <f t="shared" si="2"/>
        <v>0</v>
      </c>
      <c r="K32" s="671">
        <f t="shared" si="2"/>
        <v>0</v>
      </c>
    </row>
    <row r="33" spans="2:11">
      <c r="B33" s="667" t="s">
        <v>2414</v>
      </c>
      <c r="C33" s="672">
        <f>(1/C27-0.365*400/12000)/((1/3.413)+0.365*400/12000)</f>
        <v>0.26329718401113056</v>
      </c>
      <c r="D33" s="672">
        <f>(1/D27-0.365*400/12000)/((1/3.413)+0.365*400/12000)</f>
        <v>0.26329718401113056</v>
      </c>
      <c r="E33" s="672">
        <f>IF(E27=0,0,(1/E27-0.365*400/12000)/((1/3.413)+0.365*400/12000))</f>
        <v>0</v>
      </c>
      <c r="F33" s="672">
        <f t="shared" ref="F33:K33" si="3">IF(F27=0,0,(1/F27-0.365*400/12000)/((1/3.413)+0.365*400/12000))</f>
        <v>0</v>
      </c>
      <c r="G33" s="672">
        <f t="shared" si="3"/>
        <v>0</v>
      </c>
      <c r="H33" s="672">
        <f t="shared" si="3"/>
        <v>0</v>
      </c>
      <c r="I33" s="672">
        <f t="shared" si="3"/>
        <v>0</v>
      </c>
      <c r="J33" s="672">
        <f t="shared" si="3"/>
        <v>0</v>
      </c>
      <c r="K33" s="672">
        <f t="shared" si="3"/>
        <v>0</v>
      </c>
    </row>
  </sheetData>
  <mergeCells count="4">
    <mergeCell ref="C11:D11"/>
    <mergeCell ref="E11:K11"/>
    <mergeCell ref="C24:D24"/>
    <mergeCell ref="E24:K24"/>
  </mergeCells>
  <phoneticPr fontId="29" type="noConversion"/>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sheetPr>
    <tabColor theme="6" tint="0.39997558519241921"/>
  </sheetPr>
  <dimension ref="A1:J40"/>
  <sheetViews>
    <sheetView showGridLines="0" workbookViewId="0">
      <selection activeCell="B5" sqref="B5:E5"/>
    </sheetView>
  </sheetViews>
  <sheetFormatPr defaultRowHeight="15"/>
  <cols>
    <col min="1" max="1" width="2.140625" style="241" bestFit="1" customWidth="1"/>
    <col min="2" max="2" width="31.5703125" style="241" bestFit="1" customWidth="1"/>
    <col min="3" max="3" width="44.5703125" style="241" customWidth="1"/>
    <col min="4" max="4" width="38.140625" style="241" customWidth="1"/>
    <col min="5" max="5" width="34.85546875" style="241" customWidth="1"/>
    <col min="6" max="6" width="33" style="241" bestFit="1" customWidth="1"/>
    <col min="7" max="16384" width="9.140625" style="241"/>
  </cols>
  <sheetData>
    <row r="1" spans="1:10" ht="18.75">
      <c r="B1" s="395" t="s">
        <v>2932</v>
      </c>
    </row>
    <row r="2" spans="1:10" ht="18.75">
      <c r="B2" s="395"/>
    </row>
    <row r="3" spans="1:10">
      <c r="A3" s="267"/>
      <c r="B3" s="396" t="s">
        <v>1046</v>
      </c>
      <c r="C3" s="397"/>
      <c r="D3" s="397"/>
      <c r="E3" s="397"/>
    </row>
    <row r="4" spans="1:10" s="364" customFormat="1" ht="12" customHeight="1">
      <c r="A4" s="363">
        <v>1</v>
      </c>
      <c r="B4" s="398" t="s">
        <v>3004</v>
      </c>
      <c r="C4" s="397"/>
      <c r="D4" s="397"/>
      <c r="E4" s="397"/>
    </row>
    <row r="5" spans="1:10" s="364" customFormat="1" ht="12" customHeight="1">
      <c r="A5" s="363">
        <v>2</v>
      </c>
      <c r="B5" s="734" t="s">
        <v>2623</v>
      </c>
      <c r="C5" s="734"/>
      <c r="D5" s="734"/>
      <c r="E5" s="734"/>
    </row>
    <row r="6" spans="1:10" s="366" customFormat="1" ht="12" customHeight="1">
      <c r="A6" s="363">
        <v>3</v>
      </c>
      <c r="B6" s="735" t="s">
        <v>2624</v>
      </c>
      <c r="C6" s="735"/>
      <c r="D6" s="735"/>
      <c r="E6" s="735"/>
      <c r="F6" s="365"/>
      <c r="G6" s="365"/>
      <c r="H6" s="365"/>
      <c r="I6" s="365"/>
      <c r="J6" s="365"/>
    </row>
    <row r="7" spans="1:10" s="366" customFormat="1" ht="12" customHeight="1">
      <c r="A7" s="367">
        <v>4</v>
      </c>
      <c r="B7" s="735" t="s">
        <v>2625</v>
      </c>
      <c r="C7" s="735"/>
      <c r="D7" s="735"/>
      <c r="E7" s="735"/>
      <c r="F7" s="365"/>
      <c r="G7" s="365"/>
      <c r="H7" s="365"/>
      <c r="I7" s="365"/>
      <c r="J7" s="365"/>
    </row>
    <row r="8" spans="1:10" s="366" customFormat="1" ht="12" customHeight="1">
      <c r="A8" s="367">
        <v>5</v>
      </c>
      <c r="B8" s="735" t="s">
        <v>2626</v>
      </c>
      <c r="C8" s="735"/>
      <c r="D8" s="735"/>
      <c r="E8" s="735"/>
      <c r="F8" s="365"/>
      <c r="G8" s="365"/>
      <c r="H8" s="365"/>
      <c r="I8" s="365"/>
      <c r="J8" s="365"/>
    </row>
    <row r="9" spans="1:10" s="366" customFormat="1" ht="12" customHeight="1">
      <c r="A9" s="367">
        <v>6</v>
      </c>
      <c r="B9" s="735" t="s">
        <v>2643</v>
      </c>
      <c r="C9" s="735"/>
      <c r="D9" s="735"/>
      <c r="E9" s="735"/>
      <c r="F9" s="365"/>
      <c r="G9" s="365"/>
      <c r="H9" s="365"/>
      <c r="I9" s="365"/>
      <c r="J9" s="365"/>
    </row>
    <row r="10" spans="1:10" s="366" customFormat="1" ht="11.25" customHeight="1">
      <c r="A10" s="367"/>
      <c r="B10" s="368"/>
      <c r="C10" s="368"/>
      <c r="D10" s="368"/>
      <c r="E10" s="368"/>
      <c r="F10" s="365"/>
      <c r="G10" s="365"/>
      <c r="H10" s="365"/>
      <c r="I10" s="365"/>
      <c r="J10" s="365"/>
    </row>
    <row r="11" spans="1:10" ht="17.25" customHeight="1">
      <c r="B11" s="416" t="s">
        <v>2644</v>
      </c>
      <c r="C11" s="399">
        <v>3.0899999999999999E-3</v>
      </c>
      <c r="D11" s="400"/>
      <c r="E11" s="400"/>
      <c r="F11" s="265"/>
      <c r="G11" s="265"/>
      <c r="H11" s="265"/>
      <c r="I11" s="265"/>
      <c r="J11" s="265"/>
    </row>
    <row r="12" spans="1:10">
      <c r="B12" s="416" t="s">
        <v>2627</v>
      </c>
      <c r="C12" s="401">
        <f>'Project Size'!C4+'Project Size'!C5+2*'Project Size'!C6+3*'Project Size'!C7+4*'Project Size'!C8</f>
        <v>0</v>
      </c>
      <c r="D12" s="402"/>
      <c r="E12" s="403"/>
      <c r="F12" s="264"/>
    </row>
    <row r="13" spans="1:10">
      <c r="B13" s="416" t="s">
        <v>2628</v>
      </c>
      <c r="C13" s="401">
        <f>IF('DHW Demand'!G19="Y", 430*'DHW Demand'!G21, 0)</f>
        <v>0</v>
      </c>
      <c r="D13" s="402"/>
      <c r="E13" s="404"/>
      <c r="F13" s="266"/>
    </row>
    <row r="14" spans="1:10">
      <c r="B14" s="416" t="s">
        <v>2629</v>
      </c>
      <c r="C14" s="401">
        <f>('DHW Demand'!G14-'DHW Demand'!G15)*'DHW Demand'!G30</f>
        <v>0</v>
      </c>
      <c r="D14" s="402"/>
      <c r="E14" s="404"/>
      <c r="F14" s="266"/>
    </row>
    <row r="15" spans="1:10">
      <c r="B15" s="402"/>
      <c r="C15" s="402"/>
      <c r="D15" s="402"/>
      <c r="E15" s="405"/>
      <c r="F15" s="266"/>
    </row>
    <row r="16" spans="1:10">
      <c r="B16" s="417" t="s">
        <v>2630</v>
      </c>
      <c r="C16" s="402"/>
      <c r="D16" s="418" t="s">
        <v>2639</v>
      </c>
      <c r="E16" s="419" t="s">
        <v>2631</v>
      </c>
      <c r="F16" s="264"/>
    </row>
    <row r="17" spans="2:6">
      <c r="B17" s="423" t="s">
        <v>1252</v>
      </c>
      <c r="C17" s="406"/>
      <c r="D17" s="407">
        <v>1.6</v>
      </c>
      <c r="E17" s="408">
        <f>IF(C18="&lt;Enter '0' if no urinals&gt;",'Tables of Values'!B3*($C$12*'Tables of Values'!C12)*365,'Tables of Values'!B3*($C$12*'Tables of Values'!C12-C18)*365)</f>
        <v>0</v>
      </c>
      <c r="F17" s="264"/>
    </row>
    <row r="18" spans="2:6">
      <c r="B18" s="424" t="s">
        <v>1253</v>
      </c>
      <c r="C18" s="428" t="s">
        <v>2933</v>
      </c>
      <c r="D18" s="409">
        <v>1</v>
      </c>
      <c r="E18" s="408">
        <f>IF(C18="&lt;Enter '0' if no urinals&gt;",0,C18*'Tables of Values'!B4*365)</f>
        <v>0</v>
      </c>
    </row>
    <row r="19" spans="2:6">
      <c r="B19" s="423" t="s">
        <v>847</v>
      </c>
      <c r="C19" s="402"/>
      <c r="D19" s="407">
        <v>2.5</v>
      </c>
      <c r="E19" s="408">
        <f>$C$12*'Tables of Values'!B5*'Tables of Values'!C14*('Tables of Values'!B14/60)*365</f>
        <v>0</v>
      </c>
    </row>
    <row r="20" spans="2:6">
      <c r="B20" s="423" t="s">
        <v>848</v>
      </c>
      <c r="C20" s="402"/>
      <c r="D20" s="407">
        <v>2.5</v>
      </c>
      <c r="E20" s="408">
        <f>$C$12*'Tables of Values'!B6*'Tables of Values'!C15*('Tables of Values'!B15/60)*365</f>
        <v>0</v>
      </c>
    </row>
    <row r="21" spans="2:6">
      <c r="B21" s="423" t="s">
        <v>849</v>
      </c>
      <c r="C21" s="402"/>
      <c r="D21" s="407">
        <v>2.5</v>
      </c>
      <c r="E21" s="408">
        <f>$C$12*'Tables of Values'!B7*'Tables of Values'!C16*('Tables of Values'!B16/60)*365</f>
        <v>0</v>
      </c>
    </row>
    <row r="22" spans="2:6">
      <c r="B22" s="425" t="s">
        <v>1327</v>
      </c>
      <c r="C22" s="402"/>
      <c r="D22" s="402"/>
      <c r="E22" s="410">
        <f>SUM(E17:E21)</f>
        <v>0</v>
      </c>
    </row>
    <row r="23" spans="2:6">
      <c r="B23" s="411"/>
      <c r="C23" s="402"/>
      <c r="D23" s="402"/>
      <c r="E23" s="402"/>
    </row>
    <row r="24" spans="2:6">
      <c r="B24" s="417" t="s">
        <v>2632</v>
      </c>
      <c r="C24" s="420" t="s">
        <v>2633</v>
      </c>
      <c r="D24" s="420" t="s">
        <v>2634</v>
      </c>
      <c r="E24" s="421" t="s">
        <v>2635</v>
      </c>
    </row>
    <row r="25" spans="2:6">
      <c r="B25" s="424" t="s">
        <v>1252</v>
      </c>
      <c r="C25" s="428"/>
      <c r="D25" s="428">
        <v>0</v>
      </c>
      <c r="E25" s="408">
        <f>IF(C18="&lt;Enter '0' if no urinals&gt;",(C25*($C$12*'Tables of Values'!C12)*365)-D25,(C25*($C$12*'Tables of Values'!C12-C18)*365)-D25)</f>
        <v>0</v>
      </c>
    </row>
    <row r="26" spans="2:6">
      <c r="B26" s="424" t="s">
        <v>1253</v>
      </c>
      <c r="C26" s="428"/>
      <c r="D26" s="428">
        <v>0</v>
      </c>
      <c r="E26" s="408">
        <f>IF(C18="&lt;Enter '0' if no urinals&gt;",0,(C26*C18*365)-D26)</f>
        <v>0</v>
      </c>
    </row>
    <row r="27" spans="2:6">
      <c r="B27" s="424" t="s">
        <v>847</v>
      </c>
      <c r="C27" s="470">
        <f>'DHW Demand'!G9</f>
        <v>0</v>
      </c>
      <c r="D27" s="428">
        <v>0</v>
      </c>
      <c r="E27" s="408">
        <f>($C$12*C27*'Tables of Values'!C14*('Tables of Values'!B14/60)*365)-D27</f>
        <v>0</v>
      </c>
    </row>
    <row r="28" spans="2:6">
      <c r="B28" s="424" t="s">
        <v>848</v>
      </c>
      <c r="C28" s="470">
        <f>'DHW Demand'!G11</f>
        <v>0</v>
      </c>
      <c r="D28" s="428">
        <v>0</v>
      </c>
      <c r="E28" s="408">
        <f>($C$12*C28*'Tables of Values'!C15*('Tables of Values'!B15/60)*365)-D28</f>
        <v>0</v>
      </c>
    </row>
    <row r="29" spans="2:6">
      <c r="B29" s="424" t="s">
        <v>849</v>
      </c>
      <c r="C29" s="470">
        <f>'DHW Demand'!G10</f>
        <v>0</v>
      </c>
      <c r="D29" s="428">
        <v>0</v>
      </c>
      <c r="E29" s="408">
        <f>($C$12*C29*'Tables of Values'!C16*('Tables of Values'!B16/60)*365)-D29</f>
        <v>0</v>
      </c>
    </row>
    <row r="30" spans="2:6">
      <c r="B30" s="422" t="s">
        <v>1327</v>
      </c>
      <c r="C30" s="402"/>
      <c r="D30" s="402"/>
      <c r="E30" s="410">
        <f>SUM(E25:E29)</f>
        <v>0</v>
      </c>
    </row>
    <row r="31" spans="2:6">
      <c r="B31" s="402"/>
      <c r="C31" s="402"/>
      <c r="D31" s="402"/>
      <c r="E31" s="402"/>
    </row>
    <row r="32" spans="2:6">
      <c r="B32" s="417" t="s">
        <v>2636</v>
      </c>
      <c r="C32" s="421" t="s">
        <v>2637</v>
      </c>
      <c r="D32" s="421" t="s">
        <v>2638</v>
      </c>
      <c r="E32" s="402"/>
    </row>
    <row r="33" spans="2:5">
      <c r="B33" s="426" t="s">
        <v>1252</v>
      </c>
      <c r="C33" s="412">
        <f>E17-E25</f>
        <v>0</v>
      </c>
      <c r="D33" s="413">
        <f t="shared" ref="D33:D38" si="0">C33*$C$11</f>
        <v>0</v>
      </c>
      <c r="E33" s="402"/>
    </row>
    <row r="34" spans="2:5">
      <c r="B34" s="426" t="s">
        <v>1253</v>
      </c>
      <c r="C34" s="412">
        <f>E18-E26</f>
        <v>0</v>
      </c>
      <c r="D34" s="413">
        <f t="shared" si="0"/>
        <v>0</v>
      </c>
      <c r="E34" s="402"/>
    </row>
    <row r="35" spans="2:5">
      <c r="B35" s="426" t="s">
        <v>847</v>
      </c>
      <c r="C35" s="412">
        <f>E19-E27</f>
        <v>0</v>
      </c>
      <c r="D35" s="413">
        <f t="shared" si="0"/>
        <v>0</v>
      </c>
      <c r="E35" s="402"/>
    </row>
    <row r="36" spans="2:5">
      <c r="B36" s="426" t="s">
        <v>848</v>
      </c>
      <c r="C36" s="412">
        <f>E20-E28</f>
        <v>0</v>
      </c>
      <c r="D36" s="413">
        <f t="shared" si="0"/>
        <v>0</v>
      </c>
      <c r="E36" s="402"/>
    </row>
    <row r="37" spans="2:5">
      <c r="B37" s="426" t="s">
        <v>849</v>
      </c>
      <c r="C37" s="412">
        <f>E21-E29</f>
        <v>0</v>
      </c>
      <c r="D37" s="413">
        <f t="shared" si="0"/>
        <v>0</v>
      </c>
      <c r="E37" s="402"/>
    </row>
    <row r="38" spans="2:5">
      <c r="B38" s="422" t="s">
        <v>1327</v>
      </c>
      <c r="C38" s="414">
        <f>SUM(C33:C37,C13:C14)</f>
        <v>0</v>
      </c>
      <c r="D38" s="415">
        <f t="shared" si="0"/>
        <v>0</v>
      </c>
      <c r="E38" s="402"/>
    </row>
    <row r="39" spans="2:5">
      <c r="B39" s="427"/>
      <c r="C39" s="402"/>
      <c r="D39" s="402"/>
      <c r="E39" s="402"/>
    </row>
    <row r="40" spans="2:5">
      <c r="B40" s="402"/>
      <c r="C40" s="402"/>
      <c r="D40" s="402"/>
      <c r="E40" s="402"/>
    </row>
  </sheetData>
  <dataConsolidate/>
  <mergeCells count="5">
    <mergeCell ref="B5:E5"/>
    <mergeCell ref="B6:E6"/>
    <mergeCell ref="B7:E7"/>
    <mergeCell ref="B8:E8"/>
    <mergeCell ref="B9:E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B2:E16"/>
  <sheetViews>
    <sheetView showGridLines="0" workbookViewId="0">
      <selection activeCell="E14" sqref="E14"/>
    </sheetView>
  </sheetViews>
  <sheetFormatPr defaultRowHeight="12"/>
  <cols>
    <col min="1" max="1" width="9.140625" style="429"/>
    <col min="2" max="2" width="32.7109375" style="429" bestFit="1" customWidth="1"/>
    <col min="3" max="3" width="11.7109375" style="429" customWidth="1"/>
    <col min="4" max="4" width="16.7109375" style="429" bestFit="1" customWidth="1"/>
    <col min="5" max="16384" width="9.140625" style="429"/>
  </cols>
  <sheetData>
    <row r="2" spans="2:5">
      <c r="B2" s="476" t="s">
        <v>1331</v>
      </c>
      <c r="C2" s="476" t="s">
        <v>17</v>
      </c>
      <c r="D2" s="476" t="s">
        <v>18</v>
      </c>
      <c r="E2" s="476" t="s">
        <v>2718</v>
      </c>
    </row>
    <row r="3" spans="2:5">
      <c r="B3" s="437" t="s">
        <v>14</v>
      </c>
      <c r="C3" s="523">
        <f>'Project Size'!C11</f>
        <v>0</v>
      </c>
      <c r="D3" s="523" t="str">
        <f>'Project Size'!D11</f>
        <v>N/A</v>
      </c>
      <c r="E3" s="433">
        <f>IF(OR(D3="Heated &amp; Cooled",D3="Heated-Only")=TRUE,C3,0)</f>
        <v>0</v>
      </c>
    </row>
    <row r="4" spans="2:5">
      <c r="B4" s="437" t="s">
        <v>988</v>
      </c>
      <c r="C4" s="523">
        <f>'Project Size'!C12</f>
        <v>0</v>
      </c>
      <c r="D4" s="523" t="str">
        <f>'Project Size'!D12</f>
        <v>N/A</v>
      </c>
      <c r="E4" s="433">
        <f>IF(OR(D4="Heated &amp; Cooled",D4="Heated-Only")=TRUE,C4,0)</f>
        <v>0</v>
      </c>
    </row>
    <row r="5" spans="2:5">
      <c r="B5" s="437" t="s">
        <v>989</v>
      </c>
      <c r="C5" s="523">
        <f>'Project Size'!C13</f>
        <v>0</v>
      </c>
      <c r="D5" s="523" t="str">
        <f>'Project Size'!D13</f>
        <v>N/A</v>
      </c>
      <c r="E5" s="433">
        <f t="shared" ref="E5:E14" si="0">IF(OR(D5="Heated &amp; Cooled",D5="Heated-Only")=TRUE,C5,0)</f>
        <v>0</v>
      </c>
    </row>
    <row r="6" spans="2:5">
      <c r="B6" s="437" t="s">
        <v>992</v>
      </c>
      <c r="C6" s="523">
        <f>'Project Size'!C14</f>
        <v>0</v>
      </c>
      <c r="D6" s="523" t="str">
        <f>'Project Size'!D14</f>
        <v>N/A</v>
      </c>
      <c r="E6" s="433">
        <f t="shared" si="0"/>
        <v>0</v>
      </c>
    </row>
    <row r="7" spans="2:5">
      <c r="B7" s="437" t="s">
        <v>993</v>
      </c>
      <c r="C7" s="523">
        <f>'Project Size'!C15</f>
        <v>0</v>
      </c>
      <c r="D7" s="523" t="str">
        <f>'Project Size'!D15</f>
        <v>N/A</v>
      </c>
      <c r="E7" s="433">
        <f t="shared" si="0"/>
        <v>0</v>
      </c>
    </row>
    <row r="8" spans="2:5">
      <c r="B8" s="437" t="s">
        <v>994</v>
      </c>
      <c r="C8" s="523">
        <f>'Project Size'!C16</f>
        <v>0</v>
      </c>
      <c r="D8" s="523" t="str">
        <f>'Project Size'!D16</f>
        <v>N/A</v>
      </c>
      <c r="E8" s="433">
        <f t="shared" si="0"/>
        <v>0</v>
      </c>
    </row>
    <row r="9" spans="2:5">
      <c r="B9" s="437" t="s">
        <v>995</v>
      </c>
      <c r="C9" s="523">
        <f>'Project Size'!C17</f>
        <v>0</v>
      </c>
      <c r="D9" s="523" t="str">
        <f>'Project Size'!D17</f>
        <v>N/A</v>
      </c>
      <c r="E9" s="433">
        <f t="shared" si="0"/>
        <v>0</v>
      </c>
    </row>
    <row r="10" spans="2:5">
      <c r="B10" s="437" t="s">
        <v>1247</v>
      </c>
      <c r="C10" s="523">
        <f>'Project Size'!C18</f>
        <v>0</v>
      </c>
      <c r="D10" s="523" t="str">
        <f>'Project Size'!D18</f>
        <v>N/A</v>
      </c>
      <c r="E10" s="433">
        <f t="shared" si="0"/>
        <v>0</v>
      </c>
    </row>
    <row r="11" spans="2:5">
      <c r="B11" s="437" t="s">
        <v>1332</v>
      </c>
      <c r="C11" s="523">
        <f>'Project Size'!C19</f>
        <v>0</v>
      </c>
      <c r="D11" s="523" t="str">
        <f>'Project Size'!D19</f>
        <v>N/A</v>
      </c>
      <c r="E11" s="433">
        <f t="shared" si="0"/>
        <v>0</v>
      </c>
    </row>
    <row r="12" spans="2:5">
      <c r="B12" s="437" t="s">
        <v>996</v>
      </c>
      <c r="C12" s="523">
        <f>'Project Size'!C20</f>
        <v>0</v>
      </c>
      <c r="D12" s="523" t="str">
        <f>'Project Size'!D20</f>
        <v>N/A</v>
      </c>
      <c r="E12" s="433">
        <f t="shared" si="0"/>
        <v>0</v>
      </c>
    </row>
    <row r="13" spans="2:5">
      <c r="B13" s="437" t="s">
        <v>997</v>
      </c>
      <c r="C13" s="523">
        <f>'Project Size'!C21</f>
        <v>0</v>
      </c>
      <c r="D13" s="523" t="str">
        <f>'Project Size'!D21</f>
        <v>N/A</v>
      </c>
      <c r="E13" s="433">
        <f t="shared" si="0"/>
        <v>0</v>
      </c>
    </row>
    <row r="14" spans="2:5">
      <c r="B14" s="437" t="s">
        <v>998</v>
      </c>
      <c r="C14" s="523">
        <f>'Project Size'!C22</f>
        <v>0</v>
      </c>
      <c r="D14" s="523" t="str">
        <f>'Project Size'!D22</f>
        <v>N/A</v>
      </c>
      <c r="E14" s="433">
        <f t="shared" si="0"/>
        <v>0</v>
      </c>
    </row>
    <row r="15" spans="2:5" ht="12.75" thickBot="1">
      <c r="B15" s="524" t="s">
        <v>2640</v>
      </c>
      <c r="C15" s="525">
        <f>'Project Size'!C23</f>
        <v>0</v>
      </c>
      <c r="D15" s="525" t="str">
        <f>'Project Size'!D23</f>
        <v>N/A</v>
      </c>
      <c r="E15" s="526">
        <f>SUM(E3:E14)</f>
        <v>0</v>
      </c>
    </row>
    <row r="16" spans="2:5" ht="12.75" thickBot="1">
      <c r="D16" s="429" t="s">
        <v>2987</v>
      </c>
      <c r="E16" s="448">
        <f>SUM(E3:E13)</f>
        <v>0</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sheetPr codeName="Sheet16" enableFormatConditionsCalculation="0">
    <tabColor indexed="44"/>
  </sheetPr>
  <dimension ref="A1:C16"/>
  <sheetViews>
    <sheetView showGridLines="0" workbookViewId="0">
      <selection activeCell="N45" sqref="N45"/>
    </sheetView>
  </sheetViews>
  <sheetFormatPr defaultRowHeight="15"/>
  <cols>
    <col min="1" max="1" width="33.5703125" style="241" customWidth="1"/>
    <col min="2" max="2" width="31.28515625" style="241" customWidth="1"/>
    <col min="3" max="3" width="23.5703125" style="241" customWidth="1"/>
    <col min="4" max="4" width="9.140625" style="241"/>
    <col min="5" max="5" width="34.7109375" style="241" customWidth="1"/>
    <col min="6" max="6" width="34.42578125" style="241" customWidth="1"/>
    <col min="7" max="16384" width="9.140625" style="241"/>
  </cols>
  <sheetData>
    <row r="1" spans="1:3" ht="15.75" thickBot="1">
      <c r="A1" s="736" t="s">
        <v>850</v>
      </c>
      <c r="B1" s="737"/>
    </row>
    <row r="2" spans="1:3">
      <c r="A2" s="242" t="s">
        <v>851</v>
      </c>
      <c r="B2" s="243" t="s">
        <v>852</v>
      </c>
    </row>
    <row r="3" spans="1:3">
      <c r="A3" s="244" t="s">
        <v>853</v>
      </c>
      <c r="B3" s="245">
        <v>1.6</v>
      </c>
    </row>
    <row r="4" spans="1:3">
      <c r="A4" s="244" t="s">
        <v>854</v>
      </c>
      <c r="B4" s="245">
        <v>1</v>
      </c>
    </row>
    <row r="5" spans="1:3">
      <c r="A5" s="244" t="s">
        <v>855</v>
      </c>
      <c r="B5" s="245">
        <v>2.5</v>
      </c>
    </row>
    <row r="6" spans="1:3">
      <c r="A6" s="244" t="s">
        <v>856</v>
      </c>
      <c r="B6" s="245">
        <v>2.5</v>
      </c>
    </row>
    <row r="7" spans="1:3" ht="15.75" thickBot="1">
      <c r="A7" s="246" t="s">
        <v>857</v>
      </c>
      <c r="B7" s="247">
        <v>2.5</v>
      </c>
    </row>
    <row r="9" spans="1:3" ht="15.75" thickBot="1"/>
    <row r="10" spans="1:3" ht="15.75" thickBot="1">
      <c r="A10" s="736" t="s">
        <v>858</v>
      </c>
      <c r="B10" s="738"/>
      <c r="C10" s="737"/>
    </row>
    <row r="11" spans="1:3">
      <c r="A11" s="242" t="s">
        <v>859</v>
      </c>
      <c r="B11" s="248" t="s">
        <v>860</v>
      </c>
      <c r="C11" s="243" t="s">
        <v>861</v>
      </c>
    </row>
    <row r="12" spans="1:3">
      <c r="A12" s="249" t="s">
        <v>1252</v>
      </c>
      <c r="B12" s="250" t="s">
        <v>862</v>
      </c>
      <c r="C12" s="251">
        <v>5</v>
      </c>
    </row>
    <row r="13" spans="1:3">
      <c r="A13" s="252" t="s">
        <v>1253</v>
      </c>
      <c r="B13" s="250" t="s">
        <v>862</v>
      </c>
      <c r="C13" s="253" t="s">
        <v>862</v>
      </c>
    </row>
    <row r="14" spans="1:3">
      <c r="A14" s="249" t="s">
        <v>847</v>
      </c>
      <c r="B14" s="250">
        <v>450</v>
      </c>
      <c r="C14" s="251">
        <v>0.75</v>
      </c>
    </row>
    <row r="15" spans="1:3">
      <c r="A15" s="249" t="s">
        <v>848</v>
      </c>
      <c r="B15" s="250">
        <v>15</v>
      </c>
      <c r="C15" s="251">
        <v>5</v>
      </c>
    </row>
    <row r="16" spans="1:3" ht="15.75" thickBot="1">
      <c r="A16" s="254" t="s">
        <v>849</v>
      </c>
      <c r="B16" s="255">
        <v>60</v>
      </c>
      <c r="C16" s="256">
        <v>4</v>
      </c>
    </row>
  </sheetData>
  <mergeCells count="2">
    <mergeCell ref="A1:B1"/>
    <mergeCell ref="A10:C10"/>
  </mergeCells>
  <phoneticPr fontId="45" type="noConversion"/>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sheetPr codeName="Sheet18">
    <pageSetUpPr fitToPage="1"/>
  </sheetPr>
  <dimension ref="A1:T915"/>
  <sheetViews>
    <sheetView topLeftCell="A49" zoomScale="75" zoomScaleNormal="100" workbookViewId="0">
      <selection activeCell="N45" sqref="N45"/>
    </sheetView>
  </sheetViews>
  <sheetFormatPr defaultColWidth="11.42578125" defaultRowHeight="12.75"/>
  <cols>
    <col min="1" max="1" width="9.140625" customWidth="1"/>
    <col min="2" max="2" width="11.28515625" style="147" bestFit="1" customWidth="1"/>
    <col min="3" max="3" width="15.7109375" style="148" bestFit="1" customWidth="1"/>
    <col min="4" max="4" width="6" style="147" customWidth="1"/>
    <col min="5" max="5" width="21.85546875" style="148" customWidth="1"/>
    <col min="6" max="6" width="3.5703125" style="148" customWidth="1"/>
    <col min="7" max="7" width="12.7109375" style="148" customWidth="1"/>
    <col min="8" max="8" width="20.140625" style="148" customWidth="1"/>
    <col min="9" max="9" width="29.5703125" style="148" customWidth="1"/>
    <col min="10" max="12" width="7.5703125" style="148" customWidth="1"/>
    <col min="13" max="13" width="18.5703125" style="148" customWidth="1"/>
    <col min="14" max="14" width="7.5703125" style="148" customWidth="1"/>
    <col min="15" max="15" width="18.28515625" style="148" customWidth="1"/>
    <col min="16" max="16" width="28.7109375" style="184" customWidth="1"/>
    <col min="17" max="17" width="5.7109375" style="147" customWidth="1"/>
    <col min="18" max="18" width="14" style="185" customWidth="1"/>
    <col min="19" max="19" width="5.140625" style="148" customWidth="1"/>
    <col min="20" max="20" width="6" style="148" customWidth="1"/>
    <col min="21" max="16384" width="11.42578125" style="148"/>
  </cols>
  <sheetData>
    <row r="1" spans="1:20" ht="15.75">
      <c r="B1" s="142" t="s">
        <v>234</v>
      </c>
      <c r="C1" s="143" t="s">
        <v>234</v>
      </c>
      <c r="D1" s="144"/>
      <c r="E1" s="145" t="s">
        <v>234</v>
      </c>
      <c r="F1" s="146"/>
      <c r="G1" s="146"/>
      <c r="H1" s="146"/>
      <c r="I1" s="739" t="s">
        <v>235</v>
      </c>
      <c r="J1" s="740"/>
      <c r="K1" s="740"/>
      <c r="L1" s="741"/>
      <c r="M1" s="743" t="s">
        <v>236</v>
      </c>
      <c r="N1" s="743"/>
      <c r="O1" s="744"/>
      <c r="P1" s="742"/>
      <c r="Q1" s="742"/>
      <c r="R1" s="742"/>
    </row>
    <row r="2" spans="1:20" ht="16.5" thickBot="1">
      <c r="A2" s="148"/>
      <c r="B2" s="149" t="s">
        <v>237</v>
      </c>
      <c r="C2" s="150" t="s">
        <v>238</v>
      </c>
      <c r="D2" s="151"/>
      <c r="E2" s="152" t="s">
        <v>239</v>
      </c>
      <c r="F2" s="153"/>
      <c r="G2" s="153"/>
      <c r="H2" s="153"/>
      <c r="I2" s="154" t="s">
        <v>240</v>
      </c>
      <c r="J2" s="155" t="s">
        <v>241</v>
      </c>
      <c r="K2" s="155" t="s">
        <v>31</v>
      </c>
      <c r="L2" s="156" t="s">
        <v>32</v>
      </c>
      <c r="M2" s="157" t="s">
        <v>242</v>
      </c>
      <c r="N2" s="155" t="s">
        <v>241</v>
      </c>
      <c r="O2" s="158" t="s">
        <v>243</v>
      </c>
      <c r="P2" s="159"/>
      <c r="Q2" s="160"/>
      <c r="R2" s="161"/>
    </row>
    <row r="3" spans="1:20" ht="15.75">
      <c r="A3" s="148"/>
      <c r="B3" s="162"/>
      <c r="C3" s="163"/>
      <c r="D3" s="164"/>
      <c r="E3" s="165"/>
      <c r="F3" s="163"/>
      <c r="G3" s="163"/>
      <c r="H3" s="163"/>
      <c r="I3" s="162"/>
      <c r="J3" s="164"/>
      <c r="K3" s="164"/>
      <c r="L3" s="166"/>
      <c r="M3" s="167"/>
      <c r="N3" s="164"/>
      <c r="O3" s="168"/>
      <c r="P3" s="159"/>
      <c r="Q3" s="160"/>
      <c r="R3" s="161"/>
    </row>
    <row r="4" spans="1:20" s="169" customFormat="1" ht="15.75">
      <c r="A4" s="169" t="s">
        <v>244</v>
      </c>
      <c r="B4" s="170" t="e">
        <f>LOOKUP(#REF!,H6:H906,B6:B906)</f>
        <v>#REF!</v>
      </c>
      <c r="C4" s="171"/>
      <c r="D4" s="171"/>
      <c r="E4" s="172"/>
      <c r="F4" s="171"/>
      <c r="G4" s="171"/>
      <c r="H4" s="171" t="e">
        <f>LOOKUP(#REF!,H6:H906)</f>
        <v>#REF!</v>
      </c>
      <c r="I4" s="170"/>
      <c r="J4" s="171"/>
      <c r="K4" s="171"/>
      <c r="L4" s="172"/>
      <c r="M4" s="171"/>
      <c r="N4" s="171"/>
      <c r="O4" s="172"/>
      <c r="P4" s="173"/>
      <c r="Q4" s="173"/>
      <c r="R4" s="173"/>
    </row>
    <row r="5" spans="1:20" ht="15.75">
      <c r="A5" s="148"/>
      <c r="B5" s="162"/>
      <c r="C5" s="163"/>
      <c r="D5" s="164"/>
      <c r="E5" s="165"/>
      <c r="F5" s="163"/>
      <c r="G5" s="163"/>
      <c r="H5" s="163"/>
      <c r="I5" s="162"/>
      <c r="J5" s="164"/>
      <c r="K5" s="164"/>
      <c r="L5" s="166"/>
      <c r="M5" s="167"/>
      <c r="N5" s="164"/>
      <c r="O5" s="168"/>
      <c r="P5" s="159"/>
      <c r="Q5" s="160"/>
      <c r="R5" s="161"/>
    </row>
    <row r="6" spans="1:20" ht="12">
      <c r="A6" s="148"/>
      <c r="B6" s="174" t="s">
        <v>245</v>
      </c>
      <c r="C6" s="175" t="s">
        <v>246</v>
      </c>
      <c r="D6" s="176" t="s">
        <v>247</v>
      </c>
      <c r="E6" s="177" t="s">
        <v>248</v>
      </c>
      <c r="F6" s="175">
        <f t="shared" ref="F6:F69" si="0">LEN(E6)</f>
        <v>10</v>
      </c>
      <c r="G6" s="175" t="str">
        <f t="shared" ref="G6:G69" si="1">MID(E6,2,F6-2)</f>
        <v>Aberdeen</v>
      </c>
      <c r="H6" s="175" t="str">
        <f t="shared" ref="H6:H69" si="2">CONCATENATE(G6,", ",+D6)</f>
        <v>Aberdeen, SD</v>
      </c>
      <c r="I6" s="178" t="s">
        <v>249</v>
      </c>
      <c r="J6" s="27" t="s">
        <v>247</v>
      </c>
      <c r="K6" s="27">
        <v>633</v>
      </c>
      <c r="L6" s="179">
        <v>8446</v>
      </c>
      <c r="M6" s="180" t="s">
        <v>250</v>
      </c>
      <c r="N6" s="181" t="s">
        <v>251</v>
      </c>
      <c r="O6" s="182" t="s">
        <v>252</v>
      </c>
      <c r="P6" s="159"/>
      <c r="Q6" s="160"/>
      <c r="R6" s="161"/>
    </row>
    <row r="7" spans="1:20" ht="12">
      <c r="A7" s="148"/>
      <c r="B7" s="174" t="s">
        <v>253</v>
      </c>
      <c r="C7" s="175" t="s">
        <v>254</v>
      </c>
      <c r="D7" s="176" t="s">
        <v>255</v>
      </c>
      <c r="E7" s="177" t="s">
        <v>256</v>
      </c>
      <c r="F7" s="175">
        <f t="shared" si="0"/>
        <v>9</v>
      </c>
      <c r="G7" s="175" t="str">
        <f t="shared" si="1"/>
        <v>Abilene</v>
      </c>
      <c r="H7" s="175" t="str">
        <f t="shared" si="2"/>
        <v>Abilene, TX</v>
      </c>
      <c r="I7" s="178" t="s">
        <v>257</v>
      </c>
      <c r="J7" s="27" t="s">
        <v>255</v>
      </c>
      <c r="K7" s="27">
        <v>2451</v>
      </c>
      <c r="L7" s="179">
        <v>2584</v>
      </c>
      <c r="M7" s="180" t="s">
        <v>258</v>
      </c>
      <c r="N7" s="181" t="s">
        <v>255</v>
      </c>
      <c r="O7" s="182" t="s">
        <v>259</v>
      </c>
      <c r="P7" s="26"/>
      <c r="Q7" s="27"/>
      <c r="R7" s="183"/>
      <c r="S7" s="27"/>
      <c r="T7" s="27"/>
    </row>
    <row r="8" spans="1:20" ht="12">
      <c r="A8" s="148"/>
      <c r="B8" s="174" t="s">
        <v>260</v>
      </c>
      <c r="C8" s="175" t="s">
        <v>254</v>
      </c>
      <c r="D8" s="176" t="s">
        <v>255</v>
      </c>
      <c r="E8" s="177" t="s">
        <v>256</v>
      </c>
      <c r="F8" s="175">
        <f t="shared" si="0"/>
        <v>9</v>
      </c>
      <c r="G8" s="175" t="str">
        <f t="shared" si="1"/>
        <v>Abilene</v>
      </c>
      <c r="H8" s="175" t="str">
        <f t="shared" si="2"/>
        <v>Abilene, TX</v>
      </c>
      <c r="I8" s="178" t="s">
        <v>257</v>
      </c>
      <c r="J8" s="27" t="s">
        <v>255</v>
      </c>
      <c r="K8" s="27">
        <v>2451</v>
      </c>
      <c r="L8" s="179">
        <v>2584</v>
      </c>
      <c r="M8" s="180" t="s">
        <v>258</v>
      </c>
      <c r="N8" s="181" t="s">
        <v>255</v>
      </c>
      <c r="O8" s="182" t="s">
        <v>259</v>
      </c>
    </row>
    <row r="9" spans="1:20" ht="12">
      <c r="A9" s="148"/>
      <c r="B9" s="186" t="s">
        <v>261</v>
      </c>
      <c r="C9" s="175" t="s">
        <v>262</v>
      </c>
      <c r="D9" s="176" t="s">
        <v>263</v>
      </c>
      <c r="E9" s="177" t="s">
        <v>264</v>
      </c>
      <c r="F9" s="175">
        <f t="shared" si="0"/>
        <v>9</v>
      </c>
      <c r="G9" s="175" t="str">
        <f t="shared" si="1"/>
        <v>Acworth</v>
      </c>
      <c r="H9" s="175" t="str">
        <f t="shared" si="2"/>
        <v>Acworth, NH</v>
      </c>
      <c r="I9" s="178" t="s">
        <v>265</v>
      </c>
      <c r="J9" s="27" t="s">
        <v>263</v>
      </c>
      <c r="K9" s="27">
        <v>328</v>
      </c>
      <c r="L9" s="179">
        <v>7554</v>
      </c>
      <c r="M9" s="180" t="s">
        <v>266</v>
      </c>
      <c r="N9" s="181" t="s">
        <v>263</v>
      </c>
      <c r="O9" s="182" t="s">
        <v>267</v>
      </c>
    </row>
    <row r="10" spans="1:20" ht="12">
      <c r="A10" s="148"/>
      <c r="B10" s="174" t="s">
        <v>268</v>
      </c>
      <c r="C10" s="175" t="s">
        <v>254</v>
      </c>
      <c r="D10" s="176" t="s">
        <v>255</v>
      </c>
      <c r="E10" s="177" t="s">
        <v>269</v>
      </c>
      <c r="F10" s="175">
        <f t="shared" si="0"/>
        <v>8</v>
      </c>
      <c r="G10" s="175" t="str">
        <f t="shared" si="1"/>
        <v>Adrian</v>
      </c>
      <c r="H10" s="175" t="str">
        <f t="shared" si="2"/>
        <v>Adrian, TX</v>
      </c>
      <c r="I10" s="178" t="s">
        <v>270</v>
      </c>
      <c r="J10" s="27" t="s">
        <v>255</v>
      </c>
      <c r="K10" s="27">
        <v>1354</v>
      </c>
      <c r="L10" s="179">
        <v>4258</v>
      </c>
      <c r="M10" s="180" t="s">
        <v>271</v>
      </c>
      <c r="N10" s="181" t="s">
        <v>255</v>
      </c>
      <c r="O10" s="182" t="s">
        <v>272</v>
      </c>
    </row>
    <row r="11" spans="1:20" ht="12">
      <c r="A11" s="148"/>
      <c r="B11" s="174" t="s">
        <v>273</v>
      </c>
      <c r="C11" s="175" t="s">
        <v>274</v>
      </c>
      <c r="D11" s="176" t="s">
        <v>275</v>
      </c>
      <c r="E11" s="177" t="s">
        <v>276</v>
      </c>
      <c r="F11" s="175">
        <f t="shared" si="0"/>
        <v>7</v>
      </c>
      <c r="G11" s="175" t="str">
        <f t="shared" si="1"/>
        <v>Aiken</v>
      </c>
      <c r="H11" s="175" t="str">
        <f t="shared" si="2"/>
        <v>Aiken, SC</v>
      </c>
      <c r="I11" s="178" t="s">
        <v>277</v>
      </c>
      <c r="J11" s="27" t="s">
        <v>275</v>
      </c>
      <c r="K11" s="27">
        <v>1966</v>
      </c>
      <c r="L11" s="179">
        <v>2649</v>
      </c>
      <c r="M11" s="178" t="s">
        <v>278</v>
      </c>
      <c r="N11" s="27" t="s">
        <v>275</v>
      </c>
      <c r="O11" s="182" t="s">
        <v>279</v>
      </c>
      <c r="S11" s="160"/>
      <c r="T11" s="160"/>
    </row>
    <row r="12" spans="1:20" ht="12">
      <c r="A12" s="148"/>
      <c r="B12" s="174" t="s">
        <v>280</v>
      </c>
      <c r="C12" s="175" t="s">
        <v>281</v>
      </c>
      <c r="D12" s="176" t="s">
        <v>282</v>
      </c>
      <c r="E12" s="177" t="s">
        <v>380</v>
      </c>
      <c r="F12" s="175">
        <f t="shared" si="0"/>
        <v>9</v>
      </c>
      <c r="G12" s="175" t="str">
        <f t="shared" si="1"/>
        <v>Aimwell</v>
      </c>
      <c r="H12" s="175" t="str">
        <f t="shared" si="2"/>
        <v>Aimwell, LA</v>
      </c>
      <c r="I12" s="178" t="s">
        <v>381</v>
      </c>
      <c r="J12" s="27" t="s">
        <v>282</v>
      </c>
      <c r="K12" s="27">
        <v>2368</v>
      </c>
      <c r="L12" s="179">
        <v>2264</v>
      </c>
      <c r="M12" s="180" t="s">
        <v>382</v>
      </c>
      <c r="N12" s="181" t="s">
        <v>282</v>
      </c>
      <c r="O12" s="182" t="s">
        <v>383</v>
      </c>
      <c r="S12" s="27"/>
      <c r="T12" s="27"/>
    </row>
    <row r="13" spans="1:20" ht="12">
      <c r="A13" s="148"/>
      <c r="B13" s="174" t="s">
        <v>384</v>
      </c>
      <c r="C13" s="175" t="s">
        <v>385</v>
      </c>
      <c r="D13" s="176" t="s">
        <v>386</v>
      </c>
      <c r="E13" s="177" t="s">
        <v>387</v>
      </c>
      <c r="F13" s="175">
        <f t="shared" si="0"/>
        <v>7</v>
      </c>
      <c r="G13" s="175" t="str">
        <f t="shared" si="1"/>
        <v>Akron</v>
      </c>
      <c r="H13" s="175" t="str">
        <f t="shared" si="2"/>
        <v>Akron, OH</v>
      </c>
      <c r="I13" s="178" t="s">
        <v>388</v>
      </c>
      <c r="J13" s="27" t="s">
        <v>386</v>
      </c>
      <c r="K13" s="27">
        <v>625</v>
      </c>
      <c r="L13" s="179">
        <v>6160</v>
      </c>
      <c r="M13" s="180" t="s">
        <v>389</v>
      </c>
      <c r="N13" s="181" t="s">
        <v>386</v>
      </c>
      <c r="O13" s="182" t="s">
        <v>390</v>
      </c>
      <c r="S13" s="27"/>
      <c r="T13" s="27"/>
    </row>
    <row r="14" spans="1:20" ht="12">
      <c r="A14" s="148"/>
      <c r="B14" s="174" t="s">
        <v>391</v>
      </c>
      <c r="C14" s="175" t="s">
        <v>385</v>
      </c>
      <c r="D14" s="176" t="s">
        <v>386</v>
      </c>
      <c r="E14" s="177" t="s">
        <v>387</v>
      </c>
      <c r="F14" s="175">
        <f t="shared" si="0"/>
        <v>7</v>
      </c>
      <c r="G14" s="175" t="str">
        <f t="shared" si="1"/>
        <v>Akron</v>
      </c>
      <c r="H14" s="175" t="str">
        <f t="shared" si="2"/>
        <v>Akron, OH</v>
      </c>
      <c r="I14" s="178" t="s">
        <v>388</v>
      </c>
      <c r="J14" s="27" t="s">
        <v>386</v>
      </c>
      <c r="K14" s="27">
        <v>625</v>
      </c>
      <c r="L14" s="179">
        <v>6160</v>
      </c>
      <c r="M14" s="180" t="s">
        <v>389</v>
      </c>
      <c r="N14" s="181" t="s">
        <v>386</v>
      </c>
      <c r="O14" s="182" t="s">
        <v>390</v>
      </c>
      <c r="S14" s="27"/>
      <c r="T14" s="27"/>
    </row>
    <row r="15" spans="1:20" ht="12">
      <c r="A15" s="148"/>
      <c r="B15" s="174" t="s">
        <v>392</v>
      </c>
      <c r="C15" s="175" t="s">
        <v>393</v>
      </c>
      <c r="D15" s="176" t="s">
        <v>394</v>
      </c>
      <c r="E15" s="177" t="s">
        <v>395</v>
      </c>
      <c r="F15" s="175">
        <f t="shared" si="0"/>
        <v>9</v>
      </c>
      <c r="G15" s="175" t="str">
        <f t="shared" si="1"/>
        <v>Alamosa</v>
      </c>
      <c r="H15" s="175" t="str">
        <f t="shared" si="2"/>
        <v>Alamosa, CO</v>
      </c>
      <c r="I15" s="178" t="s">
        <v>396</v>
      </c>
      <c r="J15" s="27" t="s">
        <v>394</v>
      </c>
      <c r="K15" s="27">
        <v>62</v>
      </c>
      <c r="L15" s="179">
        <v>8749</v>
      </c>
      <c r="M15" s="178" t="s">
        <v>397</v>
      </c>
      <c r="N15" s="27" t="s">
        <v>394</v>
      </c>
      <c r="O15" s="182" t="s">
        <v>398</v>
      </c>
      <c r="S15" s="27"/>
      <c r="T15" s="27"/>
    </row>
    <row r="16" spans="1:20" ht="12">
      <c r="A16" s="148"/>
      <c r="B16" s="174" t="s">
        <v>399</v>
      </c>
      <c r="C16" s="175" t="s">
        <v>400</v>
      </c>
      <c r="D16" s="176" t="s">
        <v>401</v>
      </c>
      <c r="E16" s="177" t="s">
        <v>402</v>
      </c>
      <c r="F16" s="175">
        <f t="shared" si="0"/>
        <v>8</v>
      </c>
      <c r="G16" s="175" t="str">
        <f t="shared" si="1"/>
        <v>Albany</v>
      </c>
      <c r="H16" s="175" t="str">
        <f t="shared" si="2"/>
        <v>Albany, GA</v>
      </c>
      <c r="I16" s="178" t="s">
        <v>403</v>
      </c>
      <c r="J16" s="27" t="s">
        <v>401</v>
      </c>
      <c r="K16" s="27">
        <v>2284</v>
      </c>
      <c r="L16" s="179">
        <v>2261</v>
      </c>
      <c r="M16" s="180" t="s">
        <v>404</v>
      </c>
      <c r="N16" s="181" t="s">
        <v>401</v>
      </c>
      <c r="O16" s="182" t="s">
        <v>405</v>
      </c>
      <c r="S16" s="27"/>
      <c r="T16" s="27"/>
    </row>
    <row r="17" spans="1:20" ht="12">
      <c r="A17" s="148"/>
      <c r="B17" s="174" t="s">
        <v>406</v>
      </c>
      <c r="C17" s="175" t="s">
        <v>407</v>
      </c>
      <c r="D17" s="176" t="s">
        <v>408</v>
      </c>
      <c r="E17" s="177" t="s">
        <v>402</v>
      </c>
      <c r="F17" s="175">
        <f t="shared" si="0"/>
        <v>8</v>
      </c>
      <c r="G17" s="175" t="str">
        <f t="shared" si="1"/>
        <v>Albany</v>
      </c>
      <c r="H17" s="175" t="str">
        <f t="shared" si="2"/>
        <v>Albany, NY</v>
      </c>
      <c r="I17" s="178" t="s">
        <v>409</v>
      </c>
      <c r="J17" s="27" t="s">
        <v>408</v>
      </c>
      <c r="K17" s="27">
        <v>507</v>
      </c>
      <c r="L17" s="179">
        <v>6894</v>
      </c>
      <c r="M17" s="180" t="s">
        <v>410</v>
      </c>
      <c r="N17" s="181" t="s">
        <v>408</v>
      </c>
      <c r="O17" s="182" t="s">
        <v>411</v>
      </c>
      <c r="S17" s="27"/>
      <c r="T17" s="27"/>
    </row>
    <row r="18" spans="1:20" ht="12">
      <c r="A18" s="148"/>
      <c r="B18" s="174" t="s">
        <v>412</v>
      </c>
      <c r="C18" s="175" t="s">
        <v>407</v>
      </c>
      <c r="D18" s="176" t="s">
        <v>408</v>
      </c>
      <c r="E18" s="177" t="s">
        <v>402</v>
      </c>
      <c r="F18" s="175">
        <f t="shared" si="0"/>
        <v>8</v>
      </c>
      <c r="G18" s="175" t="str">
        <f t="shared" si="1"/>
        <v>Albany</v>
      </c>
      <c r="H18" s="175" t="str">
        <f t="shared" si="2"/>
        <v>Albany, NY</v>
      </c>
      <c r="I18" s="178" t="s">
        <v>409</v>
      </c>
      <c r="J18" s="27" t="s">
        <v>408</v>
      </c>
      <c r="K18" s="27">
        <v>507</v>
      </c>
      <c r="L18" s="179">
        <v>6894</v>
      </c>
      <c r="M18" s="180" t="s">
        <v>410</v>
      </c>
      <c r="N18" s="181" t="s">
        <v>408</v>
      </c>
      <c r="O18" s="182" t="s">
        <v>411</v>
      </c>
      <c r="S18" s="27"/>
      <c r="T18" s="27"/>
    </row>
    <row r="19" spans="1:20" ht="12">
      <c r="A19" s="148"/>
      <c r="B19" s="174" t="s">
        <v>413</v>
      </c>
      <c r="C19" s="175" t="s">
        <v>407</v>
      </c>
      <c r="D19" s="176" t="s">
        <v>408</v>
      </c>
      <c r="E19" s="177" t="s">
        <v>402</v>
      </c>
      <c r="F19" s="175">
        <f t="shared" si="0"/>
        <v>8</v>
      </c>
      <c r="G19" s="175" t="str">
        <f t="shared" si="1"/>
        <v>Albany</v>
      </c>
      <c r="H19" s="175" t="str">
        <f t="shared" si="2"/>
        <v>Albany, NY</v>
      </c>
      <c r="I19" s="178" t="s">
        <v>409</v>
      </c>
      <c r="J19" s="27" t="s">
        <v>408</v>
      </c>
      <c r="K19" s="27">
        <v>507</v>
      </c>
      <c r="L19" s="179">
        <v>6894</v>
      </c>
      <c r="M19" s="180" t="s">
        <v>410</v>
      </c>
      <c r="N19" s="181" t="s">
        <v>408</v>
      </c>
      <c r="O19" s="182" t="s">
        <v>411</v>
      </c>
      <c r="S19" s="27"/>
      <c r="T19" s="27"/>
    </row>
    <row r="20" spans="1:20" ht="12">
      <c r="A20" s="148"/>
      <c r="B20" s="174" t="s">
        <v>414</v>
      </c>
      <c r="C20" s="175" t="s">
        <v>415</v>
      </c>
      <c r="D20" s="176" t="s">
        <v>416</v>
      </c>
      <c r="E20" s="177" t="s">
        <v>417</v>
      </c>
      <c r="F20" s="175">
        <f t="shared" si="0"/>
        <v>13</v>
      </c>
      <c r="G20" s="175" t="str">
        <f t="shared" si="1"/>
        <v>Albuquerque</v>
      </c>
      <c r="H20" s="175" t="str">
        <f t="shared" si="2"/>
        <v>Albuquerque, NM</v>
      </c>
      <c r="I20" s="178" t="s">
        <v>418</v>
      </c>
      <c r="J20" s="27" t="s">
        <v>416</v>
      </c>
      <c r="K20" s="27">
        <v>1244</v>
      </c>
      <c r="L20" s="179">
        <v>4425</v>
      </c>
      <c r="M20" s="180" t="s">
        <v>419</v>
      </c>
      <c r="N20" s="181" t="s">
        <v>416</v>
      </c>
      <c r="O20" s="182" t="s">
        <v>420</v>
      </c>
      <c r="S20" s="27"/>
      <c r="T20" s="27"/>
    </row>
    <row r="21" spans="1:20" ht="12">
      <c r="A21" s="148"/>
      <c r="B21" s="174" t="s">
        <v>421</v>
      </c>
      <c r="C21" s="175" t="s">
        <v>415</v>
      </c>
      <c r="D21" s="176" t="s">
        <v>416</v>
      </c>
      <c r="E21" s="177" t="s">
        <v>417</v>
      </c>
      <c r="F21" s="175">
        <f t="shared" si="0"/>
        <v>13</v>
      </c>
      <c r="G21" s="175" t="str">
        <f t="shared" si="1"/>
        <v>Albuquerque</v>
      </c>
      <c r="H21" s="175" t="str">
        <f t="shared" si="2"/>
        <v>Albuquerque, NM</v>
      </c>
      <c r="I21" s="178" t="s">
        <v>418</v>
      </c>
      <c r="J21" s="27" t="s">
        <v>416</v>
      </c>
      <c r="K21" s="27">
        <v>1244</v>
      </c>
      <c r="L21" s="179">
        <v>4425</v>
      </c>
      <c r="M21" s="180" t="s">
        <v>419</v>
      </c>
      <c r="N21" s="181" t="s">
        <v>416</v>
      </c>
      <c r="O21" s="182" t="s">
        <v>420</v>
      </c>
      <c r="S21" s="27"/>
      <c r="T21" s="27"/>
    </row>
    <row r="22" spans="1:20" ht="12">
      <c r="A22" s="148"/>
      <c r="B22" s="174" t="s">
        <v>422</v>
      </c>
      <c r="C22" s="175" t="s">
        <v>281</v>
      </c>
      <c r="D22" s="176" t="s">
        <v>282</v>
      </c>
      <c r="E22" s="177" t="s">
        <v>423</v>
      </c>
      <c r="F22" s="175">
        <f t="shared" si="0"/>
        <v>12</v>
      </c>
      <c r="G22" s="175" t="str">
        <f t="shared" si="1"/>
        <v>Alexandria</v>
      </c>
      <c r="H22" s="175" t="str">
        <f t="shared" si="2"/>
        <v>Alexandria, LA</v>
      </c>
      <c r="I22" s="178" t="s">
        <v>381</v>
      </c>
      <c r="J22" s="27" t="s">
        <v>282</v>
      </c>
      <c r="K22" s="27">
        <v>2368</v>
      </c>
      <c r="L22" s="179">
        <v>2264</v>
      </c>
      <c r="M22" s="180" t="s">
        <v>382</v>
      </c>
      <c r="N22" s="181" t="s">
        <v>282</v>
      </c>
      <c r="O22" s="182" t="s">
        <v>383</v>
      </c>
      <c r="S22" s="27"/>
      <c r="T22" s="27"/>
    </row>
    <row r="23" spans="1:20" ht="12">
      <c r="A23" s="148"/>
      <c r="B23" s="174" t="s">
        <v>424</v>
      </c>
      <c r="C23" s="175" t="s">
        <v>425</v>
      </c>
      <c r="D23" s="176" t="s">
        <v>426</v>
      </c>
      <c r="E23" s="177" t="s">
        <v>423</v>
      </c>
      <c r="F23" s="175">
        <f t="shared" si="0"/>
        <v>12</v>
      </c>
      <c r="G23" s="175" t="str">
        <f t="shared" si="1"/>
        <v>Alexandria</v>
      </c>
      <c r="H23" s="175" t="str">
        <f t="shared" si="2"/>
        <v>Alexandria, VA</v>
      </c>
      <c r="I23" s="178" t="s">
        <v>427</v>
      </c>
      <c r="J23" s="27" t="s">
        <v>428</v>
      </c>
      <c r="K23" s="27">
        <v>1549</v>
      </c>
      <c r="L23" s="179">
        <v>4047</v>
      </c>
      <c r="M23" s="180" t="s">
        <v>429</v>
      </c>
      <c r="N23" s="181" t="s">
        <v>430</v>
      </c>
      <c r="O23" s="182" t="s">
        <v>431</v>
      </c>
      <c r="S23" s="27"/>
      <c r="T23" s="27"/>
    </row>
    <row r="24" spans="1:20" ht="12">
      <c r="A24" s="148"/>
      <c r="B24" s="174" t="s">
        <v>432</v>
      </c>
      <c r="C24" s="175" t="s">
        <v>433</v>
      </c>
      <c r="D24" s="176" t="s">
        <v>434</v>
      </c>
      <c r="E24" s="177" t="s">
        <v>435</v>
      </c>
      <c r="F24" s="175">
        <f t="shared" si="0"/>
        <v>10</v>
      </c>
      <c r="G24" s="175" t="str">
        <f t="shared" si="1"/>
        <v>Alhambra</v>
      </c>
      <c r="H24" s="175" t="str">
        <f t="shared" si="2"/>
        <v>Alhambra, CA</v>
      </c>
      <c r="I24" s="178" t="s">
        <v>436</v>
      </c>
      <c r="J24" s="27" t="s">
        <v>434</v>
      </c>
      <c r="K24" s="27">
        <v>1537</v>
      </c>
      <c r="L24" s="179">
        <v>1154</v>
      </c>
      <c r="M24" s="178" t="s">
        <v>437</v>
      </c>
      <c r="N24" s="27" t="s">
        <v>434</v>
      </c>
      <c r="O24" s="182" t="s">
        <v>438</v>
      </c>
      <c r="S24" s="27"/>
      <c r="T24" s="27"/>
    </row>
    <row r="25" spans="1:20" ht="12">
      <c r="A25" s="148"/>
      <c r="B25" s="174" t="s">
        <v>439</v>
      </c>
      <c r="C25" s="175" t="s">
        <v>440</v>
      </c>
      <c r="D25" s="176" t="s">
        <v>441</v>
      </c>
      <c r="E25" s="177" t="s">
        <v>442</v>
      </c>
      <c r="F25" s="175">
        <f t="shared" si="0"/>
        <v>11</v>
      </c>
      <c r="G25" s="175" t="str">
        <f t="shared" si="1"/>
        <v>Allentown</v>
      </c>
      <c r="H25" s="175" t="str">
        <f t="shared" si="2"/>
        <v>Allentown, PA</v>
      </c>
      <c r="I25" s="178" t="s">
        <v>443</v>
      </c>
      <c r="J25" s="27" t="s">
        <v>441</v>
      </c>
      <c r="K25" s="27">
        <v>773</v>
      </c>
      <c r="L25" s="179">
        <v>5785</v>
      </c>
      <c r="M25" s="178" t="s">
        <v>444</v>
      </c>
      <c r="N25" s="27" t="s">
        <v>441</v>
      </c>
      <c r="O25" s="182" t="s">
        <v>445</v>
      </c>
      <c r="S25" s="27"/>
      <c r="T25" s="27"/>
    </row>
    <row r="26" spans="1:20" ht="12">
      <c r="A26" s="148"/>
      <c r="B26" s="174" t="s">
        <v>446</v>
      </c>
      <c r="C26" s="175" t="s">
        <v>447</v>
      </c>
      <c r="D26" s="176" t="s">
        <v>448</v>
      </c>
      <c r="E26" s="177" t="s">
        <v>449</v>
      </c>
      <c r="F26" s="175">
        <f t="shared" si="0"/>
        <v>10</v>
      </c>
      <c r="G26" s="175" t="str">
        <f t="shared" si="1"/>
        <v>Alliance</v>
      </c>
      <c r="H26" s="175" t="str">
        <f t="shared" si="2"/>
        <v>Alliance, NE</v>
      </c>
      <c r="I26" s="178" t="s">
        <v>450</v>
      </c>
      <c r="J26" s="27" t="s">
        <v>247</v>
      </c>
      <c r="K26" s="27">
        <v>611</v>
      </c>
      <c r="L26" s="179">
        <v>7301</v>
      </c>
      <c r="M26" s="180" t="s">
        <v>451</v>
      </c>
      <c r="N26" s="181" t="s">
        <v>247</v>
      </c>
      <c r="O26" s="182" t="s">
        <v>452</v>
      </c>
      <c r="S26" s="27"/>
      <c r="T26" s="27"/>
    </row>
    <row r="27" spans="1:20" ht="12">
      <c r="A27" s="148"/>
      <c r="B27" s="174" t="s">
        <v>453</v>
      </c>
      <c r="C27" s="175" t="s">
        <v>440</v>
      </c>
      <c r="D27" s="176" t="s">
        <v>441</v>
      </c>
      <c r="E27" s="177" t="s">
        <v>454</v>
      </c>
      <c r="F27" s="175">
        <f t="shared" si="0"/>
        <v>9</v>
      </c>
      <c r="G27" s="175" t="str">
        <f t="shared" si="1"/>
        <v>Altoona</v>
      </c>
      <c r="H27" s="175" t="str">
        <f t="shared" si="2"/>
        <v>Altoona, PA</v>
      </c>
      <c r="I27" s="178" t="s">
        <v>455</v>
      </c>
      <c r="J27" s="27" t="s">
        <v>441</v>
      </c>
      <c r="K27" s="27">
        <v>654</v>
      </c>
      <c r="L27" s="179">
        <v>5968</v>
      </c>
      <c r="M27" s="180" t="s">
        <v>456</v>
      </c>
      <c r="N27" s="181" t="s">
        <v>441</v>
      </c>
      <c r="O27" s="182" t="s">
        <v>457</v>
      </c>
      <c r="S27" s="27"/>
      <c r="T27" s="27"/>
    </row>
    <row r="28" spans="1:20" ht="12">
      <c r="A28" s="148"/>
      <c r="B28" s="174" t="s">
        <v>458</v>
      </c>
      <c r="C28" s="175" t="s">
        <v>254</v>
      </c>
      <c r="D28" s="176" t="s">
        <v>255</v>
      </c>
      <c r="E28" s="177" t="s">
        <v>459</v>
      </c>
      <c r="F28" s="175">
        <f t="shared" si="0"/>
        <v>10</v>
      </c>
      <c r="G28" s="175" t="str">
        <f t="shared" si="1"/>
        <v>Amarillo</v>
      </c>
      <c r="H28" s="175" t="str">
        <f t="shared" si="2"/>
        <v>Amarillo, TX</v>
      </c>
      <c r="I28" s="178" t="s">
        <v>270</v>
      </c>
      <c r="J28" s="27" t="s">
        <v>255</v>
      </c>
      <c r="K28" s="27">
        <v>1354</v>
      </c>
      <c r="L28" s="179">
        <v>4258</v>
      </c>
      <c r="M28" s="180" t="s">
        <v>271</v>
      </c>
      <c r="N28" s="181" t="s">
        <v>255</v>
      </c>
      <c r="O28" s="182" t="s">
        <v>272</v>
      </c>
      <c r="S28" s="27"/>
      <c r="T28" s="27"/>
    </row>
    <row r="29" spans="1:20" ht="12">
      <c r="A29" s="148"/>
      <c r="B29" s="174" t="s">
        <v>460</v>
      </c>
      <c r="C29" s="175" t="s">
        <v>433</v>
      </c>
      <c r="D29" s="176" t="s">
        <v>434</v>
      </c>
      <c r="E29" s="177" t="s">
        <v>461</v>
      </c>
      <c r="F29" s="175">
        <f t="shared" si="0"/>
        <v>9</v>
      </c>
      <c r="G29" s="175" t="str">
        <f t="shared" si="1"/>
        <v>Anaheim</v>
      </c>
      <c r="H29" s="175" t="str">
        <f t="shared" si="2"/>
        <v>Anaheim, CA</v>
      </c>
      <c r="I29" s="178" t="s">
        <v>462</v>
      </c>
      <c r="J29" s="27" t="s">
        <v>434</v>
      </c>
      <c r="K29" s="27">
        <v>1201</v>
      </c>
      <c r="L29" s="179">
        <v>1430</v>
      </c>
      <c r="M29" s="178" t="s">
        <v>437</v>
      </c>
      <c r="N29" s="27" t="s">
        <v>434</v>
      </c>
      <c r="O29" s="182" t="s">
        <v>438</v>
      </c>
    </row>
    <row r="30" spans="1:20" ht="12">
      <c r="A30" s="148"/>
      <c r="B30" s="174" t="s">
        <v>463</v>
      </c>
      <c r="C30" s="175" t="s">
        <v>464</v>
      </c>
      <c r="D30" s="176" t="s">
        <v>465</v>
      </c>
      <c r="E30" s="177" t="s">
        <v>466</v>
      </c>
      <c r="F30" s="175">
        <f t="shared" si="0"/>
        <v>11</v>
      </c>
      <c r="G30" s="175" t="str">
        <f t="shared" si="1"/>
        <v>Anchorage</v>
      </c>
      <c r="H30" s="175" t="str">
        <f t="shared" si="2"/>
        <v>Anchorage, AK</v>
      </c>
      <c r="I30" s="178" t="s">
        <v>467</v>
      </c>
      <c r="J30" s="27" t="s">
        <v>465</v>
      </c>
      <c r="K30" s="27">
        <v>0</v>
      </c>
      <c r="L30" s="179">
        <v>10570</v>
      </c>
      <c r="M30" s="178" t="s">
        <v>468</v>
      </c>
      <c r="N30" s="27" t="s">
        <v>465</v>
      </c>
      <c r="O30" s="187" t="s">
        <v>469</v>
      </c>
      <c r="S30" s="27"/>
      <c r="T30" s="27"/>
    </row>
    <row r="31" spans="1:20" ht="12">
      <c r="A31" s="148"/>
      <c r="B31" s="174" t="s">
        <v>470</v>
      </c>
      <c r="C31" s="175" t="s">
        <v>464</v>
      </c>
      <c r="D31" s="176" t="s">
        <v>465</v>
      </c>
      <c r="E31" s="177" t="s">
        <v>466</v>
      </c>
      <c r="F31" s="175">
        <f t="shared" si="0"/>
        <v>11</v>
      </c>
      <c r="G31" s="175" t="str">
        <f t="shared" si="1"/>
        <v>Anchorage</v>
      </c>
      <c r="H31" s="175" t="str">
        <f t="shared" si="2"/>
        <v>Anchorage, AK</v>
      </c>
      <c r="I31" s="178" t="s">
        <v>467</v>
      </c>
      <c r="J31" s="27" t="s">
        <v>465</v>
      </c>
      <c r="K31" s="27">
        <v>0</v>
      </c>
      <c r="L31" s="179">
        <v>10570</v>
      </c>
      <c r="M31" s="178" t="s">
        <v>468</v>
      </c>
      <c r="N31" s="27" t="s">
        <v>465</v>
      </c>
      <c r="O31" s="187" t="s">
        <v>469</v>
      </c>
    </row>
    <row r="32" spans="1:20" ht="12">
      <c r="A32" s="148"/>
      <c r="B32" s="174" t="s">
        <v>471</v>
      </c>
      <c r="C32" s="175" t="s">
        <v>472</v>
      </c>
      <c r="D32" s="176" t="s">
        <v>473</v>
      </c>
      <c r="E32" s="177" t="s">
        <v>474</v>
      </c>
      <c r="F32" s="175">
        <f t="shared" si="0"/>
        <v>9</v>
      </c>
      <c r="G32" s="175" t="str">
        <f t="shared" si="1"/>
        <v>Andrews</v>
      </c>
      <c r="H32" s="175" t="str">
        <f t="shared" si="2"/>
        <v>Andrews, NC</v>
      </c>
      <c r="I32" s="178" t="s">
        <v>475</v>
      </c>
      <c r="J32" s="27" t="s">
        <v>476</v>
      </c>
      <c r="K32" s="27">
        <v>1266</v>
      </c>
      <c r="L32" s="179">
        <v>3937</v>
      </c>
      <c r="M32" s="180" t="s">
        <v>477</v>
      </c>
      <c r="N32" s="181" t="s">
        <v>476</v>
      </c>
      <c r="O32" s="182" t="s">
        <v>478</v>
      </c>
      <c r="S32" s="27"/>
      <c r="T32" s="27"/>
    </row>
    <row r="33" spans="1:20" ht="12">
      <c r="A33" s="148"/>
      <c r="B33" s="174" t="s">
        <v>479</v>
      </c>
      <c r="C33" s="175" t="s">
        <v>480</v>
      </c>
      <c r="D33" s="176" t="s">
        <v>481</v>
      </c>
      <c r="E33" s="177" t="s">
        <v>482</v>
      </c>
      <c r="F33" s="175">
        <f t="shared" si="0"/>
        <v>11</v>
      </c>
      <c r="G33" s="175" t="str">
        <f t="shared" si="1"/>
        <v>Ann Arbor</v>
      </c>
      <c r="H33" s="175" t="str">
        <f t="shared" si="2"/>
        <v>Ann Arbor, MI</v>
      </c>
      <c r="I33" s="178" t="s">
        <v>483</v>
      </c>
      <c r="J33" s="27" t="s">
        <v>481</v>
      </c>
      <c r="K33" s="27">
        <v>626</v>
      </c>
      <c r="L33" s="179">
        <v>6569</v>
      </c>
      <c r="M33" s="178" t="s">
        <v>484</v>
      </c>
      <c r="N33" s="27" t="s">
        <v>481</v>
      </c>
      <c r="O33" s="182" t="s">
        <v>485</v>
      </c>
      <c r="S33" s="27"/>
      <c r="T33" s="27"/>
    </row>
    <row r="34" spans="1:20" ht="12">
      <c r="A34" s="148"/>
      <c r="B34" s="174" t="s">
        <v>486</v>
      </c>
      <c r="C34" s="175" t="s">
        <v>487</v>
      </c>
      <c r="D34" s="176" t="s">
        <v>430</v>
      </c>
      <c r="E34" s="177" t="s">
        <v>488</v>
      </c>
      <c r="F34" s="175">
        <f t="shared" si="0"/>
        <v>11</v>
      </c>
      <c r="G34" s="175" t="str">
        <f t="shared" si="1"/>
        <v>Annapolis</v>
      </c>
      <c r="H34" s="175" t="str">
        <f t="shared" si="2"/>
        <v>Annapolis, MD</v>
      </c>
      <c r="I34" s="178" t="s">
        <v>489</v>
      </c>
      <c r="J34" s="27" t="s">
        <v>430</v>
      </c>
      <c r="K34" s="27">
        <v>1137</v>
      </c>
      <c r="L34" s="179">
        <v>4707</v>
      </c>
      <c r="M34" s="180" t="s">
        <v>490</v>
      </c>
      <c r="N34" s="181" t="s">
        <v>430</v>
      </c>
      <c r="O34" s="182" t="s">
        <v>491</v>
      </c>
    </row>
    <row r="35" spans="1:20" ht="12">
      <c r="A35" s="148"/>
      <c r="B35" s="174" t="s">
        <v>492</v>
      </c>
      <c r="C35" s="175" t="s">
        <v>493</v>
      </c>
      <c r="D35" s="176" t="s">
        <v>494</v>
      </c>
      <c r="E35" s="177" t="s">
        <v>495</v>
      </c>
      <c r="F35" s="175">
        <f t="shared" si="0"/>
        <v>10</v>
      </c>
      <c r="G35" s="175" t="str">
        <f t="shared" si="1"/>
        <v>Anniston</v>
      </c>
      <c r="H35" s="175" t="str">
        <f t="shared" si="2"/>
        <v>Anniston, AL</v>
      </c>
      <c r="I35" s="178" t="s">
        <v>496</v>
      </c>
      <c r="J35" s="27" t="s">
        <v>494</v>
      </c>
      <c r="K35" s="27">
        <v>1797</v>
      </c>
      <c r="L35" s="179">
        <v>2918</v>
      </c>
      <c r="M35" s="180" t="s">
        <v>497</v>
      </c>
      <c r="N35" s="181" t="s">
        <v>494</v>
      </c>
      <c r="O35" s="182" t="s">
        <v>498</v>
      </c>
      <c r="S35" s="27"/>
      <c r="T35" s="27"/>
    </row>
    <row r="36" spans="1:20" ht="12">
      <c r="A36" s="148"/>
      <c r="B36" s="174" t="s">
        <v>499</v>
      </c>
      <c r="C36" s="175" t="s">
        <v>500</v>
      </c>
      <c r="D36" s="176" t="s">
        <v>501</v>
      </c>
      <c r="E36" s="177" t="s">
        <v>502</v>
      </c>
      <c r="F36" s="175">
        <f t="shared" si="0"/>
        <v>9</v>
      </c>
      <c r="G36" s="175" t="str">
        <f t="shared" si="1"/>
        <v>Ardmore</v>
      </c>
      <c r="H36" s="175" t="str">
        <f t="shared" si="2"/>
        <v>Ardmore, OK</v>
      </c>
      <c r="I36" s="178" t="s">
        <v>503</v>
      </c>
      <c r="J36" s="27" t="s">
        <v>255</v>
      </c>
      <c r="K36" s="27">
        <v>2603</v>
      </c>
      <c r="L36" s="179">
        <v>2407</v>
      </c>
      <c r="M36" s="180" t="s">
        <v>504</v>
      </c>
      <c r="N36" s="181" t="s">
        <v>255</v>
      </c>
      <c r="O36" s="182" t="s">
        <v>505</v>
      </c>
      <c r="S36" s="27"/>
      <c r="T36" s="27"/>
    </row>
    <row r="37" spans="1:20" ht="12">
      <c r="A37" s="148"/>
      <c r="B37" s="174" t="s">
        <v>506</v>
      </c>
      <c r="C37" s="175" t="s">
        <v>425</v>
      </c>
      <c r="D37" s="176" t="s">
        <v>426</v>
      </c>
      <c r="E37" s="177" t="s">
        <v>507</v>
      </c>
      <c r="F37" s="175">
        <f t="shared" si="0"/>
        <v>11</v>
      </c>
      <c r="G37" s="175" t="str">
        <f t="shared" si="1"/>
        <v>Arlington</v>
      </c>
      <c r="H37" s="175" t="str">
        <f t="shared" si="2"/>
        <v>Arlington, VA</v>
      </c>
      <c r="I37" s="178" t="s">
        <v>427</v>
      </c>
      <c r="J37" s="27" t="s">
        <v>428</v>
      </c>
      <c r="K37" s="27">
        <v>1549</v>
      </c>
      <c r="L37" s="179">
        <v>4047</v>
      </c>
      <c r="M37" s="180" t="s">
        <v>429</v>
      </c>
      <c r="N37" s="181" t="s">
        <v>430</v>
      </c>
      <c r="O37" s="182" t="s">
        <v>431</v>
      </c>
    </row>
    <row r="38" spans="1:20" ht="12">
      <c r="A38" s="148"/>
      <c r="B38" s="174" t="s">
        <v>508</v>
      </c>
      <c r="C38" s="175" t="s">
        <v>472</v>
      </c>
      <c r="D38" s="176" t="s">
        <v>473</v>
      </c>
      <c r="E38" s="177" t="s">
        <v>509</v>
      </c>
      <c r="F38" s="175">
        <f t="shared" si="0"/>
        <v>11</v>
      </c>
      <c r="G38" s="175" t="str">
        <f t="shared" si="1"/>
        <v>Asheville</v>
      </c>
      <c r="H38" s="175" t="str">
        <f t="shared" si="2"/>
        <v>Asheville, NC</v>
      </c>
      <c r="I38" s="178" t="s">
        <v>510</v>
      </c>
      <c r="J38" s="27" t="s">
        <v>476</v>
      </c>
      <c r="K38" s="27">
        <v>972</v>
      </c>
      <c r="L38" s="179">
        <v>4406</v>
      </c>
      <c r="M38" s="180" t="s">
        <v>511</v>
      </c>
      <c r="N38" s="181" t="s">
        <v>473</v>
      </c>
      <c r="O38" s="182" t="s">
        <v>512</v>
      </c>
      <c r="S38" s="27"/>
      <c r="T38" s="27"/>
    </row>
    <row r="39" spans="1:20" ht="12">
      <c r="A39" s="148"/>
      <c r="B39" s="174" t="s">
        <v>513</v>
      </c>
      <c r="C39" s="175" t="s">
        <v>472</v>
      </c>
      <c r="D39" s="176" t="s">
        <v>473</v>
      </c>
      <c r="E39" s="177" t="s">
        <v>509</v>
      </c>
      <c r="F39" s="175">
        <f t="shared" si="0"/>
        <v>11</v>
      </c>
      <c r="G39" s="175" t="str">
        <f t="shared" si="1"/>
        <v>Asheville</v>
      </c>
      <c r="H39" s="175" t="str">
        <f t="shared" si="2"/>
        <v>Asheville, NC</v>
      </c>
      <c r="I39" s="178" t="s">
        <v>514</v>
      </c>
      <c r="J39" s="27" t="s">
        <v>473</v>
      </c>
      <c r="K39" s="27">
        <v>787</v>
      </c>
      <c r="L39" s="179">
        <v>4308</v>
      </c>
      <c r="M39" s="180" t="s">
        <v>511</v>
      </c>
      <c r="N39" s="181" t="s">
        <v>473</v>
      </c>
      <c r="O39" s="182" t="s">
        <v>512</v>
      </c>
    </row>
    <row r="40" spans="1:20" ht="12">
      <c r="A40" s="148"/>
      <c r="B40" s="174" t="s">
        <v>515</v>
      </c>
      <c r="C40" s="175" t="s">
        <v>516</v>
      </c>
      <c r="D40" s="176" t="s">
        <v>517</v>
      </c>
      <c r="E40" s="177" t="s">
        <v>518</v>
      </c>
      <c r="F40" s="175">
        <f t="shared" si="0"/>
        <v>9</v>
      </c>
      <c r="G40" s="175" t="str">
        <f t="shared" si="1"/>
        <v>Ashland</v>
      </c>
      <c r="H40" s="175" t="str">
        <f t="shared" si="2"/>
        <v>Ashland, KY</v>
      </c>
      <c r="I40" s="178" t="s">
        <v>1586</v>
      </c>
      <c r="J40" s="27" t="s">
        <v>517</v>
      </c>
      <c r="K40" s="27">
        <v>1140</v>
      </c>
      <c r="L40" s="179">
        <v>4783</v>
      </c>
      <c r="M40" s="180" t="s">
        <v>1587</v>
      </c>
      <c r="N40" s="181" t="s">
        <v>517</v>
      </c>
      <c r="O40" s="182" t="s">
        <v>1588</v>
      </c>
      <c r="S40" s="27"/>
      <c r="T40" s="27"/>
    </row>
    <row r="41" spans="1:20" ht="12">
      <c r="A41" s="148"/>
      <c r="B41" s="174" t="s">
        <v>1589</v>
      </c>
      <c r="C41" s="175" t="s">
        <v>516</v>
      </c>
      <c r="D41" s="176" t="s">
        <v>517</v>
      </c>
      <c r="E41" s="177" t="s">
        <v>518</v>
      </c>
      <c r="F41" s="175">
        <f t="shared" si="0"/>
        <v>9</v>
      </c>
      <c r="G41" s="175" t="str">
        <f t="shared" si="1"/>
        <v>Ashland</v>
      </c>
      <c r="H41" s="175" t="str">
        <f t="shared" si="2"/>
        <v>Ashland, KY</v>
      </c>
      <c r="I41" s="178" t="s">
        <v>1590</v>
      </c>
      <c r="J41" s="27" t="s">
        <v>1591</v>
      </c>
      <c r="K41" s="27">
        <v>1005</v>
      </c>
      <c r="L41" s="179">
        <v>4665</v>
      </c>
      <c r="M41" s="180" t="s">
        <v>1592</v>
      </c>
      <c r="N41" s="181" t="s">
        <v>1591</v>
      </c>
      <c r="O41" s="182" t="s">
        <v>1593</v>
      </c>
    </row>
    <row r="42" spans="1:20" ht="12">
      <c r="A42" s="148"/>
      <c r="B42" s="174" t="s">
        <v>1594</v>
      </c>
      <c r="C42" s="175" t="s">
        <v>400</v>
      </c>
      <c r="D42" s="176" t="s">
        <v>401</v>
      </c>
      <c r="E42" s="177" t="s">
        <v>1595</v>
      </c>
      <c r="F42" s="175">
        <f t="shared" si="0"/>
        <v>8</v>
      </c>
      <c r="G42" s="175" t="str">
        <f t="shared" si="1"/>
        <v>Athens</v>
      </c>
      <c r="H42" s="175" t="str">
        <f t="shared" si="2"/>
        <v>Athens, GA</v>
      </c>
      <c r="I42" s="178" t="s">
        <v>1596</v>
      </c>
      <c r="J42" s="27" t="s">
        <v>401</v>
      </c>
      <c r="K42" s="27">
        <v>1709</v>
      </c>
      <c r="L42" s="179">
        <v>2893</v>
      </c>
      <c r="M42" s="178" t="s">
        <v>1597</v>
      </c>
      <c r="N42" s="27" t="s">
        <v>401</v>
      </c>
      <c r="O42" s="182" t="s">
        <v>1598</v>
      </c>
      <c r="S42" s="27"/>
      <c r="T42" s="27"/>
    </row>
    <row r="43" spans="1:20" ht="12">
      <c r="A43" s="148"/>
      <c r="B43" s="174" t="s">
        <v>1599</v>
      </c>
      <c r="C43" s="175" t="s">
        <v>385</v>
      </c>
      <c r="D43" s="176" t="s">
        <v>386</v>
      </c>
      <c r="E43" s="177" t="s">
        <v>1595</v>
      </c>
      <c r="F43" s="175">
        <f t="shared" si="0"/>
        <v>8</v>
      </c>
      <c r="G43" s="175" t="str">
        <f t="shared" si="1"/>
        <v>Athens</v>
      </c>
      <c r="H43" s="175" t="str">
        <f t="shared" si="2"/>
        <v>Athens, OH</v>
      </c>
      <c r="I43" s="178" t="s">
        <v>1600</v>
      </c>
      <c r="J43" s="27" t="s">
        <v>386</v>
      </c>
      <c r="K43" s="27">
        <v>797</v>
      </c>
      <c r="L43" s="179">
        <v>5708</v>
      </c>
      <c r="M43" s="180" t="s">
        <v>404</v>
      </c>
      <c r="N43" s="181" t="s">
        <v>386</v>
      </c>
      <c r="O43" s="182" t="s">
        <v>1601</v>
      </c>
    </row>
    <row r="44" spans="1:20" ht="12">
      <c r="A44" s="148"/>
      <c r="B44" s="174" t="s">
        <v>1602</v>
      </c>
      <c r="C44" s="175" t="s">
        <v>400</v>
      </c>
      <c r="D44" s="176" t="s">
        <v>401</v>
      </c>
      <c r="E44" s="177" t="s">
        <v>1603</v>
      </c>
      <c r="F44" s="175">
        <f t="shared" si="0"/>
        <v>9</v>
      </c>
      <c r="G44" s="175" t="str">
        <f t="shared" si="1"/>
        <v>Atlanta</v>
      </c>
      <c r="H44" s="175" t="str">
        <f t="shared" si="2"/>
        <v>Atlanta, GA</v>
      </c>
      <c r="I44" s="178" t="s">
        <v>1604</v>
      </c>
      <c r="J44" s="27" t="s">
        <v>401</v>
      </c>
      <c r="K44" s="27">
        <v>1667</v>
      </c>
      <c r="L44" s="179">
        <v>2991</v>
      </c>
      <c r="M44" s="178" t="s">
        <v>1597</v>
      </c>
      <c r="N44" s="27" t="s">
        <v>401</v>
      </c>
      <c r="O44" s="182" t="s">
        <v>1598</v>
      </c>
      <c r="S44" s="27"/>
      <c r="T44" s="27"/>
    </row>
    <row r="45" spans="1:20" ht="12">
      <c r="A45" s="148"/>
      <c r="B45" s="174" t="s">
        <v>1605</v>
      </c>
      <c r="C45" s="175" t="s">
        <v>400</v>
      </c>
      <c r="D45" s="176" t="s">
        <v>401</v>
      </c>
      <c r="E45" s="177" t="s">
        <v>1603</v>
      </c>
      <c r="F45" s="175">
        <f t="shared" si="0"/>
        <v>9</v>
      </c>
      <c r="G45" s="175" t="str">
        <f t="shared" si="1"/>
        <v>Atlanta</v>
      </c>
      <c r="H45" s="175" t="str">
        <f t="shared" si="2"/>
        <v>Atlanta, GA</v>
      </c>
      <c r="I45" s="178" t="s">
        <v>1604</v>
      </c>
      <c r="J45" s="27" t="s">
        <v>401</v>
      </c>
      <c r="K45" s="27">
        <v>1667</v>
      </c>
      <c r="L45" s="179">
        <v>2991</v>
      </c>
      <c r="M45" s="178" t="s">
        <v>1597</v>
      </c>
      <c r="N45" s="27" t="s">
        <v>401</v>
      </c>
      <c r="O45" s="182" t="s">
        <v>1598</v>
      </c>
    </row>
    <row r="46" spans="1:20" ht="12">
      <c r="A46" s="148"/>
      <c r="B46" s="174" t="s">
        <v>1606</v>
      </c>
      <c r="C46" s="175" t="s">
        <v>400</v>
      </c>
      <c r="D46" s="176" t="s">
        <v>401</v>
      </c>
      <c r="E46" s="177" t="s">
        <v>1603</v>
      </c>
      <c r="F46" s="175">
        <f t="shared" si="0"/>
        <v>9</v>
      </c>
      <c r="G46" s="175" t="str">
        <f t="shared" si="1"/>
        <v>Atlanta</v>
      </c>
      <c r="H46" s="175" t="str">
        <f t="shared" si="2"/>
        <v>Atlanta, GA</v>
      </c>
      <c r="I46" s="178" t="s">
        <v>1604</v>
      </c>
      <c r="J46" s="27" t="s">
        <v>401</v>
      </c>
      <c r="K46" s="27">
        <v>1667</v>
      </c>
      <c r="L46" s="179">
        <v>2991</v>
      </c>
      <c r="M46" s="178" t="s">
        <v>1597</v>
      </c>
      <c r="N46" s="27" t="s">
        <v>401</v>
      </c>
      <c r="O46" s="182" t="s">
        <v>1598</v>
      </c>
      <c r="S46" s="27"/>
      <c r="T46" s="27"/>
    </row>
    <row r="47" spans="1:20" ht="12">
      <c r="A47" s="148"/>
      <c r="B47" s="174" t="s">
        <v>1607</v>
      </c>
      <c r="C47" s="175" t="s">
        <v>400</v>
      </c>
      <c r="D47" s="176" t="s">
        <v>401</v>
      </c>
      <c r="E47" s="177" t="s">
        <v>1603</v>
      </c>
      <c r="F47" s="175">
        <f t="shared" si="0"/>
        <v>9</v>
      </c>
      <c r="G47" s="175" t="str">
        <f t="shared" si="1"/>
        <v>Atlanta</v>
      </c>
      <c r="H47" s="175" t="str">
        <f t="shared" si="2"/>
        <v>Atlanta, GA</v>
      </c>
      <c r="I47" s="178" t="s">
        <v>1604</v>
      </c>
      <c r="J47" s="27" t="s">
        <v>401</v>
      </c>
      <c r="K47" s="27">
        <v>1667</v>
      </c>
      <c r="L47" s="179">
        <v>2991</v>
      </c>
      <c r="M47" s="178" t="s">
        <v>1597</v>
      </c>
      <c r="N47" s="27" t="s">
        <v>401</v>
      </c>
      <c r="O47" s="182" t="s">
        <v>1598</v>
      </c>
    </row>
    <row r="48" spans="1:20" ht="12">
      <c r="A48" s="148"/>
      <c r="B48" s="186" t="s">
        <v>1608</v>
      </c>
      <c r="C48" s="175" t="s">
        <v>1609</v>
      </c>
      <c r="D48" s="176" t="s">
        <v>1610</v>
      </c>
      <c r="E48" s="177" t="s">
        <v>1611</v>
      </c>
      <c r="F48" s="175">
        <f t="shared" si="0"/>
        <v>15</v>
      </c>
      <c r="G48" s="175" t="str">
        <f t="shared" si="1"/>
        <v>Atlantic City</v>
      </c>
      <c r="H48" s="175" t="str">
        <f t="shared" si="2"/>
        <v>Atlantic City, NJ</v>
      </c>
      <c r="I48" s="178" t="s">
        <v>1612</v>
      </c>
      <c r="J48" s="27" t="s">
        <v>1610</v>
      </c>
      <c r="K48" s="27">
        <v>826</v>
      </c>
      <c r="L48" s="179">
        <v>5169</v>
      </c>
      <c r="M48" s="180" t="s">
        <v>1613</v>
      </c>
      <c r="N48" s="181" t="s">
        <v>1610</v>
      </c>
      <c r="O48" s="182" t="s">
        <v>1614</v>
      </c>
    </row>
    <row r="49" spans="1:20" ht="12">
      <c r="A49" s="148"/>
      <c r="B49" s="186" t="s">
        <v>1615</v>
      </c>
      <c r="C49" s="175" t="s">
        <v>1616</v>
      </c>
      <c r="D49" s="176" t="s">
        <v>1617</v>
      </c>
      <c r="E49" s="177" t="s">
        <v>1618</v>
      </c>
      <c r="F49" s="175">
        <f t="shared" si="0"/>
        <v>8</v>
      </c>
      <c r="G49" s="175" t="str">
        <f t="shared" si="1"/>
        <v>Auburn</v>
      </c>
      <c r="H49" s="175" t="str">
        <f t="shared" si="2"/>
        <v>Auburn, ME</v>
      </c>
      <c r="I49" s="178" t="s">
        <v>1619</v>
      </c>
      <c r="J49" s="27" t="s">
        <v>1617</v>
      </c>
      <c r="K49" s="27">
        <v>268</v>
      </c>
      <c r="L49" s="179">
        <v>7378</v>
      </c>
      <c r="M49" s="180" t="s">
        <v>1620</v>
      </c>
      <c r="N49" s="181" t="s">
        <v>1617</v>
      </c>
      <c r="O49" s="182" t="s">
        <v>1621</v>
      </c>
      <c r="S49" s="27"/>
      <c r="T49" s="27"/>
    </row>
    <row r="50" spans="1:20" ht="12">
      <c r="A50" s="148"/>
      <c r="B50" s="174" t="s">
        <v>1622</v>
      </c>
      <c r="C50" s="175" t="s">
        <v>400</v>
      </c>
      <c r="D50" s="176" t="s">
        <v>401</v>
      </c>
      <c r="E50" s="177" t="s">
        <v>1623</v>
      </c>
      <c r="F50" s="175">
        <f t="shared" si="0"/>
        <v>9</v>
      </c>
      <c r="G50" s="175" t="str">
        <f t="shared" si="1"/>
        <v>Augusta</v>
      </c>
      <c r="H50" s="175" t="str">
        <f t="shared" si="2"/>
        <v>Augusta, GA</v>
      </c>
      <c r="I50" s="178" t="s">
        <v>1596</v>
      </c>
      <c r="J50" s="27" t="s">
        <v>401</v>
      </c>
      <c r="K50" s="27">
        <v>1709</v>
      </c>
      <c r="L50" s="179">
        <v>2893</v>
      </c>
      <c r="M50" s="178" t="s">
        <v>278</v>
      </c>
      <c r="N50" s="27" t="s">
        <v>275</v>
      </c>
      <c r="O50" s="182" t="s">
        <v>279</v>
      </c>
      <c r="S50" s="27"/>
      <c r="T50" s="27"/>
    </row>
    <row r="51" spans="1:20" ht="12">
      <c r="A51" s="148"/>
      <c r="B51" s="174" t="s">
        <v>1624</v>
      </c>
      <c r="C51" s="175" t="s">
        <v>400</v>
      </c>
      <c r="D51" s="176" t="s">
        <v>401</v>
      </c>
      <c r="E51" s="177" t="s">
        <v>1623</v>
      </c>
      <c r="F51" s="175">
        <f t="shared" si="0"/>
        <v>9</v>
      </c>
      <c r="G51" s="175" t="str">
        <f t="shared" si="1"/>
        <v>Augusta</v>
      </c>
      <c r="H51" s="175" t="str">
        <f t="shared" si="2"/>
        <v>Augusta, GA</v>
      </c>
      <c r="I51" s="178" t="s">
        <v>1625</v>
      </c>
      <c r="J51" s="27" t="s">
        <v>401</v>
      </c>
      <c r="K51" s="27">
        <v>1948</v>
      </c>
      <c r="L51" s="179">
        <v>2565</v>
      </c>
      <c r="M51" s="178" t="s">
        <v>278</v>
      </c>
      <c r="N51" s="27" t="s">
        <v>275</v>
      </c>
      <c r="O51" s="182" t="s">
        <v>279</v>
      </c>
      <c r="S51" s="27"/>
      <c r="T51" s="27"/>
    </row>
    <row r="52" spans="1:20" ht="12">
      <c r="A52" s="148"/>
      <c r="B52" s="186" t="s">
        <v>1626</v>
      </c>
      <c r="C52" s="175" t="s">
        <v>1616</v>
      </c>
      <c r="D52" s="176" t="s">
        <v>1617</v>
      </c>
      <c r="E52" s="177" t="s">
        <v>1623</v>
      </c>
      <c r="F52" s="175">
        <f t="shared" si="0"/>
        <v>9</v>
      </c>
      <c r="G52" s="175" t="str">
        <f t="shared" si="1"/>
        <v>Augusta</v>
      </c>
      <c r="H52" s="175" t="str">
        <f t="shared" si="2"/>
        <v>Augusta, ME</v>
      </c>
      <c r="I52" s="178" t="s">
        <v>1619</v>
      </c>
      <c r="J52" s="27" t="s">
        <v>1617</v>
      </c>
      <c r="K52" s="27">
        <v>268</v>
      </c>
      <c r="L52" s="179">
        <v>7378</v>
      </c>
      <c r="M52" s="180" t="s">
        <v>1620</v>
      </c>
      <c r="N52" s="181" t="s">
        <v>1617</v>
      </c>
      <c r="O52" s="182" t="s">
        <v>1621</v>
      </c>
      <c r="S52" s="27"/>
      <c r="T52" s="27"/>
    </row>
    <row r="53" spans="1:20" ht="12">
      <c r="A53" s="148"/>
      <c r="B53" s="174" t="s">
        <v>1627</v>
      </c>
      <c r="C53" s="175" t="s">
        <v>254</v>
      </c>
      <c r="D53" s="176" t="s">
        <v>255</v>
      </c>
      <c r="E53" s="177" t="s">
        <v>1628</v>
      </c>
      <c r="F53" s="175">
        <f t="shared" si="0"/>
        <v>8</v>
      </c>
      <c r="G53" s="175" t="str">
        <f t="shared" si="1"/>
        <v>Austin</v>
      </c>
      <c r="H53" s="175" t="str">
        <f t="shared" si="2"/>
        <v>Austin, TX</v>
      </c>
      <c r="I53" s="178" t="s">
        <v>1629</v>
      </c>
      <c r="J53" s="27" t="s">
        <v>255</v>
      </c>
      <c r="K53" s="27">
        <v>2996</v>
      </c>
      <c r="L53" s="179">
        <v>1644</v>
      </c>
      <c r="M53" s="180" t="s">
        <v>1630</v>
      </c>
      <c r="N53" s="181" t="s">
        <v>255</v>
      </c>
      <c r="O53" s="182" t="s">
        <v>1631</v>
      </c>
      <c r="S53" s="27"/>
      <c r="T53" s="27"/>
    </row>
    <row r="54" spans="1:20" ht="12">
      <c r="A54" s="148"/>
      <c r="B54" s="174" t="s">
        <v>1632</v>
      </c>
      <c r="C54" s="175" t="s">
        <v>254</v>
      </c>
      <c r="D54" s="176" t="s">
        <v>255</v>
      </c>
      <c r="E54" s="177" t="s">
        <v>1628</v>
      </c>
      <c r="F54" s="175">
        <f t="shared" si="0"/>
        <v>8</v>
      </c>
      <c r="G54" s="175" t="str">
        <f t="shared" si="1"/>
        <v>Austin</v>
      </c>
      <c r="H54" s="175" t="str">
        <f t="shared" si="2"/>
        <v>Austin, TX</v>
      </c>
      <c r="I54" s="178" t="s">
        <v>1633</v>
      </c>
      <c r="J54" s="27" t="s">
        <v>255</v>
      </c>
      <c r="K54" s="27">
        <v>3016</v>
      </c>
      <c r="L54" s="179">
        <v>1688</v>
      </c>
      <c r="M54" s="180" t="s">
        <v>1630</v>
      </c>
      <c r="N54" s="181" t="s">
        <v>255</v>
      </c>
      <c r="O54" s="182" t="s">
        <v>1631</v>
      </c>
      <c r="S54" s="27"/>
      <c r="T54" s="27"/>
    </row>
    <row r="55" spans="1:20" ht="12">
      <c r="A55" s="148"/>
      <c r="B55" s="174" t="s">
        <v>1634</v>
      </c>
      <c r="C55" s="175" t="s">
        <v>433</v>
      </c>
      <c r="D55" s="176" t="s">
        <v>434</v>
      </c>
      <c r="E55" s="177" t="s">
        <v>1635</v>
      </c>
      <c r="F55" s="175">
        <f t="shared" si="0"/>
        <v>13</v>
      </c>
      <c r="G55" s="175" t="str">
        <f t="shared" si="1"/>
        <v>Bakersfield</v>
      </c>
      <c r="H55" s="175" t="str">
        <f t="shared" si="2"/>
        <v>Bakersfield, CA</v>
      </c>
      <c r="I55" s="178" t="s">
        <v>1636</v>
      </c>
      <c r="J55" s="27" t="s">
        <v>434</v>
      </c>
      <c r="K55" s="27">
        <v>2365</v>
      </c>
      <c r="L55" s="179">
        <v>2182</v>
      </c>
      <c r="M55" s="178" t="s">
        <v>1637</v>
      </c>
      <c r="N55" s="27" t="s">
        <v>434</v>
      </c>
      <c r="O55" s="182" t="s">
        <v>1638</v>
      </c>
      <c r="S55" s="27"/>
      <c r="T55" s="27"/>
    </row>
    <row r="56" spans="1:20" ht="12">
      <c r="A56" s="148"/>
      <c r="B56" s="174" t="s">
        <v>1639</v>
      </c>
      <c r="C56" s="175" t="s">
        <v>433</v>
      </c>
      <c r="D56" s="176" t="s">
        <v>434</v>
      </c>
      <c r="E56" s="177" t="s">
        <v>1640</v>
      </c>
      <c r="F56" s="175">
        <f t="shared" si="0"/>
        <v>21</v>
      </c>
      <c r="G56" s="175" t="str">
        <f t="shared" si="1"/>
        <v>Bakersfield/Visalia</v>
      </c>
      <c r="H56" s="175" t="str">
        <f t="shared" si="2"/>
        <v>Bakersfield/Visalia, CA</v>
      </c>
      <c r="I56" s="178" t="s">
        <v>1641</v>
      </c>
      <c r="J56" s="27" t="s">
        <v>434</v>
      </c>
      <c r="K56" s="27">
        <v>1967</v>
      </c>
      <c r="L56" s="179">
        <v>2556</v>
      </c>
      <c r="M56" s="178" t="s">
        <v>1637</v>
      </c>
      <c r="N56" s="27" t="s">
        <v>434</v>
      </c>
      <c r="O56" s="182" t="s">
        <v>1638</v>
      </c>
      <c r="S56" s="27"/>
      <c r="T56" s="27"/>
    </row>
    <row r="57" spans="1:20" ht="12">
      <c r="A57" s="148"/>
      <c r="B57" s="174" t="s">
        <v>1642</v>
      </c>
      <c r="C57" s="175" t="s">
        <v>487</v>
      </c>
      <c r="D57" s="176" t="s">
        <v>430</v>
      </c>
      <c r="E57" s="177" t="s">
        <v>1643</v>
      </c>
      <c r="F57" s="175">
        <f t="shared" si="0"/>
        <v>11</v>
      </c>
      <c r="G57" s="175" t="str">
        <f t="shared" si="1"/>
        <v>Baltimore</v>
      </c>
      <c r="H57" s="175" t="str">
        <f t="shared" si="2"/>
        <v>Baltimore, MD</v>
      </c>
      <c r="I57" s="178" t="s">
        <v>489</v>
      </c>
      <c r="J57" s="27" t="s">
        <v>430</v>
      </c>
      <c r="K57" s="27">
        <v>1137</v>
      </c>
      <c r="L57" s="179">
        <v>4707</v>
      </c>
      <c r="M57" s="180" t="s">
        <v>490</v>
      </c>
      <c r="N57" s="181" t="s">
        <v>430</v>
      </c>
      <c r="O57" s="182" t="s">
        <v>491</v>
      </c>
    </row>
    <row r="58" spans="1:20" ht="12">
      <c r="A58" s="148"/>
      <c r="B58" s="174" t="s">
        <v>1644</v>
      </c>
      <c r="C58" s="175" t="s">
        <v>487</v>
      </c>
      <c r="D58" s="176" t="s">
        <v>430</v>
      </c>
      <c r="E58" s="177" t="s">
        <v>1643</v>
      </c>
      <c r="F58" s="175">
        <f t="shared" si="0"/>
        <v>11</v>
      </c>
      <c r="G58" s="175" t="str">
        <f t="shared" si="1"/>
        <v>Baltimore</v>
      </c>
      <c r="H58" s="175" t="str">
        <f t="shared" si="2"/>
        <v>Baltimore, MD</v>
      </c>
      <c r="I58" s="178" t="s">
        <v>489</v>
      </c>
      <c r="J58" s="27" t="s">
        <v>430</v>
      </c>
      <c r="K58" s="27">
        <v>1137</v>
      </c>
      <c r="L58" s="179">
        <v>4707</v>
      </c>
      <c r="M58" s="180" t="s">
        <v>490</v>
      </c>
      <c r="N58" s="181" t="s">
        <v>430</v>
      </c>
      <c r="O58" s="182" t="s">
        <v>491</v>
      </c>
      <c r="S58" s="27"/>
      <c r="T58" s="27"/>
    </row>
    <row r="59" spans="1:20" ht="12">
      <c r="A59" s="148"/>
      <c r="B59" s="174" t="s">
        <v>1645</v>
      </c>
      <c r="C59" s="175" t="s">
        <v>487</v>
      </c>
      <c r="D59" s="176" t="s">
        <v>430</v>
      </c>
      <c r="E59" s="177" t="s">
        <v>1643</v>
      </c>
      <c r="F59" s="175">
        <f t="shared" si="0"/>
        <v>11</v>
      </c>
      <c r="G59" s="175" t="str">
        <f t="shared" si="1"/>
        <v>Baltimore</v>
      </c>
      <c r="H59" s="175" t="str">
        <f t="shared" si="2"/>
        <v>Baltimore, MD</v>
      </c>
      <c r="I59" s="178" t="s">
        <v>489</v>
      </c>
      <c r="J59" s="27" t="s">
        <v>430</v>
      </c>
      <c r="K59" s="27">
        <v>1137</v>
      </c>
      <c r="L59" s="179">
        <v>4707</v>
      </c>
      <c r="M59" s="180" t="s">
        <v>490</v>
      </c>
      <c r="N59" s="181" t="s">
        <v>430</v>
      </c>
      <c r="O59" s="182" t="s">
        <v>491</v>
      </c>
    </row>
    <row r="60" spans="1:20" ht="12">
      <c r="A60" s="148"/>
      <c r="B60" s="174" t="s">
        <v>1646</v>
      </c>
      <c r="C60" s="175" t="s">
        <v>487</v>
      </c>
      <c r="D60" s="176" t="s">
        <v>430</v>
      </c>
      <c r="E60" s="177" t="s">
        <v>1643</v>
      </c>
      <c r="F60" s="175">
        <f t="shared" si="0"/>
        <v>11</v>
      </c>
      <c r="G60" s="175" t="str">
        <f t="shared" si="1"/>
        <v>Baltimore</v>
      </c>
      <c r="H60" s="175" t="str">
        <f t="shared" si="2"/>
        <v>Baltimore, MD</v>
      </c>
      <c r="I60" s="178" t="s">
        <v>489</v>
      </c>
      <c r="J60" s="27" t="s">
        <v>430</v>
      </c>
      <c r="K60" s="27">
        <v>1137</v>
      </c>
      <c r="L60" s="179">
        <v>4707</v>
      </c>
      <c r="M60" s="180" t="s">
        <v>490</v>
      </c>
      <c r="N60" s="181" t="s">
        <v>430</v>
      </c>
      <c r="O60" s="182" t="s">
        <v>491</v>
      </c>
    </row>
    <row r="61" spans="1:20" ht="12">
      <c r="A61" s="148"/>
      <c r="B61" s="186" t="s">
        <v>1647</v>
      </c>
      <c r="C61" s="175" t="s">
        <v>1616</v>
      </c>
      <c r="D61" s="176" t="s">
        <v>1617</v>
      </c>
      <c r="E61" s="177" t="s">
        <v>1648</v>
      </c>
      <c r="F61" s="175">
        <f t="shared" si="0"/>
        <v>8</v>
      </c>
      <c r="G61" s="175" t="str">
        <f t="shared" si="1"/>
        <v>Bangor</v>
      </c>
      <c r="H61" s="175" t="str">
        <f t="shared" si="2"/>
        <v>Bangor, ME</v>
      </c>
      <c r="I61" s="178" t="s">
        <v>1619</v>
      </c>
      <c r="J61" s="27" t="s">
        <v>1617</v>
      </c>
      <c r="K61" s="27">
        <v>268</v>
      </c>
      <c r="L61" s="179">
        <v>7378</v>
      </c>
      <c r="M61" s="180" t="s">
        <v>1620</v>
      </c>
      <c r="N61" s="181" t="s">
        <v>1617</v>
      </c>
      <c r="O61" s="182" t="s">
        <v>1621</v>
      </c>
    </row>
    <row r="62" spans="1:20" ht="12">
      <c r="A62" s="148"/>
      <c r="B62" s="174" t="s">
        <v>1649</v>
      </c>
      <c r="C62" s="175" t="s">
        <v>1650</v>
      </c>
      <c r="D62" s="176" t="s">
        <v>1651</v>
      </c>
      <c r="E62" s="177" t="s">
        <v>1652</v>
      </c>
      <c r="F62" s="175">
        <f t="shared" si="0"/>
        <v>12</v>
      </c>
      <c r="G62" s="175" t="str">
        <f t="shared" si="1"/>
        <v>Batesville</v>
      </c>
      <c r="H62" s="175" t="str">
        <f t="shared" si="2"/>
        <v>Batesville, AR</v>
      </c>
      <c r="I62" s="178" t="s">
        <v>1653</v>
      </c>
      <c r="J62" s="27" t="s">
        <v>1651</v>
      </c>
      <c r="K62" s="27">
        <v>1916</v>
      </c>
      <c r="L62" s="179">
        <v>3228</v>
      </c>
      <c r="M62" s="178" t="s">
        <v>1654</v>
      </c>
      <c r="N62" s="27" t="s">
        <v>1651</v>
      </c>
      <c r="O62" s="182" t="s">
        <v>1655</v>
      </c>
    </row>
    <row r="63" spans="1:20" ht="12">
      <c r="A63" s="148"/>
      <c r="B63" s="186" t="s">
        <v>1656</v>
      </c>
      <c r="C63" s="175" t="s">
        <v>1616</v>
      </c>
      <c r="D63" s="176" t="s">
        <v>1617</v>
      </c>
      <c r="E63" s="177" t="s">
        <v>1657</v>
      </c>
      <c r="F63" s="175">
        <f t="shared" si="0"/>
        <v>6</v>
      </c>
      <c r="G63" s="175" t="str">
        <f t="shared" si="1"/>
        <v>Bath</v>
      </c>
      <c r="H63" s="175" t="str">
        <f t="shared" si="2"/>
        <v>Bath, ME</v>
      </c>
      <c r="I63" s="178" t="s">
        <v>1619</v>
      </c>
      <c r="J63" s="27" t="s">
        <v>1617</v>
      </c>
      <c r="K63" s="27">
        <v>268</v>
      </c>
      <c r="L63" s="179">
        <v>7378</v>
      </c>
      <c r="M63" s="180" t="s">
        <v>1620</v>
      </c>
      <c r="N63" s="181" t="s">
        <v>1617</v>
      </c>
      <c r="O63" s="182" t="s">
        <v>1621</v>
      </c>
    </row>
    <row r="64" spans="1:20" ht="12">
      <c r="A64" s="148"/>
      <c r="B64" s="174" t="s">
        <v>1658</v>
      </c>
      <c r="C64" s="175" t="s">
        <v>281</v>
      </c>
      <c r="D64" s="176" t="s">
        <v>282</v>
      </c>
      <c r="E64" s="177" t="s">
        <v>1659</v>
      </c>
      <c r="F64" s="175">
        <f t="shared" si="0"/>
        <v>13</v>
      </c>
      <c r="G64" s="175" t="str">
        <f t="shared" si="1"/>
        <v>Baton Rouge</v>
      </c>
      <c r="H64" s="175" t="str">
        <f t="shared" si="2"/>
        <v>Baton Rouge, LA</v>
      </c>
      <c r="I64" s="178" t="s">
        <v>1660</v>
      </c>
      <c r="J64" s="27" t="s">
        <v>282</v>
      </c>
      <c r="K64" s="27">
        <v>2690</v>
      </c>
      <c r="L64" s="179">
        <v>1669</v>
      </c>
      <c r="M64" s="180" t="s">
        <v>1661</v>
      </c>
      <c r="N64" s="181" t="s">
        <v>282</v>
      </c>
      <c r="O64" s="182" t="s">
        <v>1662</v>
      </c>
    </row>
    <row r="65" spans="1:20" ht="12">
      <c r="A65" s="148"/>
      <c r="B65" s="174" t="s">
        <v>1663</v>
      </c>
      <c r="C65" s="175" t="s">
        <v>281</v>
      </c>
      <c r="D65" s="176" t="s">
        <v>282</v>
      </c>
      <c r="E65" s="177" t="s">
        <v>1659</v>
      </c>
      <c r="F65" s="175">
        <f t="shared" si="0"/>
        <v>13</v>
      </c>
      <c r="G65" s="175" t="str">
        <f t="shared" si="1"/>
        <v>Baton Rouge</v>
      </c>
      <c r="H65" s="175" t="str">
        <f t="shared" si="2"/>
        <v>Baton Rouge, LA</v>
      </c>
      <c r="I65" s="178" t="s">
        <v>1660</v>
      </c>
      <c r="J65" s="27" t="s">
        <v>282</v>
      </c>
      <c r="K65" s="27">
        <v>2690</v>
      </c>
      <c r="L65" s="179">
        <v>1669</v>
      </c>
      <c r="M65" s="180" t="s">
        <v>1661</v>
      </c>
      <c r="N65" s="181" t="s">
        <v>282</v>
      </c>
      <c r="O65" s="182" t="s">
        <v>1662</v>
      </c>
    </row>
    <row r="66" spans="1:20" ht="12">
      <c r="A66" s="148"/>
      <c r="B66" s="174" t="s">
        <v>1664</v>
      </c>
      <c r="C66" s="175" t="s">
        <v>516</v>
      </c>
      <c r="D66" s="176" t="s">
        <v>517</v>
      </c>
      <c r="E66" s="177" t="s">
        <v>1665</v>
      </c>
      <c r="F66" s="175">
        <f t="shared" si="0"/>
        <v>8</v>
      </c>
      <c r="G66" s="175" t="str">
        <f t="shared" si="1"/>
        <v>Baxter</v>
      </c>
      <c r="H66" s="175" t="str">
        <f t="shared" si="2"/>
        <v>Baxter, KY</v>
      </c>
      <c r="I66" s="178" t="s">
        <v>510</v>
      </c>
      <c r="J66" s="27" t="s">
        <v>476</v>
      </c>
      <c r="K66" s="27">
        <v>972</v>
      </c>
      <c r="L66" s="179">
        <v>4406</v>
      </c>
      <c r="M66" s="180" t="s">
        <v>477</v>
      </c>
      <c r="N66" s="181" t="s">
        <v>476</v>
      </c>
      <c r="O66" s="182" t="s">
        <v>478</v>
      </c>
    </row>
    <row r="67" spans="1:20" ht="12">
      <c r="A67" s="148"/>
      <c r="B67" s="174" t="s">
        <v>1666</v>
      </c>
      <c r="C67" s="175" t="s">
        <v>274</v>
      </c>
      <c r="D67" s="176" t="s">
        <v>275</v>
      </c>
      <c r="E67" s="177" t="s">
        <v>1667</v>
      </c>
      <c r="F67" s="175">
        <f t="shared" si="0"/>
        <v>10</v>
      </c>
      <c r="G67" s="175" t="str">
        <f t="shared" si="1"/>
        <v>Beaufort</v>
      </c>
      <c r="H67" s="175" t="str">
        <f t="shared" si="2"/>
        <v>Beaufort, SC</v>
      </c>
      <c r="I67" s="178" t="s">
        <v>1668</v>
      </c>
      <c r="J67" s="27" t="s">
        <v>401</v>
      </c>
      <c r="K67" s="27">
        <v>2365</v>
      </c>
      <c r="L67" s="179">
        <v>1847</v>
      </c>
      <c r="M67" s="180" t="s">
        <v>1669</v>
      </c>
      <c r="N67" s="181" t="s">
        <v>401</v>
      </c>
      <c r="O67" s="182" t="s">
        <v>1670</v>
      </c>
    </row>
    <row r="68" spans="1:20" ht="12">
      <c r="A68" s="148"/>
      <c r="B68" s="174" t="s">
        <v>1671</v>
      </c>
      <c r="C68" s="175" t="s">
        <v>254</v>
      </c>
      <c r="D68" s="176" t="s">
        <v>255</v>
      </c>
      <c r="E68" s="177" t="s">
        <v>1672</v>
      </c>
      <c r="F68" s="175">
        <f t="shared" si="0"/>
        <v>10</v>
      </c>
      <c r="G68" s="175" t="str">
        <f t="shared" si="1"/>
        <v>Beaumont</v>
      </c>
      <c r="H68" s="175" t="str">
        <f t="shared" si="2"/>
        <v>Beaumont, TX</v>
      </c>
      <c r="I68" s="178" t="s">
        <v>1673</v>
      </c>
      <c r="J68" s="27" t="s">
        <v>255</v>
      </c>
      <c r="K68" s="27">
        <v>2764</v>
      </c>
      <c r="L68" s="179">
        <v>1499</v>
      </c>
      <c r="M68" s="180" t="s">
        <v>1674</v>
      </c>
      <c r="N68" s="181" t="s">
        <v>255</v>
      </c>
      <c r="O68" s="182" t="s">
        <v>1675</v>
      </c>
    </row>
    <row r="69" spans="1:20" ht="12">
      <c r="A69" s="148"/>
      <c r="B69" s="174" t="s">
        <v>1676</v>
      </c>
      <c r="C69" s="175" t="s">
        <v>254</v>
      </c>
      <c r="D69" s="176" t="s">
        <v>255</v>
      </c>
      <c r="E69" s="177" t="s">
        <v>1672</v>
      </c>
      <c r="F69" s="175">
        <f t="shared" si="0"/>
        <v>10</v>
      </c>
      <c r="G69" s="175" t="str">
        <f t="shared" si="1"/>
        <v>Beaumont</v>
      </c>
      <c r="H69" s="175" t="str">
        <f t="shared" si="2"/>
        <v>Beaumont, TX</v>
      </c>
      <c r="I69" s="178" t="s">
        <v>1673</v>
      </c>
      <c r="J69" s="27" t="s">
        <v>255</v>
      </c>
      <c r="K69" s="27">
        <v>2764</v>
      </c>
      <c r="L69" s="179">
        <v>1499</v>
      </c>
      <c r="M69" s="180" t="s">
        <v>1674</v>
      </c>
      <c r="N69" s="181" t="s">
        <v>255</v>
      </c>
      <c r="O69" s="182" t="s">
        <v>1675</v>
      </c>
    </row>
    <row r="70" spans="1:20" ht="12">
      <c r="A70" s="148"/>
      <c r="B70" s="174" t="s">
        <v>1677</v>
      </c>
      <c r="C70" s="175" t="s">
        <v>1678</v>
      </c>
      <c r="D70" s="176" t="s">
        <v>1591</v>
      </c>
      <c r="E70" s="177" t="s">
        <v>1679</v>
      </c>
      <c r="F70" s="175">
        <f t="shared" ref="F70:F133" si="3">LEN(E70)</f>
        <v>9</v>
      </c>
      <c r="G70" s="175" t="str">
        <f t="shared" ref="G70:G133" si="4">MID(E70,2,F70-2)</f>
        <v>Beckley</v>
      </c>
      <c r="H70" s="175" t="str">
        <f t="shared" ref="H70:H133" si="5">CONCATENATE(G70,", ",+D70)</f>
        <v>Beckley, WV</v>
      </c>
      <c r="I70" s="178" t="s">
        <v>1680</v>
      </c>
      <c r="J70" s="27" t="s">
        <v>1591</v>
      </c>
      <c r="K70" s="27">
        <v>463</v>
      </c>
      <c r="L70" s="179">
        <v>5558</v>
      </c>
      <c r="M70" s="180" t="s">
        <v>1592</v>
      </c>
      <c r="N70" s="181" t="s">
        <v>1591</v>
      </c>
      <c r="O70" s="182" t="s">
        <v>1593</v>
      </c>
    </row>
    <row r="71" spans="1:20" ht="12">
      <c r="A71" s="148"/>
      <c r="B71" s="174" t="s">
        <v>1681</v>
      </c>
      <c r="C71" s="175" t="s">
        <v>1678</v>
      </c>
      <c r="D71" s="176" t="s">
        <v>1591</v>
      </c>
      <c r="E71" s="177" t="s">
        <v>1679</v>
      </c>
      <c r="F71" s="175">
        <f t="shared" si="3"/>
        <v>9</v>
      </c>
      <c r="G71" s="175" t="str">
        <f t="shared" si="4"/>
        <v>Beckley</v>
      </c>
      <c r="H71" s="175" t="str">
        <f t="shared" si="5"/>
        <v>Beckley, WV</v>
      </c>
      <c r="I71" s="178" t="s">
        <v>1680</v>
      </c>
      <c r="J71" s="27" t="s">
        <v>1591</v>
      </c>
      <c r="K71" s="27">
        <v>463</v>
      </c>
      <c r="L71" s="179">
        <v>5558</v>
      </c>
      <c r="M71" s="180" t="s">
        <v>1592</v>
      </c>
      <c r="N71" s="181" t="s">
        <v>1591</v>
      </c>
      <c r="O71" s="182" t="s">
        <v>1593</v>
      </c>
    </row>
    <row r="72" spans="1:20" ht="12">
      <c r="A72" s="148"/>
      <c r="B72" s="186" t="s">
        <v>1682</v>
      </c>
      <c r="C72" s="175" t="s">
        <v>1683</v>
      </c>
      <c r="D72" s="176" t="s">
        <v>1684</v>
      </c>
      <c r="E72" s="177" t="s">
        <v>1685</v>
      </c>
      <c r="F72" s="175">
        <f t="shared" si="3"/>
        <v>15</v>
      </c>
      <c r="G72" s="175" t="str">
        <f t="shared" si="4"/>
        <v>Bellows Falls</v>
      </c>
      <c r="H72" s="175" t="str">
        <f t="shared" si="5"/>
        <v>Bellows Falls, VT</v>
      </c>
      <c r="I72" s="178" t="s">
        <v>265</v>
      </c>
      <c r="J72" s="27" t="s">
        <v>263</v>
      </c>
      <c r="K72" s="27">
        <v>328</v>
      </c>
      <c r="L72" s="179">
        <v>7554</v>
      </c>
      <c r="M72" s="180" t="s">
        <v>266</v>
      </c>
      <c r="N72" s="181" t="s">
        <v>263</v>
      </c>
      <c r="O72" s="182" t="s">
        <v>267</v>
      </c>
    </row>
    <row r="73" spans="1:20" ht="12">
      <c r="A73" s="148"/>
      <c r="B73" s="174" t="s">
        <v>1686</v>
      </c>
      <c r="C73" s="175" t="s">
        <v>1687</v>
      </c>
      <c r="D73" s="176" t="s">
        <v>1688</v>
      </c>
      <c r="E73" s="177" t="s">
        <v>1689</v>
      </c>
      <c r="F73" s="175">
        <f t="shared" si="3"/>
        <v>9</v>
      </c>
      <c r="G73" s="175" t="str">
        <f t="shared" si="4"/>
        <v>Bemidji</v>
      </c>
      <c r="H73" s="175" t="str">
        <f t="shared" si="5"/>
        <v>Bemidji, MN</v>
      </c>
      <c r="I73" s="178" t="s">
        <v>1690</v>
      </c>
      <c r="J73" s="27" t="s">
        <v>1688</v>
      </c>
      <c r="K73" s="27">
        <v>249</v>
      </c>
      <c r="L73" s="179">
        <v>10487</v>
      </c>
      <c r="M73" s="180" t="s">
        <v>1691</v>
      </c>
      <c r="N73" s="181" t="s">
        <v>1688</v>
      </c>
      <c r="O73" s="182" t="s">
        <v>1692</v>
      </c>
    </row>
    <row r="74" spans="1:20" ht="12">
      <c r="A74" s="148"/>
      <c r="B74" s="174" t="s">
        <v>1693</v>
      </c>
      <c r="C74" s="175" t="s">
        <v>1694</v>
      </c>
      <c r="D74" s="176" t="s">
        <v>1695</v>
      </c>
      <c r="E74" s="177" t="s">
        <v>1696</v>
      </c>
      <c r="F74" s="175">
        <f t="shared" si="3"/>
        <v>6</v>
      </c>
      <c r="G74" s="175" t="str">
        <f t="shared" si="4"/>
        <v>Bend</v>
      </c>
      <c r="H74" s="175" t="str">
        <f t="shared" si="5"/>
        <v>Bend, OR</v>
      </c>
      <c r="I74" s="178" t="s">
        <v>1697</v>
      </c>
      <c r="J74" s="27" t="s">
        <v>1695</v>
      </c>
      <c r="K74" s="27">
        <v>202</v>
      </c>
      <c r="L74" s="179">
        <v>7785</v>
      </c>
      <c r="M74" s="180" t="s">
        <v>1698</v>
      </c>
      <c r="N74" s="181" t="s">
        <v>1699</v>
      </c>
      <c r="O74" s="182" t="s">
        <v>1700</v>
      </c>
      <c r="S74" s="27"/>
      <c r="T74" s="27"/>
    </row>
    <row r="75" spans="1:20" ht="12">
      <c r="A75" s="148"/>
      <c r="B75" s="186" t="s">
        <v>1701</v>
      </c>
      <c r="C75" s="175" t="s">
        <v>1683</v>
      </c>
      <c r="D75" s="176" t="s">
        <v>1684</v>
      </c>
      <c r="E75" s="177" t="s">
        <v>1702</v>
      </c>
      <c r="F75" s="175">
        <f t="shared" si="3"/>
        <v>12</v>
      </c>
      <c r="G75" s="175" t="str">
        <f t="shared" si="4"/>
        <v>Bennington</v>
      </c>
      <c r="H75" s="175" t="str">
        <f t="shared" si="5"/>
        <v>Bennington, VT</v>
      </c>
      <c r="I75" s="178" t="s">
        <v>409</v>
      </c>
      <c r="J75" s="27" t="s">
        <v>408</v>
      </c>
      <c r="K75" s="27">
        <v>507</v>
      </c>
      <c r="L75" s="179">
        <v>6894</v>
      </c>
      <c r="M75" s="180" t="s">
        <v>410</v>
      </c>
      <c r="N75" s="181" t="s">
        <v>408</v>
      </c>
      <c r="O75" s="182" t="s">
        <v>411</v>
      </c>
    </row>
    <row r="76" spans="1:20" ht="12">
      <c r="A76" s="148"/>
      <c r="B76" s="174" t="s">
        <v>1479</v>
      </c>
      <c r="C76" s="175" t="s">
        <v>433</v>
      </c>
      <c r="D76" s="176" t="s">
        <v>434</v>
      </c>
      <c r="E76" s="177" t="s">
        <v>1480</v>
      </c>
      <c r="F76" s="175">
        <f t="shared" si="3"/>
        <v>10</v>
      </c>
      <c r="G76" s="175" t="str">
        <f t="shared" si="4"/>
        <v>Berkeley</v>
      </c>
      <c r="H76" s="175" t="str">
        <f t="shared" si="5"/>
        <v>Berkeley, CA</v>
      </c>
      <c r="I76" s="178" t="s">
        <v>1481</v>
      </c>
      <c r="J76" s="27" t="s">
        <v>434</v>
      </c>
      <c r="K76" s="27">
        <v>145</v>
      </c>
      <c r="L76" s="179">
        <v>3016</v>
      </c>
      <c r="M76" s="178" t="s">
        <v>1482</v>
      </c>
      <c r="N76" s="27" t="s">
        <v>434</v>
      </c>
      <c r="O76" s="182" t="s">
        <v>1483</v>
      </c>
    </row>
    <row r="77" spans="1:20" ht="12">
      <c r="A77" s="148"/>
      <c r="B77" s="174" t="s">
        <v>1484</v>
      </c>
      <c r="C77" s="175" t="s">
        <v>415</v>
      </c>
      <c r="D77" s="176" t="s">
        <v>416</v>
      </c>
      <c r="E77" s="177" t="s">
        <v>1485</v>
      </c>
      <c r="F77" s="175">
        <f t="shared" si="3"/>
        <v>12</v>
      </c>
      <c r="G77" s="175" t="str">
        <f t="shared" si="4"/>
        <v>Bernalillo</v>
      </c>
      <c r="H77" s="175" t="str">
        <f t="shared" si="5"/>
        <v>Bernalillo, NM</v>
      </c>
      <c r="I77" s="178" t="s">
        <v>418</v>
      </c>
      <c r="J77" s="27" t="s">
        <v>416</v>
      </c>
      <c r="K77" s="27">
        <v>1244</v>
      </c>
      <c r="L77" s="179">
        <v>4425</v>
      </c>
      <c r="M77" s="180" t="s">
        <v>419</v>
      </c>
      <c r="N77" s="181" t="s">
        <v>416</v>
      </c>
      <c r="O77" s="182" t="s">
        <v>420</v>
      </c>
    </row>
    <row r="78" spans="1:20" ht="12">
      <c r="A78" s="148"/>
      <c r="B78" s="174" t="s">
        <v>1486</v>
      </c>
      <c r="C78" s="175" t="s">
        <v>1487</v>
      </c>
      <c r="D78" s="176" t="s">
        <v>1488</v>
      </c>
      <c r="E78" s="177" t="s">
        <v>1489</v>
      </c>
      <c r="F78" s="175">
        <f t="shared" si="3"/>
        <v>10</v>
      </c>
      <c r="G78" s="175" t="str">
        <f t="shared" si="4"/>
        <v>Billings</v>
      </c>
      <c r="H78" s="175" t="str">
        <f t="shared" si="5"/>
        <v>Billings, MT</v>
      </c>
      <c r="I78" s="178" t="s">
        <v>1490</v>
      </c>
      <c r="J78" s="27" t="s">
        <v>1488</v>
      </c>
      <c r="K78" s="27">
        <v>652</v>
      </c>
      <c r="L78" s="179">
        <v>7164</v>
      </c>
      <c r="M78" s="180" t="s">
        <v>1491</v>
      </c>
      <c r="N78" s="181" t="s">
        <v>1488</v>
      </c>
      <c r="O78" s="182" t="s">
        <v>1492</v>
      </c>
    </row>
    <row r="79" spans="1:20" ht="12">
      <c r="A79" s="148"/>
      <c r="B79" s="174" t="s">
        <v>1493</v>
      </c>
      <c r="C79" s="175" t="s">
        <v>1487</v>
      </c>
      <c r="D79" s="176" t="s">
        <v>1488</v>
      </c>
      <c r="E79" s="177" t="s">
        <v>1489</v>
      </c>
      <c r="F79" s="175">
        <f t="shared" si="3"/>
        <v>10</v>
      </c>
      <c r="G79" s="175" t="str">
        <f t="shared" si="4"/>
        <v>Billings</v>
      </c>
      <c r="H79" s="175" t="str">
        <f t="shared" si="5"/>
        <v>Billings, MT</v>
      </c>
      <c r="I79" s="178" t="s">
        <v>1490</v>
      </c>
      <c r="J79" s="27" t="s">
        <v>1488</v>
      </c>
      <c r="K79" s="27">
        <v>652</v>
      </c>
      <c r="L79" s="179">
        <v>7164</v>
      </c>
      <c r="M79" s="180" t="s">
        <v>1491</v>
      </c>
      <c r="N79" s="181" t="s">
        <v>1488</v>
      </c>
      <c r="O79" s="182" t="s">
        <v>1492</v>
      </c>
    </row>
    <row r="80" spans="1:20" ht="12">
      <c r="A80" s="148"/>
      <c r="B80" s="174" t="s">
        <v>1494</v>
      </c>
      <c r="C80" s="175" t="s">
        <v>407</v>
      </c>
      <c r="D80" s="176" t="s">
        <v>408</v>
      </c>
      <c r="E80" s="177" t="s">
        <v>1495</v>
      </c>
      <c r="F80" s="175">
        <f t="shared" si="3"/>
        <v>12</v>
      </c>
      <c r="G80" s="175" t="str">
        <f t="shared" si="4"/>
        <v>Binghamton</v>
      </c>
      <c r="H80" s="175" t="str">
        <f t="shared" si="5"/>
        <v>Binghamton, NY</v>
      </c>
      <c r="I80" s="178" t="s">
        <v>409</v>
      </c>
      <c r="J80" s="27" t="s">
        <v>408</v>
      </c>
      <c r="K80" s="27">
        <v>507</v>
      </c>
      <c r="L80" s="179">
        <v>6894</v>
      </c>
      <c r="M80" s="180" t="s">
        <v>410</v>
      </c>
      <c r="N80" s="181" t="s">
        <v>408</v>
      </c>
      <c r="O80" s="182" t="s">
        <v>411</v>
      </c>
      <c r="S80" s="27"/>
      <c r="T80" s="27"/>
    </row>
    <row r="81" spans="1:20" ht="12">
      <c r="A81" s="148"/>
      <c r="B81" s="174" t="s">
        <v>1496</v>
      </c>
      <c r="C81" s="175" t="s">
        <v>407</v>
      </c>
      <c r="D81" s="176" t="s">
        <v>408</v>
      </c>
      <c r="E81" s="177" t="s">
        <v>1495</v>
      </c>
      <c r="F81" s="175">
        <f t="shared" si="3"/>
        <v>12</v>
      </c>
      <c r="G81" s="175" t="str">
        <f t="shared" si="4"/>
        <v>Binghamton</v>
      </c>
      <c r="H81" s="175" t="str">
        <f t="shared" si="5"/>
        <v>Binghamton, NY</v>
      </c>
      <c r="I81" s="178" t="s">
        <v>409</v>
      </c>
      <c r="J81" s="27" t="s">
        <v>408</v>
      </c>
      <c r="K81" s="27">
        <v>507</v>
      </c>
      <c r="L81" s="179">
        <v>6894</v>
      </c>
      <c r="M81" s="180" t="s">
        <v>410</v>
      </c>
      <c r="N81" s="181" t="s">
        <v>408</v>
      </c>
      <c r="O81" s="182" t="s">
        <v>411</v>
      </c>
    </row>
    <row r="82" spans="1:20" ht="12">
      <c r="A82" s="148"/>
      <c r="B82" s="174" t="s">
        <v>1497</v>
      </c>
      <c r="C82" s="175" t="s">
        <v>407</v>
      </c>
      <c r="D82" s="176" t="s">
        <v>408</v>
      </c>
      <c r="E82" s="177" t="s">
        <v>1495</v>
      </c>
      <c r="F82" s="175">
        <f t="shared" si="3"/>
        <v>12</v>
      </c>
      <c r="G82" s="175" t="str">
        <f t="shared" si="4"/>
        <v>Binghamton</v>
      </c>
      <c r="H82" s="175" t="str">
        <f t="shared" si="5"/>
        <v>Binghamton, NY</v>
      </c>
      <c r="I82" s="178" t="s">
        <v>1498</v>
      </c>
      <c r="J82" s="27" t="s">
        <v>408</v>
      </c>
      <c r="K82" s="27">
        <v>337</v>
      </c>
      <c r="L82" s="179">
        <v>7273</v>
      </c>
      <c r="M82" s="180" t="s">
        <v>1499</v>
      </c>
      <c r="N82" s="181" t="s">
        <v>441</v>
      </c>
      <c r="O82" s="182" t="s">
        <v>1500</v>
      </c>
    </row>
    <row r="83" spans="1:20" ht="12">
      <c r="A83" s="148"/>
      <c r="B83" s="174" t="s">
        <v>1501</v>
      </c>
      <c r="C83" s="175" t="s">
        <v>493</v>
      </c>
      <c r="D83" s="176" t="s">
        <v>494</v>
      </c>
      <c r="E83" s="177" t="s">
        <v>1502</v>
      </c>
      <c r="F83" s="175">
        <f t="shared" si="3"/>
        <v>12</v>
      </c>
      <c r="G83" s="175" t="str">
        <f t="shared" si="4"/>
        <v>Birmingham</v>
      </c>
      <c r="H83" s="175" t="str">
        <f t="shared" si="5"/>
        <v>Birmingham, AL</v>
      </c>
      <c r="I83" s="178" t="s">
        <v>496</v>
      </c>
      <c r="J83" s="27" t="s">
        <v>494</v>
      </c>
      <c r="K83" s="27">
        <v>1797</v>
      </c>
      <c r="L83" s="179">
        <v>2918</v>
      </c>
      <c r="M83" s="180" t="s">
        <v>497</v>
      </c>
      <c r="N83" s="181" t="s">
        <v>494</v>
      </c>
      <c r="O83" s="182" t="s">
        <v>498</v>
      </c>
    </row>
    <row r="84" spans="1:20" ht="12">
      <c r="A84" s="148"/>
      <c r="B84" s="174" t="s">
        <v>1503</v>
      </c>
      <c r="C84" s="175" t="s">
        <v>493</v>
      </c>
      <c r="D84" s="176" t="s">
        <v>494</v>
      </c>
      <c r="E84" s="177" t="s">
        <v>1502</v>
      </c>
      <c r="F84" s="175">
        <f t="shared" si="3"/>
        <v>12</v>
      </c>
      <c r="G84" s="175" t="str">
        <f t="shared" si="4"/>
        <v>Birmingham</v>
      </c>
      <c r="H84" s="175" t="str">
        <f t="shared" si="5"/>
        <v>Birmingham, AL</v>
      </c>
      <c r="I84" s="178" t="s">
        <v>496</v>
      </c>
      <c r="J84" s="27" t="s">
        <v>494</v>
      </c>
      <c r="K84" s="27">
        <v>1797</v>
      </c>
      <c r="L84" s="179">
        <v>2918</v>
      </c>
      <c r="M84" s="180" t="s">
        <v>497</v>
      </c>
      <c r="N84" s="181" t="s">
        <v>494</v>
      </c>
      <c r="O84" s="182" t="s">
        <v>498</v>
      </c>
    </row>
    <row r="85" spans="1:20" ht="12">
      <c r="A85" s="148"/>
      <c r="B85" s="174" t="s">
        <v>1504</v>
      </c>
      <c r="C85" s="175" t="s">
        <v>493</v>
      </c>
      <c r="D85" s="176" t="s">
        <v>494</v>
      </c>
      <c r="E85" s="177" t="s">
        <v>1502</v>
      </c>
      <c r="F85" s="175">
        <f t="shared" si="3"/>
        <v>12</v>
      </c>
      <c r="G85" s="175" t="str">
        <f t="shared" si="4"/>
        <v>Birmingham</v>
      </c>
      <c r="H85" s="175" t="str">
        <f t="shared" si="5"/>
        <v>Birmingham, AL</v>
      </c>
      <c r="I85" s="178" t="s">
        <v>496</v>
      </c>
      <c r="J85" s="27" t="s">
        <v>494</v>
      </c>
      <c r="K85" s="27">
        <v>1797</v>
      </c>
      <c r="L85" s="179">
        <v>2918</v>
      </c>
      <c r="M85" s="180" t="s">
        <v>497</v>
      </c>
      <c r="N85" s="181" t="s">
        <v>494</v>
      </c>
      <c r="O85" s="182" t="s">
        <v>498</v>
      </c>
      <c r="S85" s="27"/>
      <c r="T85" s="27"/>
    </row>
    <row r="86" spans="1:20" ht="12">
      <c r="A86" s="148"/>
      <c r="B86" s="174" t="s">
        <v>1505</v>
      </c>
      <c r="C86" s="175" t="s">
        <v>1506</v>
      </c>
      <c r="D86" s="176" t="s">
        <v>251</v>
      </c>
      <c r="E86" s="177" t="s">
        <v>1507</v>
      </c>
      <c r="F86" s="175">
        <f t="shared" si="3"/>
        <v>10</v>
      </c>
      <c r="G86" s="175" t="str">
        <f t="shared" si="4"/>
        <v>Bismarck</v>
      </c>
      <c r="H86" s="175" t="str">
        <f t="shared" si="5"/>
        <v>Bismarck, ND</v>
      </c>
      <c r="I86" s="178" t="s">
        <v>1704</v>
      </c>
      <c r="J86" s="27" t="s">
        <v>251</v>
      </c>
      <c r="K86" s="27">
        <v>488</v>
      </c>
      <c r="L86" s="179">
        <v>8968</v>
      </c>
      <c r="M86" s="180" t="s">
        <v>1705</v>
      </c>
      <c r="N86" s="181" t="s">
        <v>251</v>
      </c>
      <c r="O86" s="182" t="s">
        <v>1706</v>
      </c>
    </row>
    <row r="87" spans="1:20" ht="12">
      <c r="A87" s="148"/>
      <c r="B87" s="174" t="s">
        <v>1707</v>
      </c>
      <c r="C87" s="175" t="s">
        <v>1708</v>
      </c>
      <c r="D87" s="176" t="s">
        <v>1709</v>
      </c>
      <c r="E87" s="177" t="s">
        <v>1710</v>
      </c>
      <c r="F87" s="175">
        <f t="shared" si="3"/>
        <v>13</v>
      </c>
      <c r="G87" s="175" t="str">
        <f t="shared" si="4"/>
        <v>Bloomington</v>
      </c>
      <c r="H87" s="175" t="str">
        <f t="shared" si="5"/>
        <v>Bloomington, IL</v>
      </c>
      <c r="I87" s="178" t="s">
        <v>1711</v>
      </c>
      <c r="J87" s="27" t="s">
        <v>1709</v>
      </c>
      <c r="K87" s="27">
        <v>1141</v>
      </c>
      <c r="L87" s="179">
        <v>5688</v>
      </c>
      <c r="M87" s="178" t="s">
        <v>1712</v>
      </c>
      <c r="N87" s="27" t="s">
        <v>1709</v>
      </c>
      <c r="O87" s="182" t="s">
        <v>2361</v>
      </c>
    </row>
    <row r="88" spans="1:20" ht="12">
      <c r="A88" s="148"/>
      <c r="B88" s="174" t="s">
        <v>2362</v>
      </c>
      <c r="C88" s="175" t="s">
        <v>2363</v>
      </c>
      <c r="D88" s="176" t="s">
        <v>2364</v>
      </c>
      <c r="E88" s="177" t="s">
        <v>1710</v>
      </c>
      <c r="F88" s="175">
        <f t="shared" si="3"/>
        <v>13</v>
      </c>
      <c r="G88" s="175" t="str">
        <f t="shared" si="4"/>
        <v>Bloomington</v>
      </c>
      <c r="H88" s="175" t="str">
        <f t="shared" si="5"/>
        <v>Bloomington, IN</v>
      </c>
      <c r="I88" s="178" t="s">
        <v>2365</v>
      </c>
      <c r="J88" s="27" t="s">
        <v>2364</v>
      </c>
      <c r="K88" s="27">
        <v>1014</v>
      </c>
      <c r="L88" s="179">
        <v>5615</v>
      </c>
      <c r="M88" s="178" t="s">
        <v>2366</v>
      </c>
      <c r="N88" s="27" t="s">
        <v>2364</v>
      </c>
      <c r="O88" s="182" t="s">
        <v>2367</v>
      </c>
    </row>
    <row r="89" spans="1:20" ht="12">
      <c r="A89" s="148"/>
      <c r="B89" s="174" t="s">
        <v>2368</v>
      </c>
      <c r="C89" s="175" t="s">
        <v>1678</v>
      </c>
      <c r="D89" s="176" t="s">
        <v>1591</v>
      </c>
      <c r="E89" s="177" t="s">
        <v>2369</v>
      </c>
      <c r="F89" s="175">
        <f t="shared" si="3"/>
        <v>11</v>
      </c>
      <c r="G89" s="175" t="str">
        <f t="shared" si="4"/>
        <v>Bluefield</v>
      </c>
      <c r="H89" s="175" t="str">
        <f t="shared" si="5"/>
        <v>Bluefield, WV</v>
      </c>
      <c r="I89" s="178" t="s">
        <v>2370</v>
      </c>
      <c r="J89" s="27" t="s">
        <v>426</v>
      </c>
      <c r="K89" s="27">
        <v>1052</v>
      </c>
      <c r="L89" s="179">
        <v>4360</v>
      </c>
      <c r="M89" s="180" t="s">
        <v>2371</v>
      </c>
      <c r="N89" s="181" t="s">
        <v>426</v>
      </c>
      <c r="O89" s="182" t="s">
        <v>2372</v>
      </c>
    </row>
    <row r="90" spans="1:20" ht="12">
      <c r="A90" s="148"/>
      <c r="B90" s="174" t="s">
        <v>2373</v>
      </c>
      <c r="C90" s="175" t="s">
        <v>2374</v>
      </c>
      <c r="D90" s="176" t="s">
        <v>2375</v>
      </c>
      <c r="E90" s="177" t="s">
        <v>2376</v>
      </c>
      <c r="F90" s="175">
        <f t="shared" si="3"/>
        <v>7</v>
      </c>
      <c r="G90" s="175" t="str">
        <f t="shared" si="4"/>
        <v>Boise</v>
      </c>
      <c r="H90" s="175" t="str">
        <f t="shared" si="5"/>
        <v>Boise, ID</v>
      </c>
      <c r="I90" s="178" t="s">
        <v>2377</v>
      </c>
      <c r="J90" s="27" t="s">
        <v>2375</v>
      </c>
      <c r="K90" s="27">
        <v>754</v>
      </c>
      <c r="L90" s="179">
        <v>5861</v>
      </c>
      <c r="M90" s="180" t="s">
        <v>2378</v>
      </c>
      <c r="N90" s="181" t="s">
        <v>2375</v>
      </c>
      <c r="O90" s="182" t="s">
        <v>2379</v>
      </c>
    </row>
    <row r="91" spans="1:20" ht="12">
      <c r="A91" s="148"/>
      <c r="B91" s="174" t="s">
        <v>2380</v>
      </c>
      <c r="C91" s="175" t="s">
        <v>2374</v>
      </c>
      <c r="D91" s="176" t="s">
        <v>2375</v>
      </c>
      <c r="E91" s="177" t="s">
        <v>2376</v>
      </c>
      <c r="F91" s="175">
        <f t="shared" si="3"/>
        <v>7</v>
      </c>
      <c r="G91" s="175" t="str">
        <f t="shared" si="4"/>
        <v>Boise</v>
      </c>
      <c r="H91" s="175" t="str">
        <f t="shared" si="5"/>
        <v>Boise, ID</v>
      </c>
      <c r="I91" s="178" t="s">
        <v>2377</v>
      </c>
      <c r="J91" s="27" t="s">
        <v>2375</v>
      </c>
      <c r="K91" s="27">
        <v>754</v>
      </c>
      <c r="L91" s="179">
        <v>5861</v>
      </c>
      <c r="M91" s="180" t="s">
        <v>2378</v>
      </c>
      <c r="N91" s="181" t="s">
        <v>2375</v>
      </c>
      <c r="O91" s="182" t="s">
        <v>2379</v>
      </c>
    </row>
    <row r="92" spans="1:20" ht="12">
      <c r="A92" s="148"/>
      <c r="B92" s="186" t="s">
        <v>2381</v>
      </c>
      <c r="C92" s="175" t="s">
        <v>2382</v>
      </c>
      <c r="D92" s="176" t="s">
        <v>2383</v>
      </c>
      <c r="E92" s="177" t="s">
        <v>2384</v>
      </c>
      <c r="F92" s="175">
        <f t="shared" si="3"/>
        <v>8</v>
      </c>
      <c r="G92" s="175" t="str">
        <f t="shared" si="4"/>
        <v>Boston</v>
      </c>
      <c r="H92" s="175" t="str">
        <f t="shared" si="5"/>
        <v>Boston, MA</v>
      </c>
      <c r="I92" s="178" t="s">
        <v>603</v>
      </c>
      <c r="J92" s="27" t="s">
        <v>2383</v>
      </c>
      <c r="K92" s="27">
        <v>333</v>
      </c>
      <c r="L92" s="179">
        <v>6979</v>
      </c>
      <c r="M92" s="180" t="s">
        <v>604</v>
      </c>
      <c r="N92" s="181" t="s">
        <v>2383</v>
      </c>
      <c r="O92" s="182" t="s">
        <v>605</v>
      </c>
    </row>
    <row r="93" spans="1:20" ht="12">
      <c r="A93" s="148"/>
      <c r="B93" s="186" t="s">
        <v>606</v>
      </c>
      <c r="C93" s="175" t="s">
        <v>2382</v>
      </c>
      <c r="D93" s="176" t="s">
        <v>2383</v>
      </c>
      <c r="E93" s="177" t="s">
        <v>2384</v>
      </c>
      <c r="F93" s="175">
        <f t="shared" si="3"/>
        <v>8</v>
      </c>
      <c r="G93" s="175" t="str">
        <f t="shared" si="4"/>
        <v>Boston</v>
      </c>
      <c r="H93" s="175" t="str">
        <f t="shared" si="5"/>
        <v>Boston, MA</v>
      </c>
      <c r="I93" s="178" t="s">
        <v>607</v>
      </c>
      <c r="J93" s="27" t="s">
        <v>2383</v>
      </c>
      <c r="K93" s="27">
        <v>678</v>
      </c>
      <c r="L93" s="179">
        <v>5641</v>
      </c>
      <c r="M93" s="180" t="s">
        <v>604</v>
      </c>
      <c r="N93" s="181" t="s">
        <v>2383</v>
      </c>
      <c r="O93" s="182" t="s">
        <v>605</v>
      </c>
    </row>
    <row r="94" spans="1:20" ht="12">
      <c r="A94" s="148"/>
      <c r="B94" s="186" t="s">
        <v>608</v>
      </c>
      <c r="C94" s="175" t="s">
        <v>2382</v>
      </c>
      <c r="D94" s="176" t="s">
        <v>2383</v>
      </c>
      <c r="E94" s="177" t="s">
        <v>2384</v>
      </c>
      <c r="F94" s="175">
        <f t="shared" si="3"/>
        <v>8</v>
      </c>
      <c r="G94" s="175" t="str">
        <f t="shared" si="4"/>
        <v>Boston</v>
      </c>
      <c r="H94" s="175" t="str">
        <f t="shared" si="5"/>
        <v>Boston, MA</v>
      </c>
      <c r="I94" s="178" t="s">
        <v>607</v>
      </c>
      <c r="J94" s="27" t="s">
        <v>2383</v>
      </c>
      <c r="K94" s="27">
        <v>678</v>
      </c>
      <c r="L94" s="179">
        <v>5641</v>
      </c>
      <c r="M94" s="180" t="s">
        <v>604</v>
      </c>
      <c r="N94" s="181" t="s">
        <v>2383</v>
      </c>
      <c r="O94" s="182" t="s">
        <v>605</v>
      </c>
    </row>
    <row r="95" spans="1:20" ht="12">
      <c r="A95" s="148"/>
      <c r="B95" s="174" t="s">
        <v>609</v>
      </c>
      <c r="C95" s="175" t="s">
        <v>393</v>
      </c>
      <c r="D95" s="176" t="s">
        <v>394</v>
      </c>
      <c r="E95" s="177" t="s">
        <v>610</v>
      </c>
      <c r="F95" s="175">
        <f t="shared" si="3"/>
        <v>9</v>
      </c>
      <c r="G95" s="175" t="str">
        <f t="shared" si="4"/>
        <v>Boulder</v>
      </c>
      <c r="H95" s="175" t="str">
        <f t="shared" si="5"/>
        <v>Boulder, CO</v>
      </c>
      <c r="I95" s="178" t="s">
        <v>611</v>
      </c>
      <c r="J95" s="27" t="s">
        <v>394</v>
      </c>
      <c r="K95" s="27">
        <v>679</v>
      </c>
      <c r="L95" s="179">
        <v>6020</v>
      </c>
      <c r="M95" s="180" t="s">
        <v>612</v>
      </c>
      <c r="N95" s="181" t="s">
        <v>394</v>
      </c>
      <c r="O95" s="182" t="s">
        <v>613</v>
      </c>
    </row>
    <row r="96" spans="1:20" ht="12">
      <c r="A96" s="148"/>
      <c r="B96" s="174" t="s">
        <v>614</v>
      </c>
      <c r="C96" s="175" t="s">
        <v>516</v>
      </c>
      <c r="D96" s="176" t="s">
        <v>517</v>
      </c>
      <c r="E96" s="177" t="s">
        <v>615</v>
      </c>
      <c r="F96" s="175">
        <f t="shared" si="3"/>
        <v>15</v>
      </c>
      <c r="G96" s="175" t="str">
        <f t="shared" si="4"/>
        <v>Bowling Green</v>
      </c>
      <c r="H96" s="175" t="str">
        <f t="shared" si="5"/>
        <v>Bowling Green, KY</v>
      </c>
      <c r="I96" s="178" t="s">
        <v>616</v>
      </c>
      <c r="J96" s="27" t="s">
        <v>517</v>
      </c>
      <c r="K96" s="27">
        <v>1288</v>
      </c>
      <c r="L96" s="179">
        <v>4514</v>
      </c>
      <c r="M96" s="180" t="s">
        <v>617</v>
      </c>
      <c r="N96" s="181" t="s">
        <v>517</v>
      </c>
      <c r="O96" s="182" t="s">
        <v>618</v>
      </c>
    </row>
    <row r="97" spans="1:20" ht="12">
      <c r="A97" s="148"/>
      <c r="B97" s="174" t="s">
        <v>619</v>
      </c>
      <c r="C97" s="175" t="s">
        <v>385</v>
      </c>
      <c r="D97" s="176" t="s">
        <v>386</v>
      </c>
      <c r="E97" s="177" t="s">
        <v>615</v>
      </c>
      <c r="F97" s="175">
        <f t="shared" si="3"/>
        <v>15</v>
      </c>
      <c r="G97" s="175" t="str">
        <f t="shared" si="4"/>
        <v>Bowling Green</v>
      </c>
      <c r="H97" s="175" t="str">
        <f t="shared" si="5"/>
        <v>Bowling Green, OH</v>
      </c>
      <c r="I97" s="178" t="s">
        <v>620</v>
      </c>
      <c r="J97" s="27" t="s">
        <v>386</v>
      </c>
      <c r="K97" s="27">
        <v>610</v>
      </c>
      <c r="L97" s="179">
        <v>6579</v>
      </c>
      <c r="M97" s="180" t="s">
        <v>621</v>
      </c>
      <c r="N97" s="181" t="s">
        <v>386</v>
      </c>
      <c r="O97" s="182" t="s">
        <v>622</v>
      </c>
    </row>
    <row r="98" spans="1:20" ht="12">
      <c r="A98" s="148"/>
      <c r="B98" s="174" t="s">
        <v>623</v>
      </c>
      <c r="C98" s="175" t="s">
        <v>624</v>
      </c>
      <c r="D98" s="176" t="s">
        <v>625</v>
      </c>
      <c r="E98" s="177" t="s">
        <v>626</v>
      </c>
      <c r="F98" s="175">
        <f t="shared" si="3"/>
        <v>11</v>
      </c>
      <c r="G98" s="175" t="str">
        <f t="shared" si="4"/>
        <v>Bradenton</v>
      </c>
      <c r="H98" s="175" t="str">
        <f t="shared" si="5"/>
        <v>Bradenton, FL</v>
      </c>
      <c r="I98" s="178" t="s">
        <v>627</v>
      </c>
      <c r="J98" s="27" t="s">
        <v>625</v>
      </c>
      <c r="K98" s="27">
        <v>3427</v>
      </c>
      <c r="L98" s="179">
        <v>725</v>
      </c>
      <c r="M98" s="178" t="s">
        <v>628</v>
      </c>
      <c r="N98" s="27" t="s">
        <v>625</v>
      </c>
      <c r="O98" s="182" t="s">
        <v>629</v>
      </c>
    </row>
    <row r="99" spans="1:20" ht="12">
      <c r="A99" s="148"/>
      <c r="B99" s="174" t="s">
        <v>630</v>
      </c>
      <c r="C99" s="175" t="s">
        <v>440</v>
      </c>
      <c r="D99" s="176" t="s">
        <v>441</v>
      </c>
      <c r="E99" s="177" t="s">
        <v>631</v>
      </c>
      <c r="F99" s="175">
        <f t="shared" si="3"/>
        <v>10</v>
      </c>
      <c r="G99" s="175" t="str">
        <f t="shared" si="4"/>
        <v>Bradford</v>
      </c>
      <c r="H99" s="175" t="str">
        <f t="shared" si="5"/>
        <v>Bradford, PA</v>
      </c>
      <c r="I99" s="178" t="s">
        <v>632</v>
      </c>
      <c r="J99" s="27" t="s">
        <v>441</v>
      </c>
      <c r="K99" s="27">
        <v>550</v>
      </c>
      <c r="L99" s="179">
        <v>6279</v>
      </c>
      <c r="M99" s="180" t="s">
        <v>633</v>
      </c>
      <c r="N99" s="181" t="s">
        <v>441</v>
      </c>
      <c r="O99" s="182" t="s">
        <v>634</v>
      </c>
    </row>
    <row r="100" spans="1:20" ht="12">
      <c r="A100" s="148"/>
      <c r="B100" s="174" t="s">
        <v>635</v>
      </c>
      <c r="C100" s="175" t="s">
        <v>1687</v>
      </c>
      <c r="D100" s="176" t="s">
        <v>1688</v>
      </c>
      <c r="E100" s="177" t="s">
        <v>636</v>
      </c>
      <c r="F100" s="175">
        <f t="shared" si="3"/>
        <v>10</v>
      </c>
      <c r="G100" s="175" t="str">
        <f t="shared" si="4"/>
        <v>Brainerd</v>
      </c>
      <c r="H100" s="175" t="str">
        <f t="shared" si="5"/>
        <v>Brainerd, MN</v>
      </c>
      <c r="I100" s="178" t="s">
        <v>637</v>
      </c>
      <c r="J100" s="27" t="s">
        <v>1688</v>
      </c>
      <c r="K100" s="27">
        <v>415</v>
      </c>
      <c r="L100" s="179">
        <v>8928</v>
      </c>
      <c r="M100" s="178" t="s">
        <v>638</v>
      </c>
      <c r="N100" s="27" t="s">
        <v>1688</v>
      </c>
      <c r="O100" s="182" t="s">
        <v>639</v>
      </c>
    </row>
    <row r="101" spans="1:20" ht="12">
      <c r="A101" s="148"/>
      <c r="B101" s="186" t="s">
        <v>640</v>
      </c>
      <c r="C101" s="175" t="s">
        <v>1683</v>
      </c>
      <c r="D101" s="176" t="s">
        <v>1684</v>
      </c>
      <c r="E101" s="177" t="s">
        <v>641</v>
      </c>
      <c r="F101" s="175">
        <f t="shared" si="3"/>
        <v>13</v>
      </c>
      <c r="G101" s="175" t="str">
        <f t="shared" si="4"/>
        <v>Brattleboro</v>
      </c>
      <c r="H101" s="175" t="str">
        <f t="shared" si="5"/>
        <v>Brattleboro, VT</v>
      </c>
      <c r="I101" s="178" t="s">
        <v>603</v>
      </c>
      <c r="J101" s="27" t="s">
        <v>2383</v>
      </c>
      <c r="K101" s="27">
        <v>333</v>
      </c>
      <c r="L101" s="179">
        <v>6979</v>
      </c>
      <c r="M101" s="180" t="s">
        <v>410</v>
      </c>
      <c r="N101" s="181" t="s">
        <v>408</v>
      </c>
      <c r="O101" s="182" t="s">
        <v>411</v>
      </c>
    </row>
    <row r="102" spans="1:20" ht="12">
      <c r="A102" s="148"/>
      <c r="B102" s="186" t="s">
        <v>642</v>
      </c>
      <c r="C102" s="175" t="s">
        <v>643</v>
      </c>
      <c r="D102" s="176" t="s">
        <v>644</v>
      </c>
      <c r="E102" s="177" t="s">
        <v>645</v>
      </c>
      <c r="F102" s="175">
        <f t="shared" si="3"/>
        <v>12</v>
      </c>
      <c r="G102" s="175" t="str">
        <f t="shared" si="4"/>
        <v>Bridgeport</v>
      </c>
      <c r="H102" s="175" t="str">
        <f t="shared" si="5"/>
        <v>Bridgeport, CT</v>
      </c>
      <c r="I102" s="178" t="s">
        <v>646</v>
      </c>
      <c r="J102" s="27" t="s">
        <v>644</v>
      </c>
      <c r="K102" s="27">
        <v>724</v>
      </c>
      <c r="L102" s="179">
        <v>5537</v>
      </c>
      <c r="M102" s="178" t="s">
        <v>647</v>
      </c>
      <c r="N102" s="27" t="s">
        <v>644</v>
      </c>
      <c r="O102" s="182" t="s">
        <v>648</v>
      </c>
    </row>
    <row r="103" spans="1:20" ht="12">
      <c r="A103" s="148"/>
      <c r="B103" s="174" t="s">
        <v>649</v>
      </c>
      <c r="C103" s="175" t="s">
        <v>425</v>
      </c>
      <c r="D103" s="176" t="s">
        <v>426</v>
      </c>
      <c r="E103" s="177" t="s">
        <v>650</v>
      </c>
      <c r="F103" s="175">
        <f t="shared" si="3"/>
        <v>9</v>
      </c>
      <c r="G103" s="175" t="str">
        <f t="shared" si="4"/>
        <v>Bristol</v>
      </c>
      <c r="H103" s="175" t="str">
        <f t="shared" si="5"/>
        <v>Bristol, VA</v>
      </c>
      <c r="I103" s="178" t="s">
        <v>2370</v>
      </c>
      <c r="J103" s="27" t="s">
        <v>426</v>
      </c>
      <c r="K103" s="27">
        <v>1052</v>
      </c>
      <c r="L103" s="179">
        <v>4360</v>
      </c>
      <c r="M103" s="180" t="s">
        <v>2371</v>
      </c>
      <c r="N103" s="181" t="s">
        <v>426</v>
      </c>
      <c r="O103" s="182" t="s">
        <v>2372</v>
      </c>
    </row>
    <row r="104" spans="1:20" ht="12">
      <c r="A104" s="148"/>
      <c r="B104" s="186" t="s">
        <v>651</v>
      </c>
      <c r="C104" s="175" t="s">
        <v>2382</v>
      </c>
      <c r="D104" s="176" t="s">
        <v>2383</v>
      </c>
      <c r="E104" s="177" t="s">
        <v>2351</v>
      </c>
      <c r="F104" s="175">
        <f t="shared" si="3"/>
        <v>10</v>
      </c>
      <c r="G104" s="175" t="str">
        <f t="shared" si="4"/>
        <v>Brockton</v>
      </c>
      <c r="H104" s="175" t="str">
        <f t="shared" si="5"/>
        <v>Brockton, MA</v>
      </c>
      <c r="I104" s="178" t="s">
        <v>2352</v>
      </c>
      <c r="J104" s="27" t="s">
        <v>2353</v>
      </c>
      <c r="K104" s="27">
        <v>606</v>
      </c>
      <c r="L104" s="179">
        <v>5884</v>
      </c>
      <c r="M104" s="180" t="s">
        <v>2354</v>
      </c>
      <c r="N104" s="181" t="s">
        <v>2353</v>
      </c>
      <c r="O104" s="182" t="s">
        <v>2355</v>
      </c>
    </row>
    <row r="105" spans="1:20" ht="12">
      <c r="A105" s="148"/>
      <c r="B105" s="186" t="s">
        <v>2356</v>
      </c>
      <c r="C105" s="175" t="s">
        <v>2382</v>
      </c>
      <c r="D105" s="176" t="s">
        <v>2383</v>
      </c>
      <c r="E105" s="177" t="s">
        <v>2351</v>
      </c>
      <c r="F105" s="175">
        <f t="shared" si="3"/>
        <v>10</v>
      </c>
      <c r="G105" s="175" t="str">
        <f t="shared" si="4"/>
        <v>Brockton</v>
      </c>
      <c r="H105" s="175" t="str">
        <f t="shared" si="5"/>
        <v>Brockton, MA</v>
      </c>
      <c r="I105" s="178" t="s">
        <v>607</v>
      </c>
      <c r="J105" s="27" t="s">
        <v>2383</v>
      </c>
      <c r="K105" s="27">
        <v>678</v>
      </c>
      <c r="L105" s="179">
        <v>5641</v>
      </c>
      <c r="M105" s="180" t="s">
        <v>604</v>
      </c>
      <c r="N105" s="181" t="s">
        <v>2383</v>
      </c>
      <c r="O105" s="182" t="s">
        <v>605</v>
      </c>
    </row>
    <row r="106" spans="1:20" ht="12">
      <c r="A106" s="148"/>
      <c r="B106" s="174" t="s">
        <v>2357</v>
      </c>
      <c r="C106" s="175" t="s">
        <v>407</v>
      </c>
      <c r="D106" s="176" t="s">
        <v>408</v>
      </c>
      <c r="E106" s="177" t="s">
        <v>2358</v>
      </c>
      <c r="F106" s="175">
        <f t="shared" si="3"/>
        <v>7</v>
      </c>
      <c r="G106" s="175" t="str">
        <f t="shared" si="4"/>
        <v>Bronx</v>
      </c>
      <c r="H106" s="175" t="str">
        <f t="shared" si="5"/>
        <v>Bronx, NY</v>
      </c>
      <c r="I106" s="178" t="s">
        <v>2359</v>
      </c>
      <c r="J106" s="27" t="s">
        <v>408</v>
      </c>
      <c r="K106" s="27">
        <v>1052</v>
      </c>
      <c r="L106" s="179">
        <v>4910</v>
      </c>
      <c r="M106" s="180" t="s">
        <v>2360</v>
      </c>
      <c r="N106" s="181" t="s">
        <v>408</v>
      </c>
      <c r="O106" s="182" t="s">
        <v>1359</v>
      </c>
    </row>
    <row r="107" spans="1:20" ht="12">
      <c r="A107" s="148"/>
      <c r="B107" s="174" t="s">
        <v>1360</v>
      </c>
      <c r="C107" s="175" t="s">
        <v>407</v>
      </c>
      <c r="D107" s="176" t="s">
        <v>408</v>
      </c>
      <c r="E107" s="177" t="s">
        <v>1361</v>
      </c>
      <c r="F107" s="175">
        <f t="shared" si="3"/>
        <v>10</v>
      </c>
      <c r="G107" s="175" t="str">
        <f t="shared" si="4"/>
        <v>Brooklyn</v>
      </c>
      <c r="H107" s="175" t="str">
        <f t="shared" si="5"/>
        <v>Brooklyn, NY</v>
      </c>
      <c r="I107" s="178" t="s">
        <v>2359</v>
      </c>
      <c r="J107" s="27" t="s">
        <v>408</v>
      </c>
      <c r="K107" s="27">
        <v>1052</v>
      </c>
      <c r="L107" s="179">
        <v>4910</v>
      </c>
      <c r="M107" s="180" t="s">
        <v>2360</v>
      </c>
      <c r="N107" s="181" t="s">
        <v>408</v>
      </c>
      <c r="O107" s="182" t="s">
        <v>1359</v>
      </c>
    </row>
    <row r="108" spans="1:20" ht="12">
      <c r="A108" s="148"/>
      <c r="B108" s="174" t="s">
        <v>1362</v>
      </c>
      <c r="C108" s="175" t="s">
        <v>254</v>
      </c>
      <c r="D108" s="176" t="s">
        <v>255</v>
      </c>
      <c r="E108" s="177" t="s">
        <v>1363</v>
      </c>
      <c r="F108" s="175">
        <f t="shared" si="3"/>
        <v>13</v>
      </c>
      <c r="G108" s="175" t="str">
        <f t="shared" si="4"/>
        <v>Brownsville</v>
      </c>
      <c r="H108" s="175" t="str">
        <f t="shared" si="5"/>
        <v>Brownsville, TX</v>
      </c>
      <c r="I108" s="178" t="s">
        <v>1364</v>
      </c>
      <c r="J108" s="27" t="s">
        <v>255</v>
      </c>
      <c r="K108" s="27">
        <v>3888</v>
      </c>
      <c r="L108" s="179">
        <v>635</v>
      </c>
      <c r="M108" s="180" t="s">
        <v>1365</v>
      </c>
      <c r="N108" s="181" t="s">
        <v>255</v>
      </c>
      <c r="O108" s="182" t="s">
        <v>1366</v>
      </c>
    </row>
    <row r="109" spans="1:20" ht="12">
      <c r="A109" s="148"/>
      <c r="B109" s="174" t="s">
        <v>1367</v>
      </c>
      <c r="C109" s="175" t="s">
        <v>254</v>
      </c>
      <c r="D109" s="176" t="s">
        <v>255</v>
      </c>
      <c r="E109" s="177" t="s">
        <v>1368</v>
      </c>
      <c r="F109" s="175">
        <f t="shared" si="3"/>
        <v>11</v>
      </c>
      <c r="G109" s="175" t="str">
        <f t="shared" si="4"/>
        <v>Brownwood</v>
      </c>
      <c r="H109" s="175" t="str">
        <f t="shared" si="5"/>
        <v>Brownwood, TX</v>
      </c>
      <c r="I109" s="178" t="s">
        <v>257</v>
      </c>
      <c r="J109" s="27" t="s">
        <v>255</v>
      </c>
      <c r="K109" s="27">
        <v>2451</v>
      </c>
      <c r="L109" s="179">
        <v>2584</v>
      </c>
      <c r="M109" s="180" t="s">
        <v>258</v>
      </c>
      <c r="N109" s="181" t="s">
        <v>255</v>
      </c>
      <c r="O109" s="182" t="s">
        <v>259</v>
      </c>
    </row>
    <row r="110" spans="1:20" ht="12">
      <c r="A110" s="148"/>
      <c r="B110" s="174" t="s">
        <v>1369</v>
      </c>
      <c r="C110" s="175" t="s">
        <v>254</v>
      </c>
      <c r="D110" s="176" t="s">
        <v>255</v>
      </c>
      <c r="E110" s="177" t="s">
        <v>1370</v>
      </c>
      <c r="F110" s="175">
        <f t="shared" si="3"/>
        <v>7</v>
      </c>
      <c r="G110" s="175" t="str">
        <f t="shared" si="4"/>
        <v>Bryan</v>
      </c>
      <c r="H110" s="175" t="str">
        <f t="shared" si="5"/>
        <v>Bryan, TX</v>
      </c>
      <c r="I110" s="178" t="s">
        <v>1633</v>
      </c>
      <c r="J110" s="27" t="s">
        <v>255</v>
      </c>
      <c r="K110" s="27">
        <v>3016</v>
      </c>
      <c r="L110" s="179">
        <v>1688</v>
      </c>
      <c r="M110" s="180" t="s">
        <v>1630</v>
      </c>
      <c r="N110" s="181" t="s">
        <v>255</v>
      </c>
      <c r="O110" s="182" t="s">
        <v>1631</v>
      </c>
    </row>
    <row r="111" spans="1:20" ht="12">
      <c r="A111" s="148"/>
      <c r="B111" s="174" t="s">
        <v>1371</v>
      </c>
      <c r="C111" s="175" t="s">
        <v>1372</v>
      </c>
      <c r="D111" s="176" t="s">
        <v>1373</v>
      </c>
      <c r="E111" s="177" t="s">
        <v>1374</v>
      </c>
      <c r="F111" s="175">
        <f t="shared" si="3"/>
        <v>14</v>
      </c>
      <c r="G111" s="175" t="str">
        <f t="shared" si="4"/>
        <v>Buckeye/Yuma</v>
      </c>
      <c r="H111" s="175" t="str">
        <f t="shared" si="5"/>
        <v>Buckeye/Yuma, AZ</v>
      </c>
      <c r="I111" s="178" t="s">
        <v>1375</v>
      </c>
      <c r="J111" s="27" t="s">
        <v>1373</v>
      </c>
      <c r="K111" s="27">
        <v>4305</v>
      </c>
      <c r="L111" s="179">
        <v>927</v>
      </c>
      <c r="M111" s="178" t="s">
        <v>1376</v>
      </c>
      <c r="N111" s="27" t="s">
        <v>1373</v>
      </c>
      <c r="O111" s="182" t="s">
        <v>1377</v>
      </c>
    </row>
    <row r="112" spans="1:20" ht="12">
      <c r="A112" s="148"/>
      <c r="B112" s="174" t="s">
        <v>1378</v>
      </c>
      <c r="C112" s="175" t="s">
        <v>1678</v>
      </c>
      <c r="D112" s="176" t="s">
        <v>1591</v>
      </c>
      <c r="E112" s="177" t="s">
        <v>1379</v>
      </c>
      <c r="F112" s="175">
        <f t="shared" si="3"/>
        <v>12</v>
      </c>
      <c r="G112" s="175" t="str">
        <f t="shared" si="4"/>
        <v>Buckhannon</v>
      </c>
      <c r="H112" s="175" t="str">
        <f t="shared" si="5"/>
        <v>Buckhannon, WV</v>
      </c>
      <c r="I112" s="178" t="s">
        <v>1380</v>
      </c>
      <c r="J112" s="27" t="s">
        <v>1591</v>
      </c>
      <c r="K112" s="27">
        <v>1031</v>
      </c>
      <c r="L112" s="179">
        <v>4646</v>
      </c>
      <c r="M112" s="180" t="s">
        <v>1592</v>
      </c>
      <c r="N112" s="181" t="s">
        <v>1591</v>
      </c>
      <c r="O112" s="182" t="s">
        <v>1593</v>
      </c>
      <c r="S112" s="27"/>
      <c r="T112" s="27"/>
    </row>
    <row r="113" spans="1:20" ht="12">
      <c r="A113" s="148"/>
      <c r="B113" s="174" t="s">
        <v>1381</v>
      </c>
      <c r="C113" s="175" t="s">
        <v>407</v>
      </c>
      <c r="D113" s="176" t="s">
        <v>408</v>
      </c>
      <c r="E113" s="177" t="s">
        <v>1382</v>
      </c>
      <c r="F113" s="175">
        <f t="shared" si="3"/>
        <v>9</v>
      </c>
      <c r="G113" s="175" t="str">
        <f t="shared" si="4"/>
        <v>Buffalo</v>
      </c>
      <c r="H113" s="175" t="str">
        <f t="shared" si="5"/>
        <v>Buffalo, NY</v>
      </c>
      <c r="I113" s="178" t="s">
        <v>632</v>
      </c>
      <c r="J113" s="27" t="s">
        <v>441</v>
      </c>
      <c r="K113" s="27">
        <v>550</v>
      </c>
      <c r="L113" s="179">
        <v>6279</v>
      </c>
      <c r="M113" s="180" t="s">
        <v>633</v>
      </c>
      <c r="N113" s="181" t="s">
        <v>441</v>
      </c>
      <c r="O113" s="182" t="s">
        <v>634</v>
      </c>
    </row>
    <row r="114" spans="1:20" ht="12">
      <c r="A114" s="148"/>
      <c r="B114" s="174" t="s">
        <v>1383</v>
      </c>
      <c r="C114" s="175" t="s">
        <v>407</v>
      </c>
      <c r="D114" s="176" t="s">
        <v>408</v>
      </c>
      <c r="E114" s="177" t="s">
        <v>1382</v>
      </c>
      <c r="F114" s="175">
        <f t="shared" si="3"/>
        <v>9</v>
      </c>
      <c r="G114" s="175" t="str">
        <f t="shared" si="4"/>
        <v>Buffalo</v>
      </c>
      <c r="H114" s="175" t="str">
        <f t="shared" si="5"/>
        <v>Buffalo, NY</v>
      </c>
      <c r="I114" s="178" t="s">
        <v>1384</v>
      </c>
      <c r="J114" s="27" t="s">
        <v>408</v>
      </c>
      <c r="K114" s="27">
        <v>425</v>
      </c>
      <c r="L114" s="179">
        <v>6734</v>
      </c>
      <c r="M114" s="180" t="s">
        <v>1385</v>
      </c>
      <c r="N114" s="181" t="s">
        <v>408</v>
      </c>
      <c r="O114" s="182" t="s">
        <v>1386</v>
      </c>
    </row>
    <row r="115" spans="1:20" ht="12">
      <c r="A115" s="148"/>
      <c r="B115" s="174" t="s">
        <v>1387</v>
      </c>
      <c r="C115" s="175" t="s">
        <v>407</v>
      </c>
      <c r="D115" s="176" t="s">
        <v>408</v>
      </c>
      <c r="E115" s="177" t="s">
        <v>1382</v>
      </c>
      <c r="F115" s="175">
        <f t="shared" si="3"/>
        <v>9</v>
      </c>
      <c r="G115" s="175" t="str">
        <f t="shared" si="4"/>
        <v>Buffalo</v>
      </c>
      <c r="H115" s="175" t="str">
        <f t="shared" si="5"/>
        <v>Buffalo, NY</v>
      </c>
      <c r="I115" s="178" t="s">
        <v>1388</v>
      </c>
      <c r="J115" s="27" t="s">
        <v>408</v>
      </c>
      <c r="K115" s="27">
        <v>477</v>
      </c>
      <c r="L115" s="179">
        <v>6747</v>
      </c>
      <c r="M115" s="180" t="s">
        <v>1389</v>
      </c>
      <c r="N115" s="181" t="s">
        <v>408</v>
      </c>
      <c r="O115" s="182" t="s">
        <v>1390</v>
      </c>
    </row>
    <row r="116" spans="1:20" ht="12">
      <c r="A116" s="148"/>
      <c r="B116" s="174" t="s">
        <v>1391</v>
      </c>
      <c r="C116" s="175" t="s">
        <v>433</v>
      </c>
      <c r="D116" s="176" t="s">
        <v>434</v>
      </c>
      <c r="E116" s="177" t="s">
        <v>1392</v>
      </c>
      <c r="F116" s="175">
        <f t="shared" si="3"/>
        <v>9</v>
      </c>
      <c r="G116" s="175" t="str">
        <f t="shared" si="4"/>
        <v>Burbank</v>
      </c>
      <c r="H116" s="175" t="str">
        <f t="shared" si="5"/>
        <v>Burbank, CA</v>
      </c>
      <c r="I116" s="178" t="s">
        <v>436</v>
      </c>
      <c r="J116" s="27" t="s">
        <v>434</v>
      </c>
      <c r="K116" s="27">
        <v>1537</v>
      </c>
      <c r="L116" s="179">
        <v>1154</v>
      </c>
      <c r="M116" s="178" t="s">
        <v>437</v>
      </c>
      <c r="N116" s="27" t="s">
        <v>434</v>
      </c>
      <c r="O116" s="182" t="s">
        <v>438</v>
      </c>
    </row>
    <row r="117" spans="1:20" ht="12">
      <c r="A117" s="148"/>
      <c r="B117" s="174" t="s">
        <v>1393</v>
      </c>
      <c r="C117" s="175" t="s">
        <v>1394</v>
      </c>
      <c r="D117" s="176" t="s">
        <v>1395</v>
      </c>
      <c r="E117" s="177" t="s">
        <v>1396</v>
      </c>
      <c r="F117" s="175">
        <f t="shared" si="3"/>
        <v>12</v>
      </c>
      <c r="G117" s="175" t="str">
        <f t="shared" si="4"/>
        <v>Burlington</v>
      </c>
      <c r="H117" s="175" t="str">
        <f t="shared" si="5"/>
        <v>Burlington, IA</v>
      </c>
      <c r="I117" s="178" t="s">
        <v>1397</v>
      </c>
      <c r="J117" s="27" t="s">
        <v>1709</v>
      </c>
      <c r="K117" s="27">
        <v>911</v>
      </c>
      <c r="L117" s="179">
        <v>6474</v>
      </c>
      <c r="M117" s="180" t="s">
        <v>1398</v>
      </c>
      <c r="N117" s="181" t="s">
        <v>1395</v>
      </c>
      <c r="O117" s="182" t="s">
        <v>1399</v>
      </c>
    </row>
    <row r="118" spans="1:20" ht="12">
      <c r="A118" s="148"/>
      <c r="B118" s="186" t="s">
        <v>1400</v>
      </c>
      <c r="C118" s="175" t="s">
        <v>1683</v>
      </c>
      <c r="D118" s="176" t="s">
        <v>1684</v>
      </c>
      <c r="E118" s="177" t="s">
        <v>1396</v>
      </c>
      <c r="F118" s="175">
        <f t="shared" si="3"/>
        <v>12</v>
      </c>
      <c r="G118" s="175" t="str">
        <f t="shared" si="4"/>
        <v>Burlington</v>
      </c>
      <c r="H118" s="175" t="str">
        <f t="shared" si="5"/>
        <v>Burlington, VT</v>
      </c>
      <c r="I118" s="178" t="s">
        <v>1401</v>
      </c>
      <c r="J118" s="27" t="s">
        <v>1684</v>
      </c>
      <c r="K118" s="27">
        <v>388</v>
      </c>
      <c r="L118" s="179">
        <v>7771</v>
      </c>
      <c r="M118" s="180" t="s">
        <v>1402</v>
      </c>
      <c r="N118" s="181" t="s">
        <v>1684</v>
      </c>
      <c r="O118" s="182" t="s">
        <v>1403</v>
      </c>
    </row>
    <row r="119" spans="1:20" ht="12">
      <c r="A119" s="148"/>
      <c r="B119" s="174" t="s">
        <v>1404</v>
      </c>
      <c r="C119" s="175" t="s">
        <v>493</v>
      </c>
      <c r="D119" s="176" t="s">
        <v>494</v>
      </c>
      <c r="E119" s="177" t="s">
        <v>1405</v>
      </c>
      <c r="F119" s="175">
        <f t="shared" si="3"/>
        <v>8</v>
      </c>
      <c r="G119" s="175" t="str">
        <f t="shared" si="4"/>
        <v>Butler</v>
      </c>
      <c r="H119" s="175" t="str">
        <f t="shared" si="5"/>
        <v>Butler, AL</v>
      </c>
      <c r="I119" s="178" t="s">
        <v>1406</v>
      </c>
      <c r="J119" s="27" t="s">
        <v>1407</v>
      </c>
      <c r="K119" s="27">
        <v>2138</v>
      </c>
      <c r="L119" s="179">
        <v>2444</v>
      </c>
      <c r="M119" s="180" t="s">
        <v>1408</v>
      </c>
      <c r="N119" s="181" t="s">
        <v>1407</v>
      </c>
      <c r="O119" s="182" t="s">
        <v>1409</v>
      </c>
    </row>
    <row r="120" spans="1:20" ht="12">
      <c r="A120" s="148"/>
      <c r="B120" s="174" t="s">
        <v>1410</v>
      </c>
      <c r="C120" s="175" t="s">
        <v>440</v>
      </c>
      <c r="D120" s="176" t="s">
        <v>441</v>
      </c>
      <c r="E120" s="177" t="s">
        <v>1405</v>
      </c>
      <c r="F120" s="175">
        <f t="shared" si="3"/>
        <v>8</v>
      </c>
      <c r="G120" s="175" t="str">
        <f t="shared" si="4"/>
        <v>Butler</v>
      </c>
      <c r="H120" s="175" t="str">
        <f t="shared" si="5"/>
        <v>Butler, PA</v>
      </c>
      <c r="I120" s="178" t="s">
        <v>1411</v>
      </c>
      <c r="J120" s="27" t="s">
        <v>386</v>
      </c>
      <c r="K120" s="27">
        <v>497</v>
      </c>
      <c r="L120" s="179">
        <v>6544</v>
      </c>
      <c r="M120" s="180" t="s">
        <v>1412</v>
      </c>
      <c r="N120" s="181" t="s">
        <v>386</v>
      </c>
      <c r="O120" s="182" t="s">
        <v>1413</v>
      </c>
    </row>
    <row r="121" spans="1:20" ht="12">
      <c r="A121" s="148"/>
      <c r="B121" s="174" t="s">
        <v>1414</v>
      </c>
      <c r="C121" s="175" t="s">
        <v>1487</v>
      </c>
      <c r="D121" s="176" t="s">
        <v>1488</v>
      </c>
      <c r="E121" s="177" t="s">
        <v>1415</v>
      </c>
      <c r="F121" s="175">
        <f t="shared" si="3"/>
        <v>7</v>
      </c>
      <c r="G121" s="175" t="str">
        <f t="shared" si="4"/>
        <v>Butte</v>
      </c>
      <c r="H121" s="175" t="str">
        <f t="shared" si="5"/>
        <v>Butte, MT</v>
      </c>
      <c r="I121" s="178" t="s">
        <v>1416</v>
      </c>
      <c r="J121" s="27" t="s">
        <v>1488</v>
      </c>
      <c r="K121" s="27">
        <v>280</v>
      </c>
      <c r="L121" s="179">
        <v>7792</v>
      </c>
      <c r="M121" s="180" t="s">
        <v>1417</v>
      </c>
      <c r="N121" s="181" t="s">
        <v>1488</v>
      </c>
      <c r="O121" s="182" t="s">
        <v>1418</v>
      </c>
    </row>
    <row r="122" spans="1:20" ht="12">
      <c r="A122" s="148"/>
      <c r="B122" s="186" t="s">
        <v>1419</v>
      </c>
      <c r="C122" s="175" t="s">
        <v>2382</v>
      </c>
      <c r="D122" s="176" t="s">
        <v>2383</v>
      </c>
      <c r="E122" s="177" t="s">
        <v>1420</v>
      </c>
      <c r="F122" s="175">
        <f t="shared" si="3"/>
        <v>14</v>
      </c>
      <c r="G122" s="175" t="str">
        <f t="shared" si="4"/>
        <v>Buzzards Bay</v>
      </c>
      <c r="H122" s="175" t="str">
        <f t="shared" si="5"/>
        <v>Buzzards Bay, MA</v>
      </c>
      <c r="I122" s="178" t="s">
        <v>2352</v>
      </c>
      <c r="J122" s="27" t="s">
        <v>2353</v>
      </c>
      <c r="K122" s="27">
        <v>606</v>
      </c>
      <c r="L122" s="179">
        <v>5884</v>
      </c>
      <c r="M122" s="180" t="s">
        <v>2354</v>
      </c>
      <c r="N122" s="181" t="s">
        <v>2353</v>
      </c>
      <c r="O122" s="182" t="s">
        <v>2355</v>
      </c>
      <c r="S122" s="27"/>
      <c r="T122" s="27"/>
    </row>
    <row r="123" spans="1:20" ht="12">
      <c r="A123" s="148"/>
      <c r="B123" s="174" t="s">
        <v>1421</v>
      </c>
      <c r="C123" s="175" t="s">
        <v>1650</v>
      </c>
      <c r="D123" s="176" t="s">
        <v>1651</v>
      </c>
      <c r="E123" s="177" t="s">
        <v>1422</v>
      </c>
      <c r="F123" s="175">
        <f t="shared" si="3"/>
        <v>8</v>
      </c>
      <c r="G123" s="175" t="str">
        <f t="shared" si="4"/>
        <v>Camden</v>
      </c>
      <c r="H123" s="175" t="str">
        <f t="shared" si="5"/>
        <v>Camden, AR</v>
      </c>
      <c r="I123" s="178" t="s">
        <v>1423</v>
      </c>
      <c r="J123" s="27" t="s">
        <v>1651</v>
      </c>
      <c r="K123" s="27">
        <v>2005</v>
      </c>
      <c r="L123" s="179">
        <v>3155</v>
      </c>
      <c r="M123" s="178" t="s">
        <v>1654</v>
      </c>
      <c r="N123" s="27" t="s">
        <v>1651</v>
      </c>
      <c r="O123" s="182" t="s">
        <v>1655</v>
      </c>
      <c r="S123" s="27"/>
      <c r="T123" s="27"/>
    </row>
    <row r="124" spans="1:20" ht="12">
      <c r="A124" s="148"/>
      <c r="B124" s="186" t="s">
        <v>1424</v>
      </c>
      <c r="C124" s="175" t="s">
        <v>1609</v>
      </c>
      <c r="D124" s="176" t="s">
        <v>1610</v>
      </c>
      <c r="E124" s="177" t="s">
        <v>1422</v>
      </c>
      <c r="F124" s="175">
        <f t="shared" si="3"/>
        <v>8</v>
      </c>
      <c r="G124" s="175" t="str">
        <f t="shared" si="4"/>
        <v>Camden</v>
      </c>
      <c r="H124" s="175" t="str">
        <f t="shared" si="5"/>
        <v>Camden, NJ</v>
      </c>
      <c r="I124" s="178" t="s">
        <v>1425</v>
      </c>
      <c r="J124" s="27" t="s">
        <v>441</v>
      </c>
      <c r="K124" s="27">
        <v>1101</v>
      </c>
      <c r="L124" s="179">
        <v>4954</v>
      </c>
      <c r="M124" s="180" t="s">
        <v>1426</v>
      </c>
      <c r="N124" s="181" t="s">
        <v>441</v>
      </c>
      <c r="O124" s="182" t="s">
        <v>1427</v>
      </c>
    </row>
    <row r="125" spans="1:20" ht="12">
      <c r="A125" s="148"/>
      <c r="B125" s="174" t="s">
        <v>1428</v>
      </c>
      <c r="C125" s="175" t="s">
        <v>516</v>
      </c>
      <c r="D125" s="176" t="s">
        <v>517</v>
      </c>
      <c r="E125" s="177" t="s">
        <v>1429</v>
      </c>
      <c r="F125" s="175">
        <f t="shared" si="3"/>
        <v>9</v>
      </c>
      <c r="G125" s="175" t="str">
        <f t="shared" si="4"/>
        <v>Campton</v>
      </c>
      <c r="H125" s="175" t="str">
        <f t="shared" si="5"/>
        <v>Campton, KY</v>
      </c>
      <c r="I125" s="178" t="s">
        <v>1430</v>
      </c>
      <c r="J125" s="27" t="s">
        <v>517</v>
      </c>
      <c r="K125" s="27">
        <v>1033</v>
      </c>
      <c r="L125" s="179">
        <v>4393</v>
      </c>
      <c r="M125" s="180" t="s">
        <v>1587</v>
      </c>
      <c r="N125" s="181" t="s">
        <v>517</v>
      </c>
      <c r="O125" s="182" t="s">
        <v>1588</v>
      </c>
    </row>
    <row r="126" spans="1:20" ht="12">
      <c r="A126" s="148"/>
      <c r="B126" s="174" t="s">
        <v>1431</v>
      </c>
      <c r="C126" s="175" t="s">
        <v>516</v>
      </c>
      <c r="D126" s="176" t="s">
        <v>517</v>
      </c>
      <c r="E126" s="177" t="s">
        <v>1429</v>
      </c>
      <c r="F126" s="175">
        <f t="shared" si="3"/>
        <v>9</v>
      </c>
      <c r="G126" s="175" t="str">
        <f t="shared" si="4"/>
        <v>Campton</v>
      </c>
      <c r="H126" s="175" t="str">
        <f t="shared" si="5"/>
        <v>Campton, KY</v>
      </c>
      <c r="I126" s="178" t="s">
        <v>1586</v>
      </c>
      <c r="J126" s="27" t="s">
        <v>517</v>
      </c>
      <c r="K126" s="27">
        <v>1140</v>
      </c>
      <c r="L126" s="179">
        <v>4783</v>
      </c>
      <c r="M126" s="180" t="s">
        <v>1587</v>
      </c>
      <c r="N126" s="181" t="s">
        <v>517</v>
      </c>
      <c r="O126" s="182" t="s">
        <v>1588</v>
      </c>
    </row>
    <row r="127" spans="1:20" ht="12">
      <c r="A127" s="148"/>
      <c r="B127" s="186" t="s">
        <v>1432</v>
      </c>
      <c r="C127" s="175" t="s">
        <v>1683</v>
      </c>
      <c r="D127" s="176" t="s">
        <v>1684</v>
      </c>
      <c r="E127" s="177" t="s">
        <v>1433</v>
      </c>
      <c r="F127" s="175">
        <f t="shared" si="3"/>
        <v>8</v>
      </c>
      <c r="G127" s="175" t="str">
        <f t="shared" si="4"/>
        <v>Canaan</v>
      </c>
      <c r="H127" s="175" t="str">
        <f t="shared" si="5"/>
        <v>Canaan, VT</v>
      </c>
      <c r="I127" s="178" t="s">
        <v>1401</v>
      </c>
      <c r="J127" s="27" t="s">
        <v>1684</v>
      </c>
      <c r="K127" s="27">
        <v>388</v>
      </c>
      <c r="L127" s="179">
        <v>7771</v>
      </c>
      <c r="M127" s="180" t="s">
        <v>1402</v>
      </c>
      <c r="N127" s="181" t="s">
        <v>1684</v>
      </c>
      <c r="O127" s="182" t="s">
        <v>1403</v>
      </c>
    </row>
    <row r="128" spans="1:20" ht="12">
      <c r="A128" s="148"/>
      <c r="B128" s="174" t="s">
        <v>1434</v>
      </c>
      <c r="C128" s="175" t="s">
        <v>385</v>
      </c>
      <c r="D128" s="176" t="s">
        <v>386</v>
      </c>
      <c r="E128" s="177" t="s">
        <v>1435</v>
      </c>
      <c r="F128" s="175">
        <f t="shared" si="3"/>
        <v>8</v>
      </c>
      <c r="G128" s="175" t="str">
        <f t="shared" si="4"/>
        <v>Canton</v>
      </c>
      <c r="H128" s="175" t="str">
        <f t="shared" si="5"/>
        <v>Canton, OH</v>
      </c>
      <c r="I128" s="178" t="s">
        <v>388</v>
      </c>
      <c r="J128" s="27" t="s">
        <v>386</v>
      </c>
      <c r="K128" s="27">
        <v>625</v>
      </c>
      <c r="L128" s="179">
        <v>6160</v>
      </c>
      <c r="M128" s="180" t="s">
        <v>389</v>
      </c>
      <c r="N128" s="181" t="s">
        <v>386</v>
      </c>
      <c r="O128" s="182" t="s">
        <v>390</v>
      </c>
    </row>
    <row r="129" spans="1:20" ht="12">
      <c r="A129" s="148"/>
      <c r="B129" s="174" t="s">
        <v>1436</v>
      </c>
      <c r="C129" s="175" t="s">
        <v>385</v>
      </c>
      <c r="D129" s="176" t="s">
        <v>386</v>
      </c>
      <c r="E129" s="177" t="s">
        <v>1435</v>
      </c>
      <c r="F129" s="175">
        <f t="shared" si="3"/>
        <v>8</v>
      </c>
      <c r="G129" s="175" t="str">
        <f t="shared" si="4"/>
        <v>Canton</v>
      </c>
      <c r="H129" s="175" t="str">
        <f t="shared" si="5"/>
        <v>Canton, OH</v>
      </c>
      <c r="I129" s="178" t="s">
        <v>388</v>
      </c>
      <c r="J129" s="27" t="s">
        <v>386</v>
      </c>
      <c r="K129" s="27">
        <v>625</v>
      </c>
      <c r="L129" s="179">
        <v>6160</v>
      </c>
      <c r="M129" s="180" t="s">
        <v>389</v>
      </c>
      <c r="N129" s="181" t="s">
        <v>386</v>
      </c>
      <c r="O129" s="182" t="s">
        <v>390</v>
      </c>
    </row>
    <row r="130" spans="1:20" ht="12">
      <c r="A130" s="148"/>
      <c r="B130" s="174" t="s">
        <v>1437</v>
      </c>
      <c r="C130" s="175" t="s">
        <v>1438</v>
      </c>
      <c r="D130" s="176" t="s">
        <v>1439</v>
      </c>
      <c r="E130" s="177" t="s">
        <v>1440</v>
      </c>
      <c r="F130" s="175">
        <f t="shared" si="3"/>
        <v>16</v>
      </c>
      <c r="G130" s="175" t="str">
        <f t="shared" si="4"/>
        <v>Cape Girardeau</v>
      </c>
      <c r="H130" s="175" t="str">
        <f t="shared" si="5"/>
        <v>Cape Girardeau, MO</v>
      </c>
      <c r="I130" s="178" t="s">
        <v>1441</v>
      </c>
      <c r="J130" s="27" t="s">
        <v>1439</v>
      </c>
      <c r="K130" s="27">
        <v>1534</v>
      </c>
      <c r="L130" s="179">
        <v>4758</v>
      </c>
      <c r="M130" s="178" t="s">
        <v>1442</v>
      </c>
      <c r="N130" s="27" t="s">
        <v>1439</v>
      </c>
      <c r="O130" s="182" t="s">
        <v>1443</v>
      </c>
    </row>
    <row r="131" spans="1:20" ht="12">
      <c r="A131" s="148"/>
      <c r="B131" s="174" t="s">
        <v>1444</v>
      </c>
      <c r="C131" s="175" t="s">
        <v>1708</v>
      </c>
      <c r="D131" s="176" t="s">
        <v>1709</v>
      </c>
      <c r="E131" s="177" t="s">
        <v>1445</v>
      </c>
      <c r="F131" s="175">
        <f t="shared" si="3"/>
        <v>12</v>
      </c>
      <c r="G131" s="175" t="str">
        <f t="shared" si="4"/>
        <v>Carbondale</v>
      </c>
      <c r="H131" s="175" t="str">
        <f t="shared" si="5"/>
        <v>Carbondale, IL</v>
      </c>
      <c r="I131" s="178" t="s">
        <v>1446</v>
      </c>
      <c r="J131" s="27" t="s">
        <v>2364</v>
      </c>
      <c r="K131" s="27">
        <v>1376</v>
      </c>
      <c r="L131" s="179">
        <v>4708</v>
      </c>
      <c r="M131" s="178" t="s">
        <v>1447</v>
      </c>
      <c r="N131" s="27" t="s">
        <v>2364</v>
      </c>
      <c r="O131" s="182" t="s">
        <v>1448</v>
      </c>
      <c r="S131" s="27"/>
      <c r="T131" s="27"/>
    </row>
    <row r="132" spans="1:20" ht="12">
      <c r="A132" s="148"/>
      <c r="B132" s="186" t="s">
        <v>1449</v>
      </c>
      <c r="C132" s="175" t="s">
        <v>1616</v>
      </c>
      <c r="D132" s="176" t="s">
        <v>1617</v>
      </c>
      <c r="E132" s="177" t="s">
        <v>1450</v>
      </c>
      <c r="F132" s="175">
        <f t="shared" si="3"/>
        <v>9</v>
      </c>
      <c r="G132" s="175" t="str">
        <f t="shared" si="4"/>
        <v>Caribou</v>
      </c>
      <c r="H132" s="175" t="str">
        <f t="shared" si="5"/>
        <v>Caribou, ME</v>
      </c>
      <c r="I132" s="178" t="s">
        <v>1451</v>
      </c>
      <c r="J132" s="27" t="s">
        <v>1617</v>
      </c>
      <c r="K132" s="27">
        <v>131</v>
      </c>
      <c r="L132" s="179">
        <v>9651</v>
      </c>
      <c r="M132" s="180" t="s">
        <v>1452</v>
      </c>
      <c r="N132" s="181" t="s">
        <v>1617</v>
      </c>
      <c r="O132" s="182" t="s">
        <v>1453</v>
      </c>
    </row>
    <row r="133" spans="1:20" ht="12">
      <c r="A133" s="148"/>
      <c r="B133" s="174" t="s">
        <v>1454</v>
      </c>
      <c r="C133" s="175" t="s">
        <v>415</v>
      </c>
      <c r="D133" s="176" t="s">
        <v>416</v>
      </c>
      <c r="E133" s="177" t="s">
        <v>1455</v>
      </c>
      <c r="F133" s="175">
        <f t="shared" si="3"/>
        <v>11</v>
      </c>
      <c r="G133" s="175" t="str">
        <f t="shared" si="4"/>
        <v>Carrizozo</v>
      </c>
      <c r="H133" s="175" t="str">
        <f t="shared" si="5"/>
        <v>Carrizozo, NM</v>
      </c>
      <c r="I133" s="178" t="s">
        <v>418</v>
      </c>
      <c r="J133" s="27" t="s">
        <v>416</v>
      </c>
      <c r="K133" s="27">
        <v>1244</v>
      </c>
      <c r="L133" s="179">
        <v>4425</v>
      </c>
      <c r="M133" s="180" t="s">
        <v>419</v>
      </c>
      <c r="N133" s="181" t="s">
        <v>416</v>
      </c>
      <c r="O133" s="182" t="s">
        <v>420</v>
      </c>
    </row>
    <row r="134" spans="1:20" ht="12">
      <c r="A134" s="148"/>
      <c r="B134" s="174" t="s">
        <v>1456</v>
      </c>
      <c r="C134" s="175" t="s">
        <v>1394</v>
      </c>
      <c r="D134" s="176" t="s">
        <v>1395</v>
      </c>
      <c r="E134" s="177" t="s">
        <v>1457</v>
      </c>
      <c r="F134" s="175">
        <f t="shared" ref="F134:F197" si="6">LEN(E134)</f>
        <v>9</v>
      </c>
      <c r="G134" s="175" t="str">
        <f t="shared" ref="G134:G197" si="7">MID(E134,2,F134-2)</f>
        <v>Carroll</v>
      </c>
      <c r="H134" s="175" t="str">
        <f t="shared" ref="H134:H197" si="8">CONCATENATE(G134,", ",+D134)</f>
        <v>Carroll, IA</v>
      </c>
      <c r="I134" s="178" t="s">
        <v>1458</v>
      </c>
      <c r="J134" s="27" t="s">
        <v>1395</v>
      </c>
      <c r="K134" s="27">
        <v>907</v>
      </c>
      <c r="L134" s="179">
        <v>6893</v>
      </c>
      <c r="M134" s="178" t="s">
        <v>1459</v>
      </c>
      <c r="N134" s="27" t="s">
        <v>1395</v>
      </c>
      <c r="O134" s="182" t="s">
        <v>1460</v>
      </c>
    </row>
    <row r="135" spans="1:20" ht="12">
      <c r="A135" s="148"/>
      <c r="B135" s="174" t="s">
        <v>1461</v>
      </c>
      <c r="C135" s="175" t="s">
        <v>1462</v>
      </c>
      <c r="D135" s="176" t="s">
        <v>1463</v>
      </c>
      <c r="E135" s="177" t="s">
        <v>1464</v>
      </c>
      <c r="F135" s="175">
        <f t="shared" si="6"/>
        <v>13</v>
      </c>
      <c r="G135" s="175" t="str">
        <f t="shared" si="7"/>
        <v>Carson City</v>
      </c>
      <c r="H135" s="175" t="str">
        <f t="shared" si="8"/>
        <v>Carson City, NV</v>
      </c>
      <c r="I135" s="178" t="s">
        <v>1465</v>
      </c>
      <c r="J135" s="27" t="s">
        <v>1463</v>
      </c>
      <c r="K135" s="27">
        <v>508</v>
      </c>
      <c r="L135" s="179">
        <v>5674</v>
      </c>
      <c r="M135" s="180" t="s">
        <v>1466</v>
      </c>
      <c r="N135" s="181" t="s">
        <v>1463</v>
      </c>
      <c r="O135" s="182" t="s">
        <v>1467</v>
      </c>
    </row>
    <row r="136" spans="1:20" ht="12">
      <c r="A136" s="148"/>
      <c r="B136" s="174" t="s">
        <v>1468</v>
      </c>
      <c r="C136" s="175" t="s">
        <v>1372</v>
      </c>
      <c r="D136" s="176" t="s">
        <v>1373</v>
      </c>
      <c r="E136" s="177" t="s">
        <v>1469</v>
      </c>
      <c r="F136" s="175">
        <f t="shared" si="6"/>
        <v>13</v>
      </c>
      <c r="G136" s="175" t="str">
        <f t="shared" si="7"/>
        <v>Casa Grande</v>
      </c>
      <c r="H136" s="175" t="str">
        <f t="shared" si="8"/>
        <v>Casa Grande, AZ</v>
      </c>
      <c r="I136" s="178" t="s">
        <v>1470</v>
      </c>
      <c r="J136" s="27" t="s">
        <v>1373</v>
      </c>
      <c r="K136" s="27">
        <v>2954</v>
      </c>
      <c r="L136" s="179">
        <v>1678</v>
      </c>
      <c r="M136" s="178" t="s">
        <v>1471</v>
      </c>
      <c r="N136" s="27" t="s">
        <v>1373</v>
      </c>
      <c r="O136" s="182" t="s">
        <v>1472</v>
      </c>
    </row>
    <row r="137" spans="1:20" ht="12">
      <c r="A137" s="148"/>
      <c r="B137" s="174" t="s">
        <v>1473</v>
      </c>
      <c r="C137" s="175" t="s">
        <v>1474</v>
      </c>
      <c r="D137" s="176" t="s">
        <v>1475</v>
      </c>
      <c r="E137" s="177" t="s">
        <v>1476</v>
      </c>
      <c r="F137" s="175">
        <f t="shared" si="6"/>
        <v>8</v>
      </c>
      <c r="G137" s="175" t="str">
        <f t="shared" si="7"/>
        <v>Casper</v>
      </c>
      <c r="H137" s="175" t="str">
        <f t="shared" si="8"/>
        <v>Casper, WY</v>
      </c>
      <c r="I137" s="178" t="s">
        <v>1477</v>
      </c>
      <c r="J137" s="27" t="s">
        <v>1475</v>
      </c>
      <c r="K137" s="27">
        <v>439</v>
      </c>
      <c r="L137" s="179">
        <v>7804</v>
      </c>
      <c r="M137" s="180" t="s">
        <v>1478</v>
      </c>
      <c r="N137" s="181" t="s">
        <v>1475</v>
      </c>
      <c r="O137" s="182" t="s">
        <v>2418</v>
      </c>
    </row>
    <row r="138" spans="1:20" ht="12">
      <c r="A138" s="148"/>
      <c r="B138" s="174" t="s">
        <v>2419</v>
      </c>
      <c r="C138" s="175" t="s">
        <v>1394</v>
      </c>
      <c r="D138" s="176" t="s">
        <v>1395</v>
      </c>
      <c r="E138" s="177" t="s">
        <v>2420</v>
      </c>
      <c r="F138" s="175">
        <f t="shared" si="6"/>
        <v>14</v>
      </c>
      <c r="G138" s="175" t="str">
        <f t="shared" si="7"/>
        <v>Cedar Rapids</v>
      </c>
      <c r="H138" s="175" t="str">
        <f t="shared" si="8"/>
        <v>Cedar Rapids, IA</v>
      </c>
      <c r="I138" s="178" t="s">
        <v>2421</v>
      </c>
      <c r="J138" s="27" t="s">
        <v>1395</v>
      </c>
      <c r="K138" s="27">
        <v>1036</v>
      </c>
      <c r="L138" s="179">
        <v>6497</v>
      </c>
      <c r="M138" s="180" t="s">
        <v>1398</v>
      </c>
      <c r="N138" s="181" t="s">
        <v>1395</v>
      </c>
      <c r="O138" s="182" t="s">
        <v>1399</v>
      </c>
    </row>
    <row r="139" spans="1:20" ht="12">
      <c r="A139" s="148"/>
      <c r="B139" s="174" t="s">
        <v>2422</v>
      </c>
      <c r="C139" s="175" t="s">
        <v>1394</v>
      </c>
      <c r="D139" s="176" t="s">
        <v>1395</v>
      </c>
      <c r="E139" s="177" t="s">
        <v>2420</v>
      </c>
      <c r="F139" s="175">
        <f t="shared" si="6"/>
        <v>14</v>
      </c>
      <c r="G139" s="175" t="str">
        <f t="shared" si="7"/>
        <v>Cedar Rapids</v>
      </c>
      <c r="H139" s="175" t="str">
        <f t="shared" si="8"/>
        <v>Cedar Rapids, IA</v>
      </c>
      <c r="I139" s="178" t="s">
        <v>2421</v>
      </c>
      <c r="J139" s="27" t="s">
        <v>1395</v>
      </c>
      <c r="K139" s="27">
        <v>1036</v>
      </c>
      <c r="L139" s="179">
        <v>6497</v>
      </c>
      <c r="M139" s="180" t="s">
        <v>1398</v>
      </c>
      <c r="N139" s="181" t="s">
        <v>1395</v>
      </c>
      <c r="O139" s="182" t="s">
        <v>1399</v>
      </c>
    </row>
    <row r="140" spans="1:20" ht="12">
      <c r="A140" s="148"/>
      <c r="B140" s="174" t="s">
        <v>2423</v>
      </c>
      <c r="C140" s="175" t="s">
        <v>1394</v>
      </c>
      <c r="D140" s="176" t="s">
        <v>1395</v>
      </c>
      <c r="E140" s="177" t="s">
        <v>2420</v>
      </c>
      <c r="F140" s="175">
        <f t="shared" si="6"/>
        <v>14</v>
      </c>
      <c r="G140" s="175" t="str">
        <f t="shared" si="7"/>
        <v>Cedar Rapids</v>
      </c>
      <c r="H140" s="175" t="str">
        <f t="shared" si="8"/>
        <v>Cedar Rapids, IA</v>
      </c>
      <c r="I140" s="178" t="s">
        <v>2424</v>
      </c>
      <c r="J140" s="27" t="s">
        <v>1395</v>
      </c>
      <c r="K140" s="27">
        <v>702</v>
      </c>
      <c r="L140" s="179">
        <v>7406</v>
      </c>
      <c r="M140" s="180" t="s">
        <v>1398</v>
      </c>
      <c r="N140" s="181" t="s">
        <v>1395</v>
      </c>
      <c r="O140" s="182" t="s">
        <v>1399</v>
      </c>
    </row>
    <row r="141" spans="1:20" ht="12">
      <c r="A141" s="148"/>
      <c r="B141" s="174" t="s">
        <v>2425</v>
      </c>
      <c r="C141" s="175" t="s">
        <v>1708</v>
      </c>
      <c r="D141" s="176" t="s">
        <v>1709</v>
      </c>
      <c r="E141" s="177" t="s">
        <v>2426</v>
      </c>
      <c r="F141" s="175">
        <f t="shared" si="6"/>
        <v>11</v>
      </c>
      <c r="G141" s="175" t="str">
        <f t="shared" si="7"/>
        <v>Centralia</v>
      </c>
      <c r="H141" s="175" t="str">
        <f t="shared" si="8"/>
        <v>Centralia, IL</v>
      </c>
      <c r="I141" s="178" t="s">
        <v>1446</v>
      </c>
      <c r="J141" s="27" t="s">
        <v>2364</v>
      </c>
      <c r="K141" s="27">
        <v>1376</v>
      </c>
      <c r="L141" s="179">
        <v>4708</v>
      </c>
      <c r="M141" s="178" t="s">
        <v>1447</v>
      </c>
      <c r="N141" s="27" t="s">
        <v>2364</v>
      </c>
      <c r="O141" s="182" t="s">
        <v>1448</v>
      </c>
    </row>
    <row r="142" spans="1:20" ht="12">
      <c r="A142" s="148"/>
      <c r="B142" s="174" t="s">
        <v>2427</v>
      </c>
      <c r="C142" s="175" t="s">
        <v>440</v>
      </c>
      <c r="D142" s="176" t="s">
        <v>441</v>
      </c>
      <c r="E142" s="177" t="s">
        <v>2428</v>
      </c>
      <c r="F142" s="175">
        <f t="shared" si="6"/>
        <v>14</v>
      </c>
      <c r="G142" s="175" t="str">
        <f t="shared" si="7"/>
        <v>Chambersburg</v>
      </c>
      <c r="H142" s="175" t="str">
        <f t="shared" si="8"/>
        <v>Chambersburg, PA</v>
      </c>
      <c r="I142" s="178" t="s">
        <v>2429</v>
      </c>
      <c r="J142" s="27" t="s">
        <v>441</v>
      </c>
      <c r="K142" s="27">
        <v>962</v>
      </c>
      <c r="L142" s="179">
        <v>5347</v>
      </c>
      <c r="M142" s="180" t="s">
        <v>2430</v>
      </c>
      <c r="N142" s="181" t="s">
        <v>441</v>
      </c>
      <c r="O142" s="182" t="s">
        <v>2431</v>
      </c>
    </row>
    <row r="143" spans="1:20" ht="12">
      <c r="A143" s="148"/>
      <c r="B143" s="174" t="s">
        <v>2432</v>
      </c>
      <c r="C143" s="175" t="s">
        <v>1708</v>
      </c>
      <c r="D143" s="176" t="s">
        <v>1709</v>
      </c>
      <c r="E143" s="177" t="s">
        <v>2433</v>
      </c>
      <c r="F143" s="175">
        <f t="shared" si="6"/>
        <v>18</v>
      </c>
      <c r="G143" s="175" t="str">
        <f t="shared" si="7"/>
        <v>Champaign/Urbana</v>
      </c>
      <c r="H143" s="175" t="str">
        <f t="shared" si="8"/>
        <v>Champaign/Urbana, IL</v>
      </c>
      <c r="I143" s="178" t="s">
        <v>1711</v>
      </c>
      <c r="J143" s="27" t="s">
        <v>1709</v>
      </c>
      <c r="K143" s="27">
        <v>1141</v>
      </c>
      <c r="L143" s="179">
        <v>5688</v>
      </c>
      <c r="M143" s="178" t="s">
        <v>1712</v>
      </c>
      <c r="N143" s="27" t="s">
        <v>1709</v>
      </c>
      <c r="O143" s="182" t="s">
        <v>2361</v>
      </c>
    </row>
    <row r="144" spans="1:20" ht="12">
      <c r="A144" s="148"/>
      <c r="B144" s="174" t="s">
        <v>2434</v>
      </c>
      <c r="C144" s="175" t="s">
        <v>1708</v>
      </c>
      <c r="D144" s="176" t="s">
        <v>1709</v>
      </c>
      <c r="E144" s="177" t="s">
        <v>2433</v>
      </c>
      <c r="F144" s="175">
        <f t="shared" si="6"/>
        <v>18</v>
      </c>
      <c r="G144" s="175" t="str">
        <f t="shared" si="7"/>
        <v>Champaign/Urbana</v>
      </c>
      <c r="H144" s="175" t="str">
        <f t="shared" si="8"/>
        <v>Champaign/Urbana, IL</v>
      </c>
      <c r="I144" s="178" t="s">
        <v>1711</v>
      </c>
      <c r="J144" s="27" t="s">
        <v>1709</v>
      </c>
      <c r="K144" s="27">
        <v>1141</v>
      </c>
      <c r="L144" s="179">
        <v>5688</v>
      </c>
      <c r="M144" s="178" t="s">
        <v>1712</v>
      </c>
      <c r="N144" s="27" t="s">
        <v>1709</v>
      </c>
      <c r="O144" s="182" t="s">
        <v>2361</v>
      </c>
    </row>
    <row r="145" spans="1:15" ht="12">
      <c r="A145" s="148"/>
      <c r="B145" s="174" t="s">
        <v>2435</v>
      </c>
      <c r="C145" s="175" t="s">
        <v>274</v>
      </c>
      <c r="D145" s="176" t="s">
        <v>275</v>
      </c>
      <c r="E145" s="177" t="s">
        <v>2436</v>
      </c>
      <c r="F145" s="175">
        <f t="shared" si="6"/>
        <v>12</v>
      </c>
      <c r="G145" s="175" t="str">
        <f t="shared" si="7"/>
        <v>Charleston</v>
      </c>
      <c r="H145" s="175" t="str">
        <f t="shared" si="8"/>
        <v>Charleston, SC</v>
      </c>
      <c r="I145" s="178" t="s">
        <v>2437</v>
      </c>
      <c r="J145" s="27" t="s">
        <v>275</v>
      </c>
      <c r="K145" s="27">
        <v>2266</v>
      </c>
      <c r="L145" s="179">
        <v>2013</v>
      </c>
      <c r="M145" s="180" t="s">
        <v>1592</v>
      </c>
      <c r="N145" s="181" t="s">
        <v>275</v>
      </c>
      <c r="O145" s="182" t="s">
        <v>2438</v>
      </c>
    </row>
    <row r="146" spans="1:15" ht="12">
      <c r="A146" s="148"/>
      <c r="B146" s="174" t="s">
        <v>2439</v>
      </c>
      <c r="C146" s="175" t="s">
        <v>1678</v>
      </c>
      <c r="D146" s="176" t="s">
        <v>1591</v>
      </c>
      <c r="E146" s="177" t="s">
        <v>2436</v>
      </c>
      <c r="F146" s="175">
        <f t="shared" si="6"/>
        <v>12</v>
      </c>
      <c r="G146" s="175" t="str">
        <f t="shared" si="7"/>
        <v>Charleston</v>
      </c>
      <c r="H146" s="175" t="str">
        <f t="shared" si="8"/>
        <v>Charleston, WV</v>
      </c>
      <c r="I146" s="178" t="s">
        <v>1380</v>
      </c>
      <c r="J146" s="27" t="s">
        <v>1591</v>
      </c>
      <c r="K146" s="27">
        <v>1031</v>
      </c>
      <c r="L146" s="179">
        <v>4646</v>
      </c>
      <c r="M146" s="180" t="s">
        <v>1592</v>
      </c>
      <c r="N146" s="181" t="s">
        <v>1591</v>
      </c>
      <c r="O146" s="182" t="s">
        <v>1593</v>
      </c>
    </row>
    <row r="147" spans="1:15" ht="12">
      <c r="A147" s="148"/>
      <c r="B147" s="174" t="s">
        <v>2440</v>
      </c>
      <c r="C147" s="175" t="s">
        <v>1678</v>
      </c>
      <c r="D147" s="176" t="s">
        <v>1591</v>
      </c>
      <c r="E147" s="177" t="s">
        <v>2436</v>
      </c>
      <c r="F147" s="175">
        <f t="shared" si="6"/>
        <v>12</v>
      </c>
      <c r="G147" s="175" t="str">
        <f t="shared" si="7"/>
        <v>Charleston</v>
      </c>
      <c r="H147" s="175" t="str">
        <f t="shared" si="8"/>
        <v>Charleston, WV</v>
      </c>
      <c r="I147" s="178" t="s">
        <v>1380</v>
      </c>
      <c r="J147" s="27" t="s">
        <v>1591</v>
      </c>
      <c r="K147" s="27">
        <v>1031</v>
      </c>
      <c r="L147" s="179">
        <v>4646</v>
      </c>
      <c r="M147" s="180" t="s">
        <v>1592</v>
      </c>
      <c r="N147" s="181" t="s">
        <v>1591</v>
      </c>
      <c r="O147" s="182" t="s">
        <v>1593</v>
      </c>
    </row>
    <row r="148" spans="1:15" ht="12">
      <c r="A148" s="148"/>
      <c r="B148" s="174" t="s">
        <v>2441</v>
      </c>
      <c r="C148" s="175" t="s">
        <v>1678</v>
      </c>
      <c r="D148" s="176" t="s">
        <v>1591</v>
      </c>
      <c r="E148" s="177" t="s">
        <v>2436</v>
      </c>
      <c r="F148" s="175">
        <f t="shared" si="6"/>
        <v>12</v>
      </c>
      <c r="G148" s="175" t="str">
        <f t="shared" si="7"/>
        <v>Charleston</v>
      </c>
      <c r="H148" s="175" t="str">
        <f t="shared" si="8"/>
        <v>Charleston, WV</v>
      </c>
      <c r="I148" s="178" t="s">
        <v>1380</v>
      </c>
      <c r="J148" s="27" t="s">
        <v>1591</v>
      </c>
      <c r="K148" s="27">
        <v>1031</v>
      </c>
      <c r="L148" s="179">
        <v>4646</v>
      </c>
      <c r="M148" s="180" t="s">
        <v>1592</v>
      </c>
      <c r="N148" s="181" t="s">
        <v>1591</v>
      </c>
      <c r="O148" s="182" t="s">
        <v>1593</v>
      </c>
    </row>
    <row r="149" spans="1:15" ht="12">
      <c r="A149" s="148"/>
      <c r="B149" s="174" t="s">
        <v>2442</v>
      </c>
      <c r="C149" s="175" t="s">
        <v>1678</v>
      </c>
      <c r="D149" s="176" t="s">
        <v>1591</v>
      </c>
      <c r="E149" s="177" t="s">
        <v>2436</v>
      </c>
      <c r="F149" s="175">
        <f t="shared" si="6"/>
        <v>12</v>
      </c>
      <c r="G149" s="175" t="str">
        <f t="shared" si="7"/>
        <v>Charleston</v>
      </c>
      <c r="H149" s="175" t="str">
        <f t="shared" si="8"/>
        <v>Charleston, WV</v>
      </c>
      <c r="I149" s="178" t="s">
        <v>1380</v>
      </c>
      <c r="J149" s="27" t="s">
        <v>1591</v>
      </c>
      <c r="K149" s="27">
        <v>1031</v>
      </c>
      <c r="L149" s="179">
        <v>4646</v>
      </c>
      <c r="M149" s="180" t="s">
        <v>1592</v>
      </c>
      <c r="N149" s="181" t="s">
        <v>1591</v>
      </c>
      <c r="O149" s="182" t="s">
        <v>1593</v>
      </c>
    </row>
    <row r="150" spans="1:15" ht="12">
      <c r="A150" s="148"/>
      <c r="B150" s="174" t="s">
        <v>2443</v>
      </c>
      <c r="C150" s="175" t="s">
        <v>472</v>
      </c>
      <c r="D150" s="176" t="s">
        <v>473</v>
      </c>
      <c r="E150" s="177" t="s">
        <v>2444</v>
      </c>
      <c r="F150" s="175">
        <f t="shared" si="6"/>
        <v>11</v>
      </c>
      <c r="G150" s="175" t="str">
        <f t="shared" si="7"/>
        <v>Charlotte</v>
      </c>
      <c r="H150" s="175" t="str">
        <f t="shared" si="8"/>
        <v>Charlotte, NC</v>
      </c>
      <c r="I150" s="178" t="s">
        <v>2445</v>
      </c>
      <c r="J150" s="27" t="s">
        <v>275</v>
      </c>
      <c r="K150" s="27">
        <v>1473</v>
      </c>
      <c r="L150" s="179">
        <v>3272</v>
      </c>
      <c r="M150" s="180" t="s">
        <v>2446</v>
      </c>
      <c r="N150" s="181" t="s">
        <v>473</v>
      </c>
      <c r="O150" s="182" t="s">
        <v>2447</v>
      </c>
    </row>
    <row r="151" spans="1:15" ht="12">
      <c r="A151" s="148"/>
      <c r="B151" s="174" t="s">
        <v>2448</v>
      </c>
      <c r="C151" s="175" t="s">
        <v>472</v>
      </c>
      <c r="D151" s="176" t="s">
        <v>473</v>
      </c>
      <c r="E151" s="177" t="s">
        <v>2444</v>
      </c>
      <c r="F151" s="175">
        <f t="shared" si="6"/>
        <v>11</v>
      </c>
      <c r="G151" s="175" t="str">
        <f t="shared" si="7"/>
        <v>Charlotte</v>
      </c>
      <c r="H151" s="175" t="str">
        <f t="shared" si="8"/>
        <v>Charlotte, NC</v>
      </c>
      <c r="I151" s="178" t="s">
        <v>2445</v>
      </c>
      <c r="J151" s="27" t="s">
        <v>275</v>
      </c>
      <c r="K151" s="27">
        <v>1473</v>
      </c>
      <c r="L151" s="179">
        <v>3272</v>
      </c>
      <c r="M151" s="180" t="s">
        <v>2446</v>
      </c>
      <c r="N151" s="181" t="s">
        <v>473</v>
      </c>
      <c r="O151" s="182" t="s">
        <v>2447</v>
      </c>
    </row>
    <row r="152" spans="1:15" ht="12">
      <c r="A152" s="148"/>
      <c r="B152" s="174" t="s">
        <v>2449</v>
      </c>
      <c r="C152" s="175" t="s">
        <v>472</v>
      </c>
      <c r="D152" s="176" t="s">
        <v>473</v>
      </c>
      <c r="E152" s="177" t="s">
        <v>2444</v>
      </c>
      <c r="F152" s="175">
        <f t="shared" si="6"/>
        <v>11</v>
      </c>
      <c r="G152" s="175" t="str">
        <f t="shared" si="7"/>
        <v>Charlotte</v>
      </c>
      <c r="H152" s="175" t="str">
        <f t="shared" si="8"/>
        <v>Charlotte, NC</v>
      </c>
      <c r="I152" s="178" t="s">
        <v>2450</v>
      </c>
      <c r="J152" s="27" t="s">
        <v>473</v>
      </c>
      <c r="K152" s="27">
        <v>1582</v>
      </c>
      <c r="L152" s="179">
        <v>3341</v>
      </c>
      <c r="M152" s="180" t="s">
        <v>2446</v>
      </c>
      <c r="N152" s="181" t="s">
        <v>473</v>
      </c>
      <c r="O152" s="182" t="s">
        <v>2447</v>
      </c>
    </row>
    <row r="153" spans="1:15" ht="12">
      <c r="A153" s="148"/>
      <c r="B153" s="174" t="s">
        <v>2451</v>
      </c>
      <c r="C153" s="175" t="s">
        <v>425</v>
      </c>
      <c r="D153" s="176" t="s">
        <v>426</v>
      </c>
      <c r="E153" s="177" t="s">
        <v>2452</v>
      </c>
      <c r="F153" s="175">
        <f t="shared" si="6"/>
        <v>17</v>
      </c>
      <c r="G153" s="175" t="str">
        <f t="shared" si="7"/>
        <v>Charlottesville</v>
      </c>
      <c r="H153" s="175" t="str">
        <f t="shared" si="8"/>
        <v>Charlottesville, VA</v>
      </c>
      <c r="I153" s="178" t="s">
        <v>2453</v>
      </c>
      <c r="J153" s="27" t="s">
        <v>426</v>
      </c>
      <c r="K153" s="27">
        <v>1348</v>
      </c>
      <c r="L153" s="179">
        <v>3963</v>
      </c>
      <c r="M153" s="180" t="s">
        <v>2454</v>
      </c>
      <c r="N153" s="181" t="s">
        <v>426</v>
      </c>
      <c r="O153" s="182" t="s">
        <v>2455</v>
      </c>
    </row>
    <row r="154" spans="1:15" ht="12">
      <c r="A154" s="148"/>
      <c r="B154" s="174" t="s">
        <v>2456</v>
      </c>
      <c r="C154" s="175" t="s">
        <v>2457</v>
      </c>
      <c r="D154" s="176" t="s">
        <v>476</v>
      </c>
      <c r="E154" s="177" t="s">
        <v>2458</v>
      </c>
      <c r="F154" s="175">
        <f t="shared" si="6"/>
        <v>13</v>
      </c>
      <c r="G154" s="175" t="str">
        <f t="shared" si="7"/>
        <v>Chattanooga</v>
      </c>
      <c r="H154" s="175" t="str">
        <f t="shared" si="8"/>
        <v>Chattanooga, TN</v>
      </c>
      <c r="I154" s="178" t="s">
        <v>2459</v>
      </c>
      <c r="J154" s="27" t="s">
        <v>494</v>
      </c>
      <c r="K154" s="27">
        <v>1651</v>
      </c>
      <c r="L154" s="179">
        <v>3323</v>
      </c>
      <c r="M154" s="180" t="s">
        <v>2460</v>
      </c>
      <c r="N154" s="181" t="s">
        <v>476</v>
      </c>
      <c r="O154" s="182" t="s">
        <v>2461</v>
      </c>
    </row>
    <row r="155" spans="1:15" ht="12">
      <c r="A155" s="148"/>
      <c r="B155" s="174" t="s">
        <v>2462</v>
      </c>
      <c r="C155" s="175" t="s">
        <v>2457</v>
      </c>
      <c r="D155" s="176" t="s">
        <v>476</v>
      </c>
      <c r="E155" s="177" t="s">
        <v>2458</v>
      </c>
      <c r="F155" s="175">
        <f t="shared" si="6"/>
        <v>13</v>
      </c>
      <c r="G155" s="175" t="str">
        <f t="shared" si="7"/>
        <v>Chattanooga</v>
      </c>
      <c r="H155" s="175" t="str">
        <f t="shared" si="8"/>
        <v>Chattanooga, TN</v>
      </c>
      <c r="I155" s="178" t="s">
        <v>2463</v>
      </c>
      <c r="J155" s="27" t="s">
        <v>476</v>
      </c>
      <c r="K155" s="27">
        <v>1544</v>
      </c>
      <c r="L155" s="179">
        <v>3587</v>
      </c>
      <c r="M155" s="180" t="s">
        <v>2460</v>
      </c>
      <c r="N155" s="181" t="s">
        <v>476</v>
      </c>
      <c r="O155" s="182" t="s">
        <v>2461</v>
      </c>
    </row>
    <row r="156" spans="1:15" ht="12">
      <c r="A156" s="148"/>
      <c r="B156" s="186" t="s">
        <v>2464</v>
      </c>
      <c r="C156" s="175" t="s">
        <v>1609</v>
      </c>
      <c r="D156" s="176" t="s">
        <v>1610</v>
      </c>
      <c r="E156" s="177" t="s">
        <v>2465</v>
      </c>
      <c r="F156" s="175">
        <f t="shared" si="6"/>
        <v>13</v>
      </c>
      <c r="G156" s="175" t="str">
        <f t="shared" si="7"/>
        <v>Cherry Hill</v>
      </c>
      <c r="H156" s="175" t="str">
        <f t="shared" si="8"/>
        <v>Cherry Hill, NJ</v>
      </c>
      <c r="I156" s="178" t="s">
        <v>1425</v>
      </c>
      <c r="J156" s="27" t="s">
        <v>441</v>
      </c>
      <c r="K156" s="27">
        <v>1101</v>
      </c>
      <c r="L156" s="179">
        <v>4954</v>
      </c>
      <c r="M156" s="180" t="s">
        <v>1426</v>
      </c>
      <c r="N156" s="181" t="s">
        <v>441</v>
      </c>
      <c r="O156" s="182" t="s">
        <v>1427</v>
      </c>
    </row>
    <row r="157" spans="1:15" ht="12">
      <c r="A157" s="148"/>
      <c r="B157" s="174" t="s">
        <v>2466</v>
      </c>
      <c r="C157" s="175" t="s">
        <v>1474</v>
      </c>
      <c r="D157" s="176" t="s">
        <v>1475</v>
      </c>
      <c r="E157" s="177" t="s">
        <v>2467</v>
      </c>
      <c r="F157" s="175">
        <f t="shared" si="6"/>
        <v>10</v>
      </c>
      <c r="G157" s="175" t="str">
        <f t="shared" si="7"/>
        <v>Cheyenne</v>
      </c>
      <c r="H157" s="175" t="str">
        <f t="shared" si="8"/>
        <v>Cheyenne, WY</v>
      </c>
      <c r="I157" s="178" t="s">
        <v>2468</v>
      </c>
      <c r="J157" s="27" t="s">
        <v>1475</v>
      </c>
      <c r="K157" s="27">
        <v>285</v>
      </c>
      <c r="L157" s="179">
        <v>7326</v>
      </c>
      <c r="M157" s="180" t="s">
        <v>2469</v>
      </c>
      <c r="N157" s="181" t="s">
        <v>1475</v>
      </c>
      <c r="O157" s="182" t="s">
        <v>2470</v>
      </c>
    </row>
    <row r="158" spans="1:15" ht="12">
      <c r="A158" s="148"/>
      <c r="B158" s="174" t="s">
        <v>2471</v>
      </c>
      <c r="C158" s="175" t="s">
        <v>1708</v>
      </c>
      <c r="D158" s="176" t="s">
        <v>1709</v>
      </c>
      <c r="E158" s="177" t="s">
        <v>2472</v>
      </c>
      <c r="F158" s="175">
        <f t="shared" si="6"/>
        <v>9</v>
      </c>
      <c r="G158" s="175" t="str">
        <f t="shared" si="7"/>
        <v>Chicago</v>
      </c>
      <c r="H158" s="175" t="str">
        <f t="shared" si="8"/>
        <v>Chicago, IL</v>
      </c>
      <c r="I158" s="178" t="s">
        <v>2473</v>
      </c>
      <c r="J158" s="27" t="s">
        <v>1709</v>
      </c>
      <c r="K158" s="27">
        <v>752</v>
      </c>
      <c r="L158" s="179">
        <v>6536</v>
      </c>
      <c r="M158" s="178" t="s">
        <v>2474</v>
      </c>
      <c r="N158" s="27" t="s">
        <v>1709</v>
      </c>
      <c r="O158" s="182" t="s">
        <v>2475</v>
      </c>
    </row>
    <row r="159" spans="1:15" ht="12">
      <c r="A159" s="148"/>
      <c r="B159" s="174" t="s">
        <v>2476</v>
      </c>
      <c r="C159" s="175" t="s">
        <v>1708</v>
      </c>
      <c r="D159" s="176" t="s">
        <v>1709</v>
      </c>
      <c r="E159" s="177" t="s">
        <v>2472</v>
      </c>
      <c r="F159" s="175">
        <f t="shared" si="6"/>
        <v>9</v>
      </c>
      <c r="G159" s="175" t="str">
        <f t="shared" si="7"/>
        <v>Chicago</v>
      </c>
      <c r="H159" s="175" t="str">
        <f t="shared" si="8"/>
        <v>Chicago, IL</v>
      </c>
      <c r="I159" s="178" t="s">
        <v>2473</v>
      </c>
      <c r="J159" s="27" t="s">
        <v>1709</v>
      </c>
      <c r="K159" s="27">
        <v>752</v>
      </c>
      <c r="L159" s="179">
        <v>6536</v>
      </c>
      <c r="M159" s="178" t="s">
        <v>2474</v>
      </c>
      <c r="N159" s="27" t="s">
        <v>1709</v>
      </c>
      <c r="O159" s="182" t="s">
        <v>2475</v>
      </c>
    </row>
    <row r="160" spans="1:15" ht="12">
      <c r="A160" s="148"/>
      <c r="B160" s="174" t="s">
        <v>2477</v>
      </c>
      <c r="C160" s="175" t="s">
        <v>254</v>
      </c>
      <c r="D160" s="176" t="s">
        <v>255</v>
      </c>
      <c r="E160" s="177" t="s">
        <v>2478</v>
      </c>
      <c r="F160" s="175">
        <f t="shared" si="6"/>
        <v>11</v>
      </c>
      <c r="G160" s="175" t="str">
        <f t="shared" si="7"/>
        <v>Childress</v>
      </c>
      <c r="H160" s="175" t="str">
        <f t="shared" si="8"/>
        <v>Childress, TX</v>
      </c>
      <c r="I160" s="178" t="s">
        <v>2479</v>
      </c>
      <c r="J160" s="27" t="s">
        <v>255</v>
      </c>
      <c r="K160" s="27">
        <v>1689</v>
      </c>
      <c r="L160" s="179">
        <v>3431</v>
      </c>
      <c r="M160" s="180" t="s">
        <v>2480</v>
      </c>
      <c r="N160" s="181" t="s">
        <v>255</v>
      </c>
      <c r="O160" s="182" t="s">
        <v>2481</v>
      </c>
    </row>
    <row r="161" spans="1:20" ht="12">
      <c r="A161" s="148"/>
      <c r="B161" s="174" t="s">
        <v>2482</v>
      </c>
      <c r="C161" s="175" t="s">
        <v>1438</v>
      </c>
      <c r="D161" s="176" t="s">
        <v>1439</v>
      </c>
      <c r="E161" s="177" t="s">
        <v>2483</v>
      </c>
      <c r="F161" s="175">
        <f t="shared" si="6"/>
        <v>13</v>
      </c>
      <c r="G161" s="175" t="str">
        <f t="shared" si="7"/>
        <v>Chillicothe</v>
      </c>
      <c r="H161" s="175" t="str">
        <f t="shared" si="8"/>
        <v>Chillicothe, MO</v>
      </c>
      <c r="I161" s="178" t="s">
        <v>2484</v>
      </c>
      <c r="J161" s="27" t="s">
        <v>1439</v>
      </c>
      <c r="K161" s="27">
        <v>1288</v>
      </c>
      <c r="L161" s="179">
        <v>5393</v>
      </c>
      <c r="M161" s="180" t="s">
        <v>2485</v>
      </c>
      <c r="N161" s="181" t="s">
        <v>1439</v>
      </c>
      <c r="O161" s="182" t="s">
        <v>2486</v>
      </c>
    </row>
    <row r="162" spans="1:20" ht="12">
      <c r="A162" s="148"/>
      <c r="B162" s="174" t="s">
        <v>2487</v>
      </c>
      <c r="C162" s="175" t="s">
        <v>385</v>
      </c>
      <c r="D162" s="176" t="s">
        <v>386</v>
      </c>
      <c r="E162" s="177" t="s">
        <v>2483</v>
      </c>
      <c r="F162" s="175">
        <f t="shared" si="6"/>
        <v>13</v>
      </c>
      <c r="G162" s="175" t="str">
        <f t="shared" si="7"/>
        <v>Chillicothe</v>
      </c>
      <c r="H162" s="175" t="str">
        <f t="shared" si="8"/>
        <v>Chillicothe, OH</v>
      </c>
      <c r="I162" s="178" t="s">
        <v>2488</v>
      </c>
      <c r="J162" s="27" t="s">
        <v>517</v>
      </c>
      <c r="K162" s="27">
        <v>996</v>
      </c>
      <c r="L162" s="179">
        <v>5248</v>
      </c>
      <c r="M162" s="180" t="s">
        <v>2489</v>
      </c>
      <c r="N162" s="181" t="s">
        <v>386</v>
      </c>
      <c r="O162" s="182" t="s">
        <v>2490</v>
      </c>
    </row>
    <row r="163" spans="1:20" ht="12">
      <c r="A163" s="148"/>
      <c r="B163" s="174" t="s">
        <v>2491</v>
      </c>
      <c r="C163" s="175" t="s">
        <v>385</v>
      </c>
      <c r="D163" s="176" t="s">
        <v>386</v>
      </c>
      <c r="E163" s="177" t="s">
        <v>2492</v>
      </c>
      <c r="F163" s="175">
        <f t="shared" si="6"/>
        <v>12</v>
      </c>
      <c r="G163" s="175" t="str">
        <f t="shared" si="7"/>
        <v>Cincinnati</v>
      </c>
      <c r="H163" s="175" t="str">
        <f t="shared" si="8"/>
        <v>Cincinnati, OH</v>
      </c>
      <c r="I163" s="178" t="s">
        <v>2488</v>
      </c>
      <c r="J163" s="27" t="s">
        <v>517</v>
      </c>
      <c r="K163" s="27">
        <v>996</v>
      </c>
      <c r="L163" s="179">
        <v>5248</v>
      </c>
      <c r="M163" s="180" t="s">
        <v>2489</v>
      </c>
      <c r="N163" s="181" t="s">
        <v>386</v>
      </c>
      <c r="O163" s="182" t="s">
        <v>2490</v>
      </c>
    </row>
    <row r="164" spans="1:20" ht="12">
      <c r="A164" s="148"/>
      <c r="B164" s="174" t="s">
        <v>2493</v>
      </c>
      <c r="C164" s="175" t="s">
        <v>385</v>
      </c>
      <c r="D164" s="176" t="s">
        <v>386</v>
      </c>
      <c r="E164" s="177" t="s">
        <v>2492</v>
      </c>
      <c r="F164" s="175">
        <f t="shared" si="6"/>
        <v>12</v>
      </c>
      <c r="G164" s="175" t="str">
        <f t="shared" si="7"/>
        <v>Cincinnati</v>
      </c>
      <c r="H164" s="175" t="str">
        <f t="shared" si="8"/>
        <v>Cincinnati, OH</v>
      </c>
      <c r="I164" s="178" t="s">
        <v>2488</v>
      </c>
      <c r="J164" s="27" t="s">
        <v>517</v>
      </c>
      <c r="K164" s="27">
        <v>996</v>
      </c>
      <c r="L164" s="179">
        <v>5248</v>
      </c>
      <c r="M164" s="180" t="s">
        <v>2489</v>
      </c>
      <c r="N164" s="181" t="s">
        <v>386</v>
      </c>
      <c r="O164" s="182" t="s">
        <v>2490</v>
      </c>
    </row>
    <row r="165" spans="1:20" ht="12">
      <c r="A165" s="148"/>
      <c r="B165" s="174" t="s">
        <v>2494</v>
      </c>
      <c r="C165" s="175" t="s">
        <v>385</v>
      </c>
      <c r="D165" s="176" t="s">
        <v>386</v>
      </c>
      <c r="E165" s="177" t="s">
        <v>2492</v>
      </c>
      <c r="F165" s="175">
        <f t="shared" si="6"/>
        <v>12</v>
      </c>
      <c r="G165" s="175" t="str">
        <f t="shared" si="7"/>
        <v>Cincinnati</v>
      </c>
      <c r="H165" s="175" t="str">
        <f t="shared" si="8"/>
        <v>Cincinnati, OH</v>
      </c>
      <c r="I165" s="178" t="s">
        <v>2488</v>
      </c>
      <c r="J165" s="27" t="s">
        <v>517</v>
      </c>
      <c r="K165" s="27">
        <v>996</v>
      </c>
      <c r="L165" s="179">
        <v>5248</v>
      </c>
      <c r="M165" s="180" t="s">
        <v>2489</v>
      </c>
      <c r="N165" s="181" t="s">
        <v>386</v>
      </c>
      <c r="O165" s="182" t="s">
        <v>2490</v>
      </c>
    </row>
    <row r="166" spans="1:20" ht="12">
      <c r="A166" s="148"/>
      <c r="B166" s="186" t="s">
        <v>2495</v>
      </c>
      <c r="C166" s="175" t="s">
        <v>262</v>
      </c>
      <c r="D166" s="176" t="s">
        <v>263</v>
      </c>
      <c r="E166" s="177" t="s">
        <v>2496</v>
      </c>
      <c r="F166" s="175">
        <f t="shared" si="6"/>
        <v>11</v>
      </c>
      <c r="G166" s="175" t="str">
        <f t="shared" si="7"/>
        <v>Claremont</v>
      </c>
      <c r="H166" s="175" t="str">
        <f t="shared" si="8"/>
        <v>Claremont, NH</v>
      </c>
      <c r="I166" s="178" t="s">
        <v>1401</v>
      </c>
      <c r="J166" s="27" t="s">
        <v>1684</v>
      </c>
      <c r="K166" s="27">
        <v>388</v>
      </c>
      <c r="L166" s="179">
        <v>7771</v>
      </c>
      <c r="M166" s="180" t="s">
        <v>1402</v>
      </c>
      <c r="N166" s="181" t="s">
        <v>1684</v>
      </c>
      <c r="O166" s="182" t="s">
        <v>1403</v>
      </c>
    </row>
    <row r="167" spans="1:20" ht="12">
      <c r="A167" s="148"/>
      <c r="B167" s="174" t="s">
        <v>2497</v>
      </c>
      <c r="C167" s="175" t="s">
        <v>1678</v>
      </c>
      <c r="D167" s="176" t="s">
        <v>1591</v>
      </c>
      <c r="E167" s="177" t="s">
        <v>2498</v>
      </c>
      <c r="F167" s="175">
        <f t="shared" si="6"/>
        <v>12</v>
      </c>
      <c r="G167" s="175" t="str">
        <f t="shared" si="7"/>
        <v>Clarksburg</v>
      </c>
      <c r="H167" s="175" t="str">
        <f t="shared" si="8"/>
        <v>Clarksburg, WV</v>
      </c>
      <c r="I167" s="178" t="s">
        <v>2499</v>
      </c>
      <c r="J167" s="27" t="s">
        <v>1591</v>
      </c>
      <c r="K167" s="27">
        <v>346</v>
      </c>
      <c r="L167" s="179">
        <v>6120</v>
      </c>
      <c r="M167" s="180" t="s">
        <v>2500</v>
      </c>
      <c r="N167" s="181" t="s">
        <v>1591</v>
      </c>
      <c r="O167" s="182" t="s">
        <v>544</v>
      </c>
      <c r="S167" s="27"/>
      <c r="T167" s="27"/>
    </row>
    <row r="168" spans="1:20" ht="12">
      <c r="A168" s="148"/>
      <c r="B168" s="174" t="s">
        <v>545</v>
      </c>
      <c r="C168" s="175" t="s">
        <v>1678</v>
      </c>
      <c r="D168" s="176" t="s">
        <v>1591</v>
      </c>
      <c r="E168" s="177" t="s">
        <v>2498</v>
      </c>
      <c r="F168" s="175">
        <f t="shared" si="6"/>
        <v>12</v>
      </c>
      <c r="G168" s="175" t="str">
        <f t="shared" si="7"/>
        <v>Clarksburg</v>
      </c>
      <c r="H168" s="175" t="str">
        <f t="shared" si="8"/>
        <v>Clarksburg, WV</v>
      </c>
      <c r="I168" s="178" t="s">
        <v>2499</v>
      </c>
      <c r="J168" s="27" t="s">
        <v>1591</v>
      </c>
      <c r="K168" s="27">
        <v>346</v>
      </c>
      <c r="L168" s="179">
        <v>6120</v>
      </c>
      <c r="M168" s="180" t="s">
        <v>2500</v>
      </c>
      <c r="N168" s="181" t="s">
        <v>1591</v>
      </c>
      <c r="O168" s="182" t="s">
        <v>544</v>
      </c>
    </row>
    <row r="169" spans="1:20" ht="12">
      <c r="A169" s="148"/>
      <c r="B169" s="174" t="s">
        <v>546</v>
      </c>
      <c r="C169" s="175" t="s">
        <v>547</v>
      </c>
      <c r="D169" s="176" t="s">
        <v>1699</v>
      </c>
      <c r="E169" s="177" t="s">
        <v>548</v>
      </c>
      <c r="F169" s="175">
        <f t="shared" si="6"/>
        <v>11</v>
      </c>
      <c r="G169" s="175" t="str">
        <f t="shared" si="7"/>
        <v>Clarkston</v>
      </c>
      <c r="H169" s="175" t="str">
        <f t="shared" si="8"/>
        <v>Clarkston, WA</v>
      </c>
      <c r="I169" s="178" t="s">
        <v>549</v>
      </c>
      <c r="J169" s="27" t="s">
        <v>1695</v>
      </c>
      <c r="K169" s="27">
        <v>701</v>
      </c>
      <c r="L169" s="179">
        <v>5294</v>
      </c>
      <c r="M169" s="180" t="s">
        <v>1698</v>
      </c>
      <c r="N169" s="181" t="s">
        <v>1699</v>
      </c>
      <c r="O169" s="182" t="s">
        <v>1700</v>
      </c>
    </row>
    <row r="170" spans="1:20" ht="12">
      <c r="A170" s="148"/>
      <c r="B170" s="174" t="s">
        <v>550</v>
      </c>
      <c r="C170" s="175" t="s">
        <v>624</v>
      </c>
      <c r="D170" s="176" t="s">
        <v>625</v>
      </c>
      <c r="E170" s="177" t="s">
        <v>551</v>
      </c>
      <c r="F170" s="175">
        <f t="shared" si="6"/>
        <v>12</v>
      </c>
      <c r="G170" s="175" t="str">
        <f t="shared" si="7"/>
        <v>Clearwater</v>
      </c>
      <c r="H170" s="175" t="str">
        <f t="shared" si="8"/>
        <v>Clearwater, FL</v>
      </c>
      <c r="I170" s="178" t="s">
        <v>627</v>
      </c>
      <c r="J170" s="27" t="s">
        <v>625</v>
      </c>
      <c r="K170" s="27">
        <v>3427</v>
      </c>
      <c r="L170" s="179">
        <v>725</v>
      </c>
      <c r="M170" s="178" t="s">
        <v>628</v>
      </c>
      <c r="N170" s="27" t="s">
        <v>625</v>
      </c>
      <c r="O170" s="182" t="s">
        <v>629</v>
      </c>
    </row>
    <row r="171" spans="1:20" ht="12">
      <c r="A171" s="148"/>
      <c r="B171" s="174" t="s">
        <v>552</v>
      </c>
      <c r="C171" s="175" t="s">
        <v>385</v>
      </c>
      <c r="D171" s="176" t="s">
        <v>386</v>
      </c>
      <c r="E171" s="177" t="s">
        <v>553</v>
      </c>
      <c r="F171" s="175">
        <f t="shared" si="6"/>
        <v>11</v>
      </c>
      <c r="G171" s="175" t="str">
        <f t="shared" si="7"/>
        <v>Cleveland</v>
      </c>
      <c r="H171" s="175" t="str">
        <f t="shared" si="8"/>
        <v>Cleveland, OH</v>
      </c>
      <c r="I171" s="178" t="s">
        <v>554</v>
      </c>
      <c r="J171" s="27" t="s">
        <v>386</v>
      </c>
      <c r="K171" s="27">
        <v>621</v>
      </c>
      <c r="L171" s="179">
        <v>6201</v>
      </c>
      <c r="M171" s="178" t="s">
        <v>555</v>
      </c>
      <c r="N171" s="27" t="s">
        <v>386</v>
      </c>
      <c r="O171" s="182" t="s">
        <v>556</v>
      </c>
    </row>
    <row r="172" spans="1:20" ht="12">
      <c r="A172" s="148"/>
      <c r="B172" s="174" t="s">
        <v>557</v>
      </c>
      <c r="C172" s="175" t="s">
        <v>385</v>
      </c>
      <c r="D172" s="176" t="s">
        <v>386</v>
      </c>
      <c r="E172" s="177" t="s">
        <v>553</v>
      </c>
      <c r="F172" s="175">
        <f t="shared" si="6"/>
        <v>11</v>
      </c>
      <c r="G172" s="175" t="str">
        <f t="shared" si="7"/>
        <v>Cleveland</v>
      </c>
      <c r="H172" s="175" t="str">
        <f t="shared" si="8"/>
        <v>Cleveland, OH</v>
      </c>
      <c r="I172" s="178" t="s">
        <v>554</v>
      </c>
      <c r="J172" s="27" t="s">
        <v>386</v>
      </c>
      <c r="K172" s="27">
        <v>621</v>
      </c>
      <c r="L172" s="179">
        <v>6201</v>
      </c>
      <c r="M172" s="178" t="s">
        <v>555</v>
      </c>
      <c r="N172" s="27" t="s">
        <v>386</v>
      </c>
      <c r="O172" s="182" t="s">
        <v>556</v>
      </c>
    </row>
    <row r="173" spans="1:20" ht="12">
      <c r="A173" s="148"/>
      <c r="B173" s="174" t="s">
        <v>558</v>
      </c>
      <c r="C173" s="175" t="s">
        <v>500</v>
      </c>
      <c r="D173" s="176" t="s">
        <v>501</v>
      </c>
      <c r="E173" s="177" t="s">
        <v>559</v>
      </c>
      <c r="F173" s="175">
        <f t="shared" si="6"/>
        <v>9</v>
      </c>
      <c r="G173" s="175" t="str">
        <f t="shared" si="7"/>
        <v>Clinton</v>
      </c>
      <c r="H173" s="175" t="str">
        <f t="shared" si="8"/>
        <v>Clinton, OK</v>
      </c>
      <c r="I173" s="178" t="s">
        <v>560</v>
      </c>
      <c r="J173" s="27" t="s">
        <v>501</v>
      </c>
      <c r="K173" s="27">
        <v>1859</v>
      </c>
      <c r="L173" s="179">
        <v>3659</v>
      </c>
      <c r="M173" s="180" t="s">
        <v>652</v>
      </c>
      <c r="N173" s="181" t="s">
        <v>501</v>
      </c>
      <c r="O173" s="182" t="s">
        <v>653</v>
      </c>
    </row>
    <row r="174" spans="1:20" ht="12">
      <c r="A174" s="148"/>
      <c r="B174" s="174" t="s">
        <v>654</v>
      </c>
      <c r="C174" s="175" t="s">
        <v>415</v>
      </c>
      <c r="D174" s="176" t="s">
        <v>416</v>
      </c>
      <c r="E174" s="177" t="s">
        <v>655</v>
      </c>
      <c r="F174" s="175">
        <f t="shared" si="6"/>
        <v>8</v>
      </c>
      <c r="G174" s="175" t="str">
        <f t="shared" si="7"/>
        <v>Clovis</v>
      </c>
      <c r="H174" s="175" t="str">
        <f t="shared" si="8"/>
        <v>Clovis, NM</v>
      </c>
      <c r="I174" s="178" t="s">
        <v>656</v>
      </c>
      <c r="J174" s="27" t="s">
        <v>416</v>
      </c>
      <c r="K174" s="27">
        <v>772</v>
      </c>
      <c r="L174" s="179">
        <v>5064</v>
      </c>
      <c r="M174" s="180" t="s">
        <v>271</v>
      </c>
      <c r="N174" s="181" t="s">
        <v>255</v>
      </c>
      <c r="O174" s="182" t="s">
        <v>272</v>
      </c>
    </row>
    <row r="175" spans="1:20" ht="12">
      <c r="A175" s="148"/>
      <c r="B175" s="174" t="s">
        <v>657</v>
      </c>
      <c r="C175" s="175" t="s">
        <v>2374</v>
      </c>
      <c r="D175" s="176" t="s">
        <v>2375</v>
      </c>
      <c r="E175" s="177" t="s">
        <v>658</v>
      </c>
      <c r="F175" s="175">
        <f t="shared" si="6"/>
        <v>15</v>
      </c>
      <c r="G175" s="175" t="str">
        <f t="shared" si="7"/>
        <v>Coeur D'Alene</v>
      </c>
      <c r="H175" s="175" t="str">
        <f t="shared" si="8"/>
        <v>Coeur D'Alene, ID</v>
      </c>
      <c r="I175" s="178" t="s">
        <v>1563</v>
      </c>
      <c r="J175" s="27" t="s">
        <v>1699</v>
      </c>
      <c r="K175" s="27">
        <v>398</v>
      </c>
      <c r="L175" s="179">
        <v>6842</v>
      </c>
      <c r="M175" s="180" t="s">
        <v>1564</v>
      </c>
      <c r="N175" s="181" t="s">
        <v>1699</v>
      </c>
      <c r="O175" s="182" t="s">
        <v>1565</v>
      </c>
    </row>
    <row r="176" spans="1:20" ht="12">
      <c r="A176" s="148"/>
      <c r="B176" s="174" t="s">
        <v>1566</v>
      </c>
      <c r="C176" s="175" t="s">
        <v>1567</v>
      </c>
      <c r="D176" s="176" t="s">
        <v>1568</v>
      </c>
      <c r="E176" s="177" t="s">
        <v>1569</v>
      </c>
      <c r="F176" s="175">
        <f t="shared" si="6"/>
        <v>7</v>
      </c>
      <c r="G176" s="175" t="str">
        <f t="shared" si="7"/>
        <v>Colby</v>
      </c>
      <c r="H176" s="175" t="str">
        <f t="shared" si="8"/>
        <v>Colby, KS</v>
      </c>
      <c r="I176" s="178" t="s">
        <v>1570</v>
      </c>
      <c r="J176" s="27" t="s">
        <v>1568</v>
      </c>
      <c r="K176" s="27">
        <v>859</v>
      </c>
      <c r="L176" s="179">
        <v>5974</v>
      </c>
      <c r="M176" s="180" t="s">
        <v>1571</v>
      </c>
      <c r="N176" s="181" t="s">
        <v>1568</v>
      </c>
      <c r="O176" s="182" t="s">
        <v>1572</v>
      </c>
    </row>
    <row r="177" spans="1:15" ht="12">
      <c r="A177" s="148"/>
      <c r="B177" s="174" t="s">
        <v>1573</v>
      </c>
      <c r="C177" s="175" t="s">
        <v>393</v>
      </c>
      <c r="D177" s="176" t="s">
        <v>394</v>
      </c>
      <c r="E177" s="177" t="s">
        <v>1574</v>
      </c>
      <c r="F177" s="175">
        <f t="shared" si="6"/>
        <v>18</v>
      </c>
      <c r="G177" s="175" t="str">
        <f t="shared" si="7"/>
        <v>Colorado Springs</v>
      </c>
      <c r="H177" s="175" t="str">
        <f t="shared" si="8"/>
        <v>Colorado Springs, CO</v>
      </c>
      <c r="I177" s="178" t="s">
        <v>1575</v>
      </c>
      <c r="J177" s="27" t="s">
        <v>394</v>
      </c>
      <c r="K177" s="27">
        <v>419</v>
      </c>
      <c r="L177" s="179">
        <v>6415</v>
      </c>
      <c r="M177" s="178" t="s">
        <v>397</v>
      </c>
      <c r="N177" s="27" t="s">
        <v>394</v>
      </c>
      <c r="O177" s="182" t="s">
        <v>398</v>
      </c>
    </row>
    <row r="178" spans="1:15" ht="12">
      <c r="A178" s="148"/>
      <c r="B178" s="174" t="s">
        <v>1576</v>
      </c>
      <c r="C178" s="175" t="s">
        <v>393</v>
      </c>
      <c r="D178" s="176" t="s">
        <v>394</v>
      </c>
      <c r="E178" s="177" t="s">
        <v>1574</v>
      </c>
      <c r="F178" s="175">
        <f t="shared" si="6"/>
        <v>18</v>
      </c>
      <c r="G178" s="175" t="str">
        <f t="shared" si="7"/>
        <v>Colorado Springs</v>
      </c>
      <c r="H178" s="175" t="str">
        <f t="shared" si="8"/>
        <v>Colorado Springs, CO</v>
      </c>
      <c r="I178" s="178" t="s">
        <v>1575</v>
      </c>
      <c r="J178" s="27" t="s">
        <v>394</v>
      </c>
      <c r="K178" s="27">
        <v>419</v>
      </c>
      <c r="L178" s="179">
        <v>6415</v>
      </c>
      <c r="M178" s="178" t="s">
        <v>397</v>
      </c>
      <c r="N178" s="27" t="s">
        <v>394</v>
      </c>
      <c r="O178" s="182" t="s">
        <v>398</v>
      </c>
    </row>
    <row r="179" spans="1:15" ht="12">
      <c r="A179" s="148"/>
      <c r="B179" s="174" t="s">
        <v>1577</v>
      </c>
      <c r="C179" s="175" t="s">
        <v>1438</v>
      </c>
      <c r="D179" s="176" t="s">
        <v>1439</v>
      </c>
      <c r="E179" s="177" t="s">
        <v>1578</v>
      </c>
      <c r="F179" s="175">
        <f t="shared" si="6"/>
        <v>10</v>
      </c>
      <c r="G179" s="175" t="str">
        <f t="shared" si="7"/>
        <v>Columbia</v>
      </c>
      <c r="H179" s="175" t="str">
        <f t="shared" si="8"/>
        <v>Columbia, MO</v>
      </c>
      <c r="I179" s="178" t="s">
        <v>1579</v>
      </c>
      <c r="J179" s="27" t="s">
        <v>1439</v>
      </c>
      <c r="K179" s="27">
        <v>1189</v>
      </c>
      <c r="L179" s="179">
        <v>5212</v>
      </c>
      <c r="M179" s="178" t="s">
        <v>1442</v>
      </c>
      <c r="N179" s="27" t="s">
        <v>1439</v>
      </c>
      <c r="O179" s="182" t="s">
        <v>1443</v>
      </c>
    </row>
    <row r="180" spans="1:15" ht="12">
      <c r="A180" s="148"/>
      <c r="B180" s="174" t="s">
        <v>1580</v>
      </c>
      <c r="C180" s="175" t="s">
        <v>274</v>
      </c>
      <c r="D180" s="176" t="s">
        <v>275</v>
      </c>
      <c r="E180" s="177" t="s">
        <v>1578</v>
      </c>
      <c r="F180" s="175">
        <f t="shared" si="6"/>
        <v>10</v>
      </c>
      <c r="G180" s="175" t="str">
        <f t="shared" si="7"/>
        <v>Columbia</v>
      </c>
      <c r="H180" s="175" t="str">
        <f t="shared" si="8"/>
        <v>Columbia, SC</v>
      </c>
      <c r="I180" s="178" t="s">
        <v>277</v>
      </c>
      <c r="J180" s="27" t="s">
        <v>275</v>
      </c>
      <c r="K180" s="27">
        <v>1966</v>
      </c>
      <c r="L180" s="179">
        <v>2649</v>
      </c>
      <c r="M180" s="178" t="s">
        <v>278</v>
      </c>
      <c r="N180" s="27" t="s">
        <v>275</v>
      </c>
      <c r="O180" s="182" t="s">
        <v>279</v>
      </c>
    </row>
    <row r="181" spans="1:15" ht="12">
      <c r="A181" s="148"/>
      <c r="B181" s="174" t="s">
        <v>1581</v>
      </c>
      <c r="C181" s="175" t="s">
        <v>274</v>
      </c>
      <c r="D181" s="176" t="s">
        <v>275</v>
      </c>
      <c r="E181" s="177" t="s">
        <v>1578</v>
      </c>
      <c r="F181" s="175">
        <f t="shared" si="6"/>
        <v>10</v>
      </c>
      <c r="G181" s="175" t="str">
        <f t="shared" si="7"/>
        <v>Columbia</v>
      </c>
      <c r="H181" s="175" t="str">
        <f t="shared" si="8"/>
        <v>Columbia, SC</v>
      </c>
      <c r="I181" s="178" t="s">
        <v>277</v>
      </c>
      <c r="J181" s="27" t="s">
        <v>275</v>
      </c>
      <c r="K181" s="27">
        <v>1966</v>
      </c>
      <c r="L181" s="179">
        <v>2649</v>
      </c>
      <c r="M181" s="178" t="s">
        <v>278</v>
      </c>
      <c r="N181" s="27" t="s">
        <v>275</v>
      </c>
      <c r="O181" s="182" t="s">
        <v>279</v>
      </c>
    </row>
    <row r="182" spans="1:15" ht="12">
      <c r="A182" s="148"/>
      <c r="B182" s="174" t="s">
        <v>1582</v>
      </c>
      <c r="C182" s="175" t="s">
        <v>274</v>
      </c>
      <c r="D182" s="176" t="s">
        <v>275</v>
      </c>
      <c r="E182" s="177" t="s">
        <v>1578</v>
      </c>
      <c r="F182" s="175">
        <f t="shared" si="6"/>
        <v>10</v>
      </c>
      <c r="G182" s="175" t="str">
        <f t="shared" si="7"/>
        <v>Columbia</v>
      </c>
      <c r="H182" s="175" t="str">
        <f t="shared" si="8"/>
        <v>Columbia, SC</v>
      </c>
      <c r="I182" s="178" t="s">
        <v>277</v>
      </c>
      <c r="J182" s="27" t="s">
        <v>275</v>
      </c>
      <c r="K182" s="27">
        <v>1966</v>
      </c>
      <c r="L182" s="179">
        <v>2649</v>
      </c>
      <c r="M182" s="178" t="s">
        <v>278</v>
      </c>
      <c r="N182" s="27" t="s">
        <v>275</v>
      </c>
      <c r="O182" s="182" t="s">
        <v>279</v>
      </c>
    </row>
    <row r="183" spans="1:15" ht="12">
      <c r="A183" s="148"/>
      <c r="B183" s="174" t="s">
        <v>1583</v>
      </c>
      <c r="C183" s="175" t="s">
        <v>2457</v>
      </c>
      <c r="D183" s="176" t="s">
        <v>476</v>
      </c>
      <c r="E183" s="177" t="s">
        <v>1578</v>
      </c>
      <c r="F183" s="175">
        <f t="shared" si="6"/>
        <v>10</v>
      </c>
      <c r="G183" s="175" t="str">
        <f t="shared" si="7"/>
        <v>Columbia</v>
      </c>
      <c r="H183" s="175" t="str">
        <f t="shared" si="8"/>
        <v>Columbia, TN</v>
      </c>
      <c r="I183" s="178" t="s">
        <v>1584</v>
      </c>
      <c r="J183" s="27" t="s">
        <v>476</v>
      </c>
      <c r="K183" s="27">
        <v>1616</v>
      </c>
      <c r="L183" s="179">
        <v>3729</v>
      </c>
      <c r="M183" s="180" t="s">
        <v>1585</v>
      </c>
      <c r="N183" s="181" t="s">
        <v>476</v>
      </c>
      <c r="O183" s="182" t="s">
        <v>577</v>
      </c>
    </row>
    <row r="184" spans="1:15" ht="12">
      <c r="A184" s="148"/>
      <c r="B184" s="174" t="s">
        <v>578</v>
      </c>
      <c r="C184" s="175" t="s">
        <v>400</v>
      </c>
      <c r="D184" s="176" t="s">
        <v>401</v>
      </c>
      <c r="E184" s="177" t="s">
        <v>579</v>
      </c>
      <c r="F184" s="175">
        <f t="shared" si="6"/>
        <v>10</v>
      </c>
      <c r="G184" s="175" t="str">
        <f t="shared" si="7"/>
        <v>Columbus</v>
      </c>
      <c r="H184" s="175" t="str">
        <f t="shared" si="8"/>
        <v>Columbus, GA</v>
      </c>
      <c r="I184" s="178" t="s">
        <v>580</v>
      </c>
      <c r="J184" s="27" t="s">
        <v>401</v>
      </c>
      <c r="K184" s="27">
        <v>2125</v>
      </c>
      <c r="L184" s="179">
        <v>2334</v>
      </c>
      <c r="M184" s="180" t="s">
        <v>404</v>
      </c>
      <c r="N184" s="181" t="s">
        <v>401</v>
      </c>
      <c r="O184" s="182" t="s">
        <v>405</v>
      </c>
    </row>
    <row r="185" spans="1:15" ht="12">
      <c r="A185" s="148"/>
      <c r="B185" s="174" t="s">
        <v>581</v>
      </c>
      <c r="C185" s="175" t="s">
        <v>400</v>
      </c>
      <c r="D185" s="176" t="s">
        <v>401</v>
      </c>
      <c r="E185" s="177" t="s">
        <v>579</v>
      </c>
      <c r="F185" s="175">
        <f t="shared" si="6"/>
        <v>10</v>
      </c>
      <c r="G185" s="175" t="str">
        <f t="shared" si="7"/>
        <v>Columbus</v>
      </c>
      <c r="H185" s="175" t="str">
        <f t="shared" si="8"/>
        <v>Columbus, GA</v>
      </c>
      <c r="I185" s="178" t="s">
        <v>403</v>
      </c>
      <c r="J185" s="27" t="s">
        <v>401</v>
      </c>
      <c r="K185" s="27">
        <v>2284</v>
      </c>
      <c r="L185" s="179">
        <v>2261</v>
      </c>
      <c r="M185" s="180" t="s">
        <v>404</v>
      </c>
      <c r="N185" s="181" t="s">
        <v>401</v>
      </c>
      <c r="O185" s="182" t="s">
        <v>405</v>
      </c>
    </row>
    <row r="186" spans="1:15" ht="12">
      <c r="A186" s="148"/>
      <c r="B186" s="174" t="s">
        <v>582</v>
      </c>
      <c r="C186" s="175" t="s">
        <v>2363</v>
      </c>
      <c r="D186" s="176" t="s">
        <v>2364</v>
      </c>
      <c r="E186" s="177" t="s">
        <v>579</v>
      </c>
      <c r="F186" s="175">
        <f t="shared" si="6"/>
        <v>10</v>
      </c>
      <c r="G186" s="175" t="str">
        <f t="shared" si="7"/>
        <v>Columbus</v>
      </c>
      <c r="H186" s="175" t="str">
        <f t="shared" si="8"/>
        <v>Columbus, IN</v>
      </c>
      <c r="I186" s="178" t="s">
        <v>2365</v>
      </c>
      <c r="J186" s="27" t="s">
        <v>2364</v>
      </c>
      <c r="K186" s="27">
        <v>1014</v>
      </c>
      <c r="L186" s="179">
        <v>5615</v>
      </c>
      <c r="M186" s="178" t="s">
        <v>2366</v>
      </c>
      <c r="N186" s="27" t="s">
        <v>2364</v>
      </c>
      <c r="O186" s="182" t="s">
        <v>2367</v>
      </c>
    </row>
    <row r="187" spans="1:15" ht="12">
      <c r="A187" s="148"/>
      <c r="B187" s="174" t="s">
        <v>583</v>
      </c>
      <c r="C187" s="175" t="s">
        <v>584</v>
      </c>
      <c r="D187" s="176" t="s">
        <v>1407</v>
      </c>
      <c r="E187" s="177" t="s">
        <v>579</v>
      </c>
      <c r="F187" s="175">
        <f t="shared" si="6"/>
        <v>10</v>
      </c>
      <c r="G187" s="175" t="str">
        <f t="shared" si="7"/>
        <v>Columbus</v>
      </c>
      <c r="H187" s="175" t="str">
        <f t="shared" si="8"/>
        <v>Columbus, MS</v>
      </c>
      <c r="I187" s="178" t="s">
        <v>496</v>
      </c>
      <c r="J187" s="27" t="s">
        <v>494</v>
      </c>
      <c r="K187" s="27">
        <v>1797</v>
      </c>
      <c r="L187" s="179">
        <v>2918</v>
      </c>
      <c r="M187" s="180" t="s">
        <v>497</v>
      </c>
      <c r="N187" s="181" t="s">
        <v>494</v>
      </c>
      <c r="O187" s="182" t="s">
        <v>498</v>
      </c>
    </row>
    <row r="188" spans="1:15" ht="12">
      <c r="A188" s="148"/>
      <c r="B188" s="174" t="s">
        <v>585</v>
      </c>
      <c r="C188" s="175" t="s">
        <v>447</v>
      </c>
      <c r="D188" s="176" t="s">
        <v>448</v>
      </c>
      <c r="E188" s="177" t="s">
        <v>579</v>
      </c>
      <c r="F188" s="175">
        <f t="shared" si="6"/>
        <v>10</v>
      </c>
      <c r="G188" s="175" t="str">
        <f t="shared" si="7"/>
        <v>Columbus</v>
      </c>
      <c r="H188" s="175" t="str">
        <f t="shared" si="8"/>
        <v>Columbus, NE</v>
      </c>
      <c r="I188" s="178" t="s">
        <v>586</v>
      </c>
      <c r="J188" s="27" t="s">
        <v>448</v>
      </c>
      <c r="K188" s="27">
        <v>997</v>
      </c>
      <c r="L188" s="179">
        <v>6421</v>
      </c>
      <c r="M188" s="180" t="s">
        <v>587</v>
      </c>
      <c r="N188" s="181" t="s">
        <v>448</v>
      </c>
      <c r="O188" s="182" t="s">
        <v>588</v>
      </c>
    </row>
    <row r="189" spans="1:15" ht="12">
      <c r="A189" s="148"/>
      <c r="B189" s="174" t="s">
        <v>589</v>
      </c>
      <c r="C189" s="175" t="s">
        <v>385</v>
      </c>
      <c r="D189" s="176" t="s">
        <v>386</v>
      </c>
      <c r="E189" s="177" t="s">
        <v>579</v>
      </c>
      <c r="F189" s="175">
        <f t="shared" si="6"/>
        <v>10</v>
      </c>
      <c r="G189" s="175" t="str">
        <f t="shared" si="7"/>
        <v>Columbus</v>
      </c>
      <c r="H189" s="175" t="str">
        <f t="shared" si="8"/>
        <v>Columbus, OH</v>
      </c>
      <c r="I189" s="178" t="s">
        <v>1600</v>
      </c>
      <c r="J189" s="27" t="s">
        <v>386</v>
      </c>
      <c r="K189" s="27">
        <v>797</v>
      </c>
      <c r="L189" s="179">
        <v>5708</v>
      </c>
      <c r="M189" s="180" t="s">
        <v>404</v>
      </c>
      <c r="N189" s="181" t="s">
        <v>386</v>
      </c>
      <c r="O189" s="182" t="s">
        <v>1601</v>
      </c>
    </row>
    <row r="190" spans="1:15" ht="12">
      <c r="A190" s="148"/>
      <c r="B190" s="174" t="s">
        <v>590</v>
      </c>
      <c r="C190" s="175" t="s">
        <v>385</v>
      </c>
      <c r="D190" s="176" t="s">
        <v>386</v>
      </c>
      <c r="E190" s="177" t="s">
        <v>579</v>
      </c>
      <c r="F190" s="175">
        <f t="shared" si="6"/>
        <v>10</v>
      </c>
      <c r="G190" s="175" t="str">
        <f t="shared" si="7"/>
        <v>Columbus</v>
      </c>
      <c r="H190" s="175" t="str">
        <f t="shared" si="8"/>
        <v>Columbus, OH</v>
      </c>
      <c r="I190" s="178" t="s">
        <v>1600</v>
      </c>
      <c r="J190" s="27" t="s">
        <v>386</v>
      </c>
      <c r="K190" s="27">
        <v>797</v>
      </c>
      <c r="L190" s="179">
        <v>5708</v>
      </c>
      <c r="M190" s="180" t="s">
        <v>404</v>
      </c>
      <c r="N190" s="181" t="s">
        <v>386</v>
      </c>
      <c r="O190" s="182" t="s">
        <v>1601</v>
      </c>
    </row>
    <row r="191" spans="1:15" ht="12">
      <c r="A191" s="148"/>
      <c r="B191" s="174" t="s">
        <v>591</v>
      </c>
      <c r="C191" s="175" t="s">
        <v>385</v>
      </c>
      <c r="D191" s="176" t="s">
        <v>386</v>
      </c>
      <c r="E191" s="177" t="s">
        <v>579</v>
      </c>
      <c r="F191" s="175">
        <f t="shared" si="6"/>
        <v>10</v>
      </c>
      <c r="G191" s="175" t="str">
        <f t="shared" si="7"/>
        <v>Columbus</v>
      </c>
      <c r="H191" s="175" t="str">
        <f t="shared" si="8"/>
        <v>Columbus, OH</v>
      </c>
      <c r="I191" s="178" t="s">
        <v>1600</v>
      </c>
      <c r="J191" s="27" t="s">
        <v>386</v>
      </c>
      <c r="K191" s="27">
        <v>797</v>
      </c>
      <c r="L191" s="179">
        <v>5708</v>
      </c>
      <c r="M191" s="180" t="s">
        <v>404</v>
      </c>
      <c r="N191" s="181" t="s">
        <v>386</v>
      </c>
      <c r="O191" s="182" t="s">
        <v>1601</v>
      </c>
    </row>
    <row r="192" spans="1:15" ht="12">
      <c r="A192" s="148"/>
      <c r="B192" s="174" t="s">
        <v>592</v>
      </c>
      <c r="C192" s="175" t="s">
        <v>433</v>
      </c>
      <c r="D192" s="176" t="s">
        <v>434</v>
      </c>
      <c r="E192" s="177" t="s">
        <v>593</v>
      </c>
      <c r="F192" s="175">
        <f t="shared" si="6"/>
        <v>9</v>
      </c>
      <c r="G192" s="175" t="str">
        <f t="shared" si="7"/>
        <v>Concord</v>
      </c>
      <c r="H192" s="175" t="str">
        <f t="shared" si="8"/>
        <v>Concord, CA</v>
      </c>
      <c r="I192" s="178" t="s">
        <v>594</v>
      </c>
      <c r="J192" s="27" t="s">
        <v>434</v>
      </c>
      <c r="K192" s="27">
        <v>1237</v>
      </c>
      <c r="L192" s="179">
        <v>2749</v>
      </c>
      <c r="M192" s="178" t="s">
        <v>595</v>
      </c>
      <c r="N192" s="27" t="s">
        <v>434</v>
      </c>
      <c r="O192" s="182" t="s">
        <v>596</v>
      </c>
    </row>
    <row r="193" spans="1:20" ht="12">
      <c r="A193" s="148"/>
      <c r="B193" s="186" t="s">
        <v>597</v>
      </c>
      <c r="C193" s="175" t="s">
        <v>262</v>
      </c>
      <c r="D193" s="176" t="s">
        <v>263</v>
      </c>
      <c r="E193" s="177" t="s">
        <v>593</v>
      </c>
      <c r="F193" s="175">
        <f t="shared" si="6"/>
        <v>9</v>
      </c>
      <c r="G193" s="175" t="str">
        <f t="shared" si="7"/>
        <v>Concord</v>
      </c>
      <c r="H193" s="175" t="str">
        <f t="shared" si="8"/>
        <v>Concord, NH</v>
      </c>
      <c r="I193" s="178" t="s">
        <v>265</v>
      </c>
      <c r="J193" s="27" t="s">
        <v>263</v>
      </c>
      <c r="K193" s="27">
        <v>328</v>
      </c>
      <c r="L193" s="179">
        <v>7554</v>
      </c>
      <c r="M193" s="180" t="s">
        <v>266</v>
      </c>
      <c r="N193" s="181" t="s">
        <v>263</v>
      </c>
      <c r="O193" s="182" t="s">
        <v>267</v>
      </c>
    </row>
    <row r="194" spans="1:20" ht="12">
      <c r="A194" s="148"/>
      <c r="B194" s="174" t="s">
        <v>598</v>
      </c>
      <c r="C194" s="175" t="s">
        <v>1567</v>
      </c>
      <c r="D194" s="176" t="s">
        <v>1568</v>
      </c>
      <c r="E194" s="177" t="s">
        <v>599</v>
      </c>
      <c r="F194" s="175">
        <f t="shared" si="6"/>
        <v>11</v>
      </c>
      <c r="G194" s="175" t="str">
        <f t="shared" si="7"/>
        <v>Concordia</v>
      </c>
      <c r="H194" s="175" t="str">
        <f t="shared" si="8"/>
        <v>Concordia, KS</v>
      </c>
      <c r="I194" s="178" t="s">
        <v>600</v>
      </c>
      <c r="J194" s="27" t="s">
        <v>1568</v>
      </c>
      <c r="K194" s="27">
        <v>1317</v>
      </c>
      <c r="L194" s="179">
        <v>5574</v>
      </c>
      <c r="M194" s="180" t="s">
        <v>601</v>
      </c>
      <c r="N194" s="181" t="s">
        <v>1568</v>
      </c>
      <c r="O194" s="182" t="s">
        <v>602</v>
      </c>
    </row>
    <row r="195" spans="1:20" ht="12">
      <c r="A195" s="148"/>
      <c r="B195" s="174" t="s">
        <v>1713</v>
      </c>
      <c r="C195" s="175" t="s">
        <v>254</v>
      </c>
      <c r="D195" s="176" t="s">
        <v>255</v>
      </c>
      <c r="E195" s="177" t="s">
        <v>1714</v>
      </c>
      <c r="F195" s="175">
        <f t="shared" si="6"/>
        <v>8</v>
      </c>
      <c r="G195" s="175" t="str">
        <f t="shared" si="7"/>
        <v>Conroe</v>
      </c>
      <c r="H195" s="175" t="str">
        <f t="shared" si="8"/>
        <v>Conroe, TX</v>
      </c>
      <c r="I195" s="178" t="s">
        <v>1715</v>
      </c>
      <c r="J195" s="27" t="s">
        <v>255</v>
      </c>
      <c r="K195" s="27">
        <v>2700</v>
      </c>
      <c r="L195" s="179">
        <v>1599</v>
      </c>
      <c r="M195" s="180" t="s">
        <v>1674</v>
      </c>
      <c r="N195" s="181" t="s">
        <v>255</v>
      </c>
      <c r="O195" s="182" t="s">
        <v>1675</v>
      </c>
    </row>
    <row r="196" spans="1:20" ht="12">
      <c r="A196" s="148"/>
      <c r="B196" s="174" t="s">
        <v>1716</v>
      </c>
      <c r="C196" s="175" t="s">
        <v>2457</v>
      </c>
      <c r="D196" s="176" t="s">
        <v>476</v>
      </c>
      <c r="E196" s="177" t="s">
        <v>1717</v>
      </c>
      <c r="F196" s="175">
        <f t="shared" si="6"/>
        <v>12</v>
      </c>
      <c r="G196" s="175" t="str">
        <f t="shared" si="7"/>
        <v>Cookeville</v>
      </c>
      <c r="H196" s="175" t="str">
        <f t="shared" si="8"/>
        <v>Cookeville, TN</v>
      </c>
      <c r="I196" s="178" t="s">
        <v>1584</v>
      </c>
      <c r="J196" s="27" t="s">
        <v>476</v>
      </c>
      <c r="K196" s="27">
        <v>1616</v>
      </c>
      <c r="L196" s="179">
        <v>3729</v>
      </c>
      <c r="M196" s="180" t="s">
        <v>1585</v>
      </c>
      <c r="N196" s="181" t="s">
        <v>476</v>
      </c>
      <c r="O196" s="182" t="s">
        <v>577</v>
      </c>
    </row>
    <row r="197" spans="1:20" ht="12">
      <c r="A197" s="148"/>
      <c r="B197" s="174" t="s">
        <v>1718</v>
      </c>
      <c r="C197" s="175" t="s">
        <v>516</v>
      </c>
      <c r="D197" s="176" t="s">
        <v>517</v>
      </c>
      <c r="E197" s="177" t="s">
        <v>1719</v>
      </c>
      <c r="F197" s="175">
        <f t="shared" si="6"/>
        <v>8</v>
      </c>
      <c r="G197" s="175" t="str">
        <f t="shared" si="7"/>
        <v>Corbin</v>
      </c>
      <c r="H197" s="175" t="str">
        <f t="shared" si="8"/>
        <v>Corbin, KY</v>
      </c>
      <c r="I197" s="178" t="s">
        <v>475</v>
      </c>
      <c r="J197" s="27" t="s">
        <v>476</v>
      </c>
      <c r="K197" s="27">
        <v>1266</v>
      </c>
      <c r="L197" s="179">
        <v>3937</v>
      </c>
      <c r="M197" s="180" t="s">
        <v>477</v>
      </c>
      <c r="N197" s="181" t="s">
        <v>476</v>
      </c>
      <c r="O197" s="182" t="s">
        <v>478</v>
      </c>
    </row>
    <row r="198" spans="1:20" ht="12">
      <c r="A198" s="148"/>
      <c r="B198" s="174" t="s">
        <v>1720</v>
      </c>
      <c r="C198" s="175" t="s">
        <v>254</v>
      </c>
      <c r="D198" s="176" t="s">
        <v>255</v>
      </c>
      <c r="E198" s="177" t="s">
        <v>1721</v>
      </c>
      <c r="F198" s="175">
        <f t="shared" ref="F198:F261" si="9">LEN(E198)</f>
        <v>16</v>
      </c>
      <c r="G198" s="175" t="str">
        <f t="shared" ref="G198:G261" si="10">MID(E198,2,F198-2)</f>
        <v>Corpus Christi</v>
      </c>
      <c r="H198" s="175" t="str">
        <f t="shared" ref="H198:H261" si="11">CONCATENATE(G198,", ",+D198)</f>
        <v>Corpus Christi, TX</v>
      </c>
      <c r="I198" s="178" t="s">
        <v>1722</v>
      </c>
      <c r="J198" s="27" t="s">
        <v>255</v>
      </c>
      <c r="K198" s="27">
        <v>3439</v>
      </c>
      <c r="L198" s="179">
        <v>1016</v>
      </c>
      <c r="M198" s="180" t="s">
        <v>1723</v>
      </c>
      <c r="N198" s="181" t="s">
        <v>255</v>
      </c>
      <c r="O198" s="182" t="s">
        <v>1724</v>
      </c>
      <c r="P198" s="26"/>
      <c r="Q198" s="27"/>
      <c r="R198" s="183"/>
      <c r="S198" s="27"/>
      <c r="T198" s="27"/>
    </row>
    <row r="199" spans="1:20" ht="12">
      <c r="A199" s="148"/>
      <c r="B199" s="174" t="s">
        <v>1725</v>
      </c>
      <c r="C199" s="175" t="s">
        <v>254</v>
      </c>
      <c r="D199" s="176" t="s">
        <v>255</v>
      </c>
      <c r="E199" s="177" t="s">
        <v>1721</v>
      </c>
      <c r="F199" s="175">
        <f t="shared" si="9"/>
        <v>16</v>
      </c>
      <c r="G199" s="175" t="str">
        <f t="shared" si="10"/>
        <v>Corpus Christi</v>
      </c>
      <c r="H199" s="175" t="str">
        <f t="shared" si="11"/>
        <v>Corpus Christi, TX</v>
      </c>
      <c r="I199" s="178" t="s">
        <v>1722</v>
      </c>
      <c r="J199" s="27" t="s">
        <v>255</v>
      </c>
      <c r="K199" s="27">
        <v>3439</v>
      </c>
      <c r="L199" s="179">
        <v>1016</v>
      </c>
      <c r="M199" s="180" t="s">
        <v>1723</v>
      </c>
      <c r="N199" s="181" t="s">
        <v>255</v>
      </c>
      <c r="O199" s="182" t="s">
        <v>1724</v>
      </c>
    </row>
    <row r="200" spans="1:20" ht="12">
      <c r="A200" s="148"/>
      <c r="B200" s="174" t="s">
        <v>1726</v>
      </c>
      <c r="C200" s="175" t="s">
        <v>1394</v>
      </c>
      <c r="D200" s="176" t="s">
        <v>1395</v>
      </c>
      <c r="E200" s="177" t="s">
        <v>1727</v>
      </c>
      <c r="F200" s="175">
        <f t="shared" si="9"/>
        <v>16</v>
      </c>
      <c r="G200" s="175" t="str">
        <f t="shared" si="10"/>
        <v>Council Bluffs</v>
      </c>
      <c r="H200" s="175" t="str">
        <f t="shared" si="11"/>
        <v>Council Bluffs, IA</v>
      </c>
      <c r="I200" s="178" t="s">
        <v>1728</v>
      </c>
      <c r="J200" s="27" t="s">
        <v>448</v>
      </c>
      <c r="K200" s="27">
        <v>1037</v>
      </c>
      <c r="L200" s="179">
        <v>6413</v>
      </c>
      <c r="M200" s="180" t="s">
        <v>1729</v>
      </c>
      <c r="N200" s="181" t="s">
        <v>448</v>
      </c>
      <c r="O200" s="182" t="s">
        <v>1730</v>
      </c>
    </row>
    <row r="201" spans="1:20" ht="12">
      <c r="A201" s="148"/>
      <c r="B201" s="174" t="s">
        <v>1731</v>
      </c>
      <c r="C201" s="175" t="s">
        <v>433</v>
      </c>
      <c r="D201" s="176" t="s">
        <v>434</v>
      </c>
      <c r="E201" s="177" t="s">
        <v>1732</v>
      </c>
      <c r="F201" s="175">
        <f t="shared" si="9"/>
        <v>8</v>
      </c>
      <c r="G201" s="175" t="str">
        <f t="shared" si="10"/>
        <v>Covina</v>
      </c>
      <c r="H201" s="175" t="str">
        <f t="shared" si="11"/>
        <v>Covina, CA</v>
      </c>
      <c r="I201" s="178" t="s">
        <v>462</v>
      </c>
      <c r="J201" s="27" t="s">
        <v>434</v>
      </c>
      <c r="K201" s="27">
        <v>1201</v>
      </c>
      <c r="L201" s="179">
        <v>1430</v>
      </c>
      <c r="M201" s="178" t="s">
        <v>437</v>
      </c>
      <c r="N201" s="27" t="s">
        <v>434</v>
      </c>
      <c r="O201" s="182" t="s">
        <v>438</v>
      </c>
    </row>
    <row r="202" spans="1:20" ht="12">
      <c r="A202" s="148"/>
      <c r="B202" s="174" t="s">
        <v>1733</v>
      </c>
      <c r="C202" s="175" t="s">
        <v>1394</v>
      </c>
      <c r="D202" s="176" t="s">
        <v>1395</v>
      </c>
      <c r="E202" s="177" t="s">
        <v>1734</v>
      </c>
      <c r="F202" s="175">
        <f t="shared" si="9"/>
        <v>9</v>
      </c>
      <c r="G202" s="175" t="str">
        <f t="shared" si="10"/>
        <v>Creston</v>
      </c>
      <c r="H202" s="175" t="str">
        <f t="shared" si="11"/>
        <v>Creston, IA</v>
      </c>
      <c r="I202" s="178" t="s">
        <v>2421</v>
      </c>
      <c r="J202" s="27" t="s">
        <v>1395</v>
      </c>
      <c r="K202" s="27">
        <v>1036</v>
      </c>
      <c r="L202" s="179">
        <v>6497</v>
      </c>
      <c r="M202" s="180" t="s">
        <v>1398</v>
      </c>
      <c r="N202" s="181" t="s">
        <v>1395</v>
      </c>
      <c r="O202" s="182" t="s">
        <v>1399</v>
      </c>
    </row>
    <row r="203" spans="1:20" ht="12">
      <c r="A203" s="148"/>
      <c r="B203" s="174" t="s">
        <v>1735</v>
      </c>
      <c r="C203" s="175" t="s">
        <v>425</v>
      </c>
      <c r="D203" s="176" t="s">
        <v>426</v>
      </c>
      <c r="E203" s="177" t="s">
        <v>1736</v>
      </c>
      <c r="F203" s="175">
        <f t="shared" si="9"/>
        <v>10</v>
      </c>
      <c r="G203" s="175" t="str">
        <f t="shared" si="10"/>
        <v>Culpeper</v>
      </c>
      <c r="H203" s="175" t="str">
        <f t="shared" si="11"/>
        <v>Culpeper, VA</v>
      </c>
      <c r="I203" s="178" t="s">
        <v>1737</v>
      </c>
      <c r="J203" s="27" t="s">
        <v>428</v>
      </c>
      <c r="K203" s="27">
        <v>973</v>
      </c>
      <c r="L203" s="179">
        <v>5006</v>
      </c>
      <c r="M203" s="180" t="s">
        <v>429</v>
      </c>
      <c r="N203" s="181" t="s">
        <v>430</v>
      </c>
      <c r="O203" s="182" t="s">
        <v>431</v>
      </c>
    </row>
    <row r="204" spans="1:20" ht="12">
      <c r="A204" s="148"/>
      <c r="B204" s="174" t="s">
        <v>1738</v>
      </c>
      <c r="C204" s="175" t="s">
        <v>487</v>
      </c>
      <c r="D204" s="176" t="s">
        <v>430</v>
      </c>
      <c r="E204" s="177" t="s">
        <v>1739</v>
      </c>
      <c r="F204" s="175">
        <f t="shared" si="9"/>
        <v>12</v>
      </c>
      <c r="G204" s="175" t="str">
        <f t="shared" si="10"/>
        <v>Cumberland</v>
      </c>
      <c r="H204" s="175" t="str">
        <f t="shared" si="11"/>
        <v>Cumberland, MD</v>
      </c>
      <c r="I204" s="178" t="s">
        <v>455</v>
      </c>
      <c r="J204" s="27" t="s">
        <v>441</v>
      </c>
      <c r="K204" s="27">
        <v>654</v>
      </c>
      <c r="L204" s="179">
        <v>5968</v>
      </c>
      <c r="M204" s="180" t="s">
        <v>456</v>
      </c>
      <c r="N204" s="181" t="s">
        <v>441</v>
      </c>
      <c r="O204" s="182" t="s">
        <v>457</v>
      </c>
    </row>
    <row r="205" spans="1:20" ht="12">
      <c r="A205" s="148"/>
      <c r="B205" s="174" t="s">
        <v>1740</v>
      </c>
      <c r="C205" s="175" t="s">
        <v>254</v>
      </c>
      <c r="D205" s="176" t="s">
        <v>255</v>
      </c>
      <c r="E205" s="177" t="s">
        <v>1741</v>
      </c>
      <c r="F205" s="175">
        <f t="shared" si="9"/>
        <v>8</v>
      </c>
      <c r="G205" s="175" t="str">
        <f t="shared" si="10"/>
        <v>Dallas</v>
      </c>
      <c r="H205" s="175" t="str">
        <f t="shared" si="11"/>
        <v>Dallas, TX</v>
      </c>
      <c r="I205" s="178" t="s">
        <v>503</v>
      </c>
      <c r="J205" s="27" t="s">
        <v>255</v>
      </c>
      <c r="K205" s="27">
        <v>2603</v>
      </c>
      <c r="L205" s="179">
        <v>2407</v>
      </c>
      <c r="M205" s="180" t="s">
        <v>504</v>
      </c>
      <c r="N205" s="181" t="s">
        <v>255</v>
      </c>
      <c r="O205" s="182" t="s">
        <v>505</v>
      </c>
    </row>
    <row r="206" spans="1:20" ht="12">
      <c r="A206" s="148"/>
      <c r="B206" s="174" t="s">
        <v>1742</v>
      </c>
      <c r="C206" s="175" t="s">
        <v>254</v>
      </c>
      <c r="D206" s="176" t="s">
        <v>255</v>
      </c>
      <c r="E206" s="177" t="s">
        <v>1741</v>
      </c>
      <c r="F206" s="175">
        <f t="shared" si="9"/>
        <v>8</v>
      </c>
      <c r="G206" s="175" t="str">
        <f t="shared" si="10"/>
        <v>Dallas</v>
      </c>
      <c r="H206" s="175" t="str">
        <f t="shared" si="11"/>
        <v>Dallas, TX</v>
      </c>
      <c r="I206" s="178" t="s">
        <v>503</v>
      </c>
      <c r="J206" s="27" t="s">
        <v>255</v>
      </c>
      <c r="K206" s="27">
        <v>2603</v>
      </c>
      <c r="L206" s="179">
        <v>2407</v>
      </c>
      <c r="M206" s="180" t="s">
        <v>504</v>
      </c>
      <c r="N206" s="181" t="s">
        <v>255</v>
      </c>
      <c r="O206" s="182" t="s">
        <v>505</v>
      </c>
    </row>
    <row r="207" spans="1:20" ht="12">
      <c r="A207" s="148"/>
      <c r="B207" s="174" t="s">
        <v>1743</v>
      </c>
      <c r="C207" s="175" t="s">
        <v>254</v>
      </c>
      <c r="D207" s="176" t="s">
        <v>255</v>
      </c>
      <c r="E207" s="177" t="s">
        <v>1741</v>
      </c>
      <c r="F207" s="175">
        <f t="shared" si="9"/>
        <v>8</v>
      </c>
      <c r="G207" s="175" t="str">
        <f t="shared" si="10"/>
        <v>Dallas</v>
      </c>
      <c r="H207" s="175" t="str">
        <f t="shared" si="11"/>
        <v>Dallas, TX</v>
      </c>
      <c r="I207" s="178" t="s">
        <v>503</v>
      </c>
      <c r="J207" s="27" t="s">
        <v>255</v>
      </c>
      <c r="K207" s="27">
        <v>2603</v>
      </c>
      <c r="L207" s="179">
        <v>2407</v>
      </c>
      <c r="M207" s="180" t="s">
        <v>504</v>
      </c>
      <c r="N207" s="181" t="s">
        <v>255</v>
      </c>
      <c r="O207" s="182" t="s">
        <v>505</v>
      </c>
    </row>
    <row r="208" spans="1:20" ht="12">
      <c r="A208" s="148"/>
      <c r="B208" s="174" t="s">
        <v>1744</v>
      </c>
      <c r="C208" s="175" t="s">
        <v>254</v>
      </c>
      <c r="D208" s="176" t="s">
        <v>255</v>
      </c>
      <c r="E208" s="177" t="s">
        <v>1741</v>
      </c>
      <c r="F208" s="175">
        <f t="shared" si="9"/>
        <v>8</v>
      </c>
      <c r="G208" s="175" t="str">
        <f t="shared" si="10"/>
        <v>Dallas</v>
      </c>
      <c r="H208" s="175" t="str">
        <f t="shared" si="11"/>
        <v>Dallas, TX</v>
      </c>
      <c r="I208" s="178" t="s">
        <v>503</v>
      </c>
      <c r="J208" s="27" t="s">
        <v>255</v>
      </c>
      <c r="K208" s="27">
        <v>2603</v>
      </c>
      <c r="L208" s="179">
        <v>2407</v>
      </c>
      <c r="M208" s="180" t="s">
        <v>504</v>
      </c>
      <c r="N208" s="181" t="s">
        <v>255</v>
      </c>
      <c r="O208" s="182" t="s">
        <v>505</v>
      </c>
    </row>
    <row r="209" spans="1:20" ht="12">
      <c r="A209" s="148"/>
      <c r="B209" s="174" t="s">
        <v>1745</v>
      </c>
      <c r="C209" s="175" t="s">
        <v>400</v>
      </c>
      <c r="D209" s="176" t="s">
        <v>401</v>
      </c>
      <c r="E209" s="177" t="s">
        <v>1746</v>
      </c>
      <c r="F209" s="175">
        <f t="shared" si="9"/>
        <v>8</v>
      </c>
      <c r="G209" s="175" t="str">
        <f t="shared" si="10"/>
        <v>Dalton</v>
      </c>
      <c r="H209" s="175" t="str">
        <f t="shared" si="11"/>
        <v>Dalton, GA</v>
      </c>
      <c r="I209" s="178" t="s">
        <v>2463</v>
      </c>
      <c r="J209" s="27" t="s">
        <v>476</v>
      </c>
      <c r="K209" s="27">
        <v>1544</v>
      </c>
      <c r="L209" s="179">
        <v>3587</v>
      </c>
      <c r="M209" s="180" t="s">
        <v>2460</v>
      </c>
      <c r="N209" s="181" t="s">
        <v>476</v>
      </c>
      <c r="O209" s="182" t="s">
        <v>2461</v>
      </c>
    </row>
    <row r="210" spans="1:20" ht="12">
      <c r="A210" s="148"/>
      <c r="B210" s="174" t="s">
        <v>1747</v>
      </c>
      <c r="C210" s="175" t="s">
        <v>1394</v>
      </c>
      <c r="D210" s="176" t="s">
        <v>1395</v>
      </c>
      <c r="E210" s="177" t="s">
        <v>1748</v>
      </c>
      <c r="F210" s="175">
        <f t="shared" si="9"/>
        <v>11</v>
      </c>
      <c r="G210" s="175" t="str">
        <f t="shared" si="10"/>
        <v>Davenport</v>
      </c>
      <c r="H210" s="175" t="str">
        <f t="shared" si="11"/>
        <v>Davenport, IA</v>
      </c>
      <c r="I210" s="178" t="s">
        <v>1397</v>
      </c>
      <c r="J210" s="27" t="s">
        <v>1709</v>
      </c>
      <c r="K210" s="27">
        <v>911</v>
      </c>
      <c r="L210" s="179">
        <v>6474</v>
      </c>
      <c r="M210" s="180" t="s">
        <v>1398</v>
      </c>
      <c r="N210" s="181" t="s">
        <v>1395</v>
      </c>
      <c r="O210" s="182" t="s">
        <v>1399</v>
      </c>
    </row>
    <row r="211" spans="1:20" ht="12">
      <c r="A211" s="148"/>
      <c r="B211" s="174" t="s">
        <v>1749</v>
      </c>
      <c r="C211" s="175" t="s">
        <v>1394</v>
      </c>
      <c r="D211" s="176" t="s">
        <v>1395</v>
      </c>
      <c r="E211" s="177" t="s">
        <v>1748</v>
      </c>
      <c r="F211" s="175">
        <f t="shared" si="9"/>
        <v>11</v>
      </c>
      <c r="G211" s="175" t="str">
        <f t="shared" si="10"/>
        <v>Davenport</v>
      </c>
      <c r="H211" s="175" t="str">
        <f t="shared" si="11"/>
        <v>Davenport, IA</v>
      </c>
      <c r="I211" s="178" t="s">
        <v>1397</v>
      </c>
      <c r="J211" s="27" t="s">
        <v>1709</v>
      </c>
      <c r="K211" s="27">
        <v>911</v>
      </c>
      <c r="L211" s="179">
        <v>6474</v>
      </c>
      <c r="M211" s="180" t="s">
        <v>1398</v>
      </c>
      <c r="N211" s="181" t="s">
        <v>1395</v>
      </c>
      <c r="O211" s="182" t="s">
        <v>1399</v>
      </c>
    </row>
    <row r="212" spans="1:20" ht="12">
      <c r="A212" s="148"/>
      <c r="B212" s="174" t="s">
        <v>1750</v>
      </c>
      <c r="C212" s="175" t="s">
        <v>385</v>
      </c>
      <c r="D212" s="176" t="s">
        <v>386</v>
      </c>
      <c r="E212" s="177" t="s">
        <v>1751</v>
      </c>
      <c r="F212" s="175">
        <f t="shared" si="9"/>
        <v>8</v>
      </c>
      <c r="G212" s="175" t="str">
        <f t="shared" si="10"/>
        <v>Dayton</v>
      </c>
      <c r="H212" s="175" t="str">
        <f t="shared" si="11"/>
        <v>Dayton, OH</v>
      </c>
      <c r="I212" s="178" t="s">
        <v>1600</v>
      </c>
      <c r="J212" s="27" t="s">
        <v>386</v>
      </c>
      <c r="K212" s="27">
        <v>797</v>
      </c>
      <c r="L212" s="179">
        <v>5708</v>
      </c>
      <c r="M212" s="180" t="s">
        <v>1752</v>
      </c>
      <c r="N212" s="181" t="s">
        <v>386</v>
      </c>
      <c r="O212" s="182" t="s">
        <v>1753</v>
      </c>
      <c r="P212" s="26"/>
      <c r="Q212" s="27"/>
      <c r="R212" s="183"/>
      <c r="S212" s="27"/>
      <c r="T212" s="27"/>
    </row>
    <row r="213" spans="1:20" ht="12">
      <c r="A213" s="148"/>
      <c r="B213" s="174" t="s">
        <v>1754</v>
      </c>
      <c r="C213" s="175" t="s">
        <v>385</v>
      </c>
      <c r="D213" s="176" t="s">
        <v>386</v>
      </c>
      <c r="E213" s="177" t="s">
        <v>1751</v>
      </c>
      <c r="F213" s="175">
        <f t="shared" si="9"/>
        <v>8</v>
      </c>
      <c r="G213" s="175" t="str">
        <f t="shared" si="10"/>
        <v>Dayton</v>
      </c>
      <c r="H213" s="175" t="str">
        <f t="shared" si="11"/>
        <v>Dayton, OH</v>
      </c>
      <c r="I213" s="178" t="s">
        <v>1755</v>
      </c>
      <c r="J213" s="27" t="s">
        <v>386</v>
      </c>
      <c r="K213" s="27">
        <v>886</v>
      </c>
      <c r="L213" s="179">
        <v>5708</v>
      </c>
      <c r="M213" s="180" t="s">
        <v>1752</v>
      </c>
      <c r="N213" s="181" t="s">
        <v>386</v>
      </c>
      <c r="O213" s="182" t="s">
        <v>1753</v>
      </c>
      <c r="P213" s="26"/>
      <c r="Q213" s="27"/>
      <c r="R213" s="183"/>
      <c r="S213" s="27"/>
      <c r="T213" s="27"/>
    </row>
    <row r="214" spans="1:20" ht="12">
      <c r="A214" s="148"/>
      <c r="B214" s="174" t="s">
        <v>1756</v>
      </c>
      <c r="C214" s="175" t="s">
        <v>493</v>
      </c>
      <c r="D214" s="176" t="s">
        <v>494</v>
      </c>
      <c r="E214" s="177" t="s">
        <v>1757</v>
      </c>
      <c r="F214" s="175">
        <f t="shared" si="9"/>
        <v>18</v>
      </c>
      <c r="G214" s="175" t="str">
        <f t="shared" si="10"/>
        <v>Decatur/Florence</v>
      </c>
      <c r="H214" s="175" t="str">
        <f t="shared" si="11"/>
        <v>Decatur/Florence, AL</v>
      </c>
      <c r="I214" s="178" t="s">
        <v>2459</v>
      </c>
      <c r="J214" s="27" t="s">
        <v>494</v>
      </c>
      <c r="K214" s="27">
        <v>1651</v>
      </c>
      <c r="L214" s="179">
        <v>3323</v>
      </c>
      <c r="M214" s="180" t="s">
        <v>1758</v>
      </c>
      <c r="N214" s="181" t="s">
        <v>494</v>
      </c>
      <c r="O214" s="182" t="s">
        <v>1759</v>
      </c>
      <c r="P214" s="26"/>
      <c r="Q214" s="27"/>
      <c r="R214" s="183"/>
      <c r="S214" s="27"/>
      <c r="T214" s="27"/>
    </row>
    <row r="215" spans="1:20" ht="12">
      <c r="A215" s="148"/>
      <c r="B215" s="174" t="s">
        <v>1760</v>
      </c>
      <c r="C215" s="175" t="s">
        <v>1394</v>
      </c>
      <c r="D215" s="176" t="s">
        <v>1395</v>
      </c>
      <c r="E215" s="177" t="s">
        <v>1761</v>
      </c>
      <c r="F215" s="175">
        <f t="shared" si="9"/>
        <v>9</v>
      </c>
      <c r="G215" s="175" t="str">
        <f t="shared" si="10"/>
        <v>Decorah</v>
      </c>
      <c r="H215" s="175" t="str">
        <f t="shared" si="11"/>
        <v>Decorah, IA</v>
      </c>
      <c r="I215" s="178" t="s">
        <v>1762</v>
      </c>
      <c r="J215" s="27" t="s">
        <v>1763</v>
      </c>
      <c r="K215" s="27">
        <v>692</v>
      </c>
      <c r="L215" s="179">
        <v>7491</v>
      </c>
      <c r="M215" s="180" t="s">
        <v>1398</v>
      </c>
      <c r="N215" s="181" t="s">
        <v>1395</v>
      </c>
      <c r="O215" s="182" t="s">
        <v>1399</v>
      </c>
      <c r="P215" s="26"/>
      <c r="Q215" s="27"/>
      <c r="R215" s="183"/>
      <c r="S215" s="27"/>
      <c r="T215" s="27"/>
    </row>
    <row r="216" spans="1:20" ht="12">
      <c r="A216" s="148"/>
      <c r="B216" s="174" t="s">
        <v>1764</v>
      </c>
      <c r="C216" s="175" t="s">
        <v>254</v>
      </c>
      <c r="D216" s="176" t="s">
        <v>255</v>
      </c>
      <c r="E216" s="177" t="s">
        <v>1765</v>
      </c>
      <c r="F216" s="175">
        <f t="shared" si="9"/>
        <v>8</v>
      </c>
      <c r="G216" s="175" t="str">
        <f t="shared" si="10"/>
        <v>Denton</v>
      </c>
      <c r="H216" s="175" t="str">
        <f t="shared" si="11"/>
        <v>Denton, TX</v>
      </c>
      <c r="I216" s="178" t="s">
        <v>503</v>
      </c>
      <c r="J216" s="27" t="s">
        <v>255</v>
      </c>
      <c r="K216" s="27">
        <v>2603</v>
      </c>
      <c r="L216" s="179">
        <v>2407</v>
      </c>
      <c r="M216" s="180" t="s">
        <v>504</v>
      </c>
      <c r="N216" s="181" t="s">
        <v>255</v>
      </c>
      <c r="O216" s="182" t="s">
        <v>505</v>
      </c>
      <c r="P216" s="26"/>
      <c r="Q216" s="27"/>
      <c r="R216" s="183"/>
      <c r="S216" s="27"/>
      <c r="T216" s="27"/>
    </row>
    <row r="217" spans="1:20" ht="12">
      <c r="A217" s="148"/>
      <c r="B217" s="174" t="s">
        <v>1766</v>
      </c>
      <c r="C217" s="175" t="s">
        <v>393</v>
      </c>
      <c r="D217" s="176" t="s">
        <v>394</v>
      </c>
      <c r="E217" s="177" t="s">
        <v>1767</v>
      </c>
      <c r="F217" s="175">
        <f t="shared" si="9"/>
        <v>8</v>
      </c>
      <c r="G217" s="175" t="str">
        <f t="shared" si="10"/>
        <v>Denver</v>
      </c>
      <c r="H217" s="175" t="str">
        <f t="shared" si="11"/>
        <v>Denver, CO</v>
      </c>
      <c r="I217" s="178" t="s">
        <v>611</v>
      </c>
      <c r="J217" s="27" t="s">
        <v>394</v>
      </c>
      <c r="K217" s="27">
        <v>679</v>
      </c>
      <c r="L217" s="179">
        <v>6020</v>
      </c>
      <c r="M217" s="180" t="s">
        <v>612</v>
      </c>
      <c r="N217" s="181" t="s">
        <v>394</v>
      </c>
      <c r="O217" s="182" t="s">
        <v>613</v>
      </c>
      <c r="P217" s="26"/>
      <c r="Q217" s="27"/>
      <c r="R217" s="183"/>
      <c r="S217" s="27"/>
      <c r="T217" s="27"/>
    </row>
    <row r="218" spans="1:20" ht="12">
      <c r="A218" s="148"/>
      <c r="B218" s="174" t="s">
        <v>1768</v>
      </c>
      <c r="C218" s="175" t="s">
        <v>393</v>
      </c>
      <c r="D218" s="176" t="s">
        <v>394</v>
      </c>
      <c r="E218" s="177" t="s">
        <v>1767</v>
      </c>
      <c r="F218" s="175">
        <f t="shared" si="9"/>
        <v>8</v>
      </c>
      <c r="G218" s="175" t="str">
        <f t="shared" si="10"/>
        <v>Denver</v>
      </c>
      <c r="H218" s="175" t="str">
        <f t="shared" si="11"/>
        <v>Denver, CO</v>
      </c>
      <c r="I218" s="178" t="s">
        <v>611</v>
      </c>
      <c r="J218" s="27" t="s">
        <v>394</v>
      </c>
      <c r="K218" s="27">
        <v>679</v>
      </c>
      <c r="L218" s="179">
        <v>6020</v>
      </c>
      <c r="M218" s="180" t="s">
        <v>612</v>
      </c>
      <c r="N218" s="181" t="s">
        <v>394</v>
      </c>
      <c r="O218" s="182" t="s">
        <v>613</v>
      </c>
    </row>
    <row r="219" spans="1:20" ht="12">
      <c r="A219" s="148"/>
      <c r="B219" s="174" t="s">
        <v>1769</v>
      </c>
      <c r="C219" s="175" t="s">
        <v>393</v>
      </c>
      <c r="D219" s="176" t="s">
        <v>394</v>
      </c>
      <c r="E219" s="177" t="s">
        <v>1767</v>
      </c>
      <c r="F219" s="175">
        <f t="shared" si="9"/>
        <v>8</v>
      </c>
      <c r="G219" s="175" t="str">
        <f t="shared" si="10"/>
        <v>Denver</v>
      </c>
      <c r="H219" s="175" t="str">
        <f t="shared" si="11"/>
        <v>Denver, CO</v>
      </c>
      <c r="I219" s="178" t="s">
        <v>611</v>
      </c>
      <c r="J219" s="27" t="s">
        <v>394</v>
      </c>
      <c r="K219" s="27">
        <v>679</v>
      </c>
      <c r="L219" s="179">
        <v>6020</v>
      </c>
      <c r="M219" s="180" t="s">
        <v>612</v>
      </c>
      <c r="N219" s="181" t="s">
        <v>394</v>
      </c>
      <c r="O219" s="182" t="s">
        <v>613</v>
      </c>
    </row>
    <row r="220" spans="1:20" ht="12">
      <c r="A220" s="148"/>
      <c r="B220" s="174" t="s">
        <v>1770</v>
      </c>
      <c r="C220" s="175" t="s">
        <v>1394</v>
      </c>
      <c r="D220" s="176" t="s">
        <v>1395</v>
      </c>
      <c r="E220" s="177" t="s">
        <v>1771</v>
      </c>
      <c r="F220" s="175">
        <f t="shared" si="9"/>
        <v>12</v>
      </c>
      <c r="G220" s="175" t="str">
        <f t="shared" si="10"/>
        <v>Des Moines</v>
      </c>
      <c r="H220" s="175" t="str">
        <f t="shared" si="11"/>
        <v>Des Moines, IA</v>
      </c>
      <c r="I220" s="178" t="s">
        <v>2421</v>
      </c>
      <c r="J220" s="27" t="s">
        <v>1395</v>
      </c>
      <c r="K220" s="27">
        <v>1036</v>
      </c>
      <c r="L220" s="179">
        <v>6497</v>
      </c>
      <c r="M220" s="180" t="s">
        <v>1398</v>
      </c>
      <c r="N220" s="181" t="s">
        <v>1395</v>
      </c>
      <c r="O220" s="182" t="s">
        <v>1399</v>
      </c>
    </row>
    <row r="221" spans="1:20" ht="12">
      <c r="A221" s="148"/>
      <c r="B221" s="174" t="s">
        <v>1772</v>
      </c>
      <c r="C221" s="175" t="s">
        <v>1394</v>
      </c>
      <c r="D221" s="176" t="s">
        <v>1395</v>
      </c>
      <c r="E221" s="177" t="s">
        <v>1771</v>
      </c>
      <c r="F221" s="175">
        <f t="shared" si="9"/>
        <v>12</v>
      </c>
      <c r="G221" s="175" t="str">
        <f t="shared" si="10"/>
        <v>Des Moines</v>
      </c>
      <c r="H221" s="175" t="str">
        <f t="shared" si="11"/>
        <v>Des Moines, IA</v>
      </c>
      <c r="I221" s="178" t="s">
        <v>2421</v>
      </c>
      <c r="J221" s="27" t="s">
        <v>1395</v>
      </c>
      <c r="K221" s="27">
        <v>1036</v>
      </c>
      <c r="L221" s="179">
        <v>6497</v>
      </c>
      <c r="M221" s="180" t="s">
        <v>1398</v>
      </c>
      <c r="N221" s="181" t="s">
        <v>1395</v>
      </c>
      <c r="O221" s="182" t="s">
        <v>1399</v>
      </c>
    </row>
    <row r="222" spans="1:20" ht="12">
      <c r="A222" s="148"/>
      <c r="B222" s="174" t="s">
        <v>1773</v>
      </c>
      <c r="C222" s="175" t="s">
        <v>1394</v>
      </c>
      <c r="D222" s="176" t="s">
        <v>1395</v>
      </c>
      <c r="E222" s="177" t="s">
        <v>1771</v>
      </c>
      <c r="F222" s="175">
        <f t="shared" si="9"/>
        <v>12</v>
      </c>
      <c r="G222" s="175" t="str">
        <f t="shared" si="10"/>
        <v>Des Moines</v>
      </c>
      <c r="H222" s="175" t="str">
        <f t="shared" si="11"/>
        <v>Des Moines, IA</v>
      </c>
      <c r="I222" s="178" t="s">
        <v>2421</v>
      </c>
      <c r="J222" s="27" t="s">
        <v>1395</v>
      </c>
      <c r="K222" s="27">
        <v>1036</v>
      </c>
      <c r="L222" s="179">
        <v>6497</v>
      </c>
      <c r="M222" s="180" t="s">
        <v>1398</v>
      </c>
      <c r="N222" s="181" t="s">
        <v>1395</v>
      </c>
      <c r="O222" s="182" t="s">
        <v>1399</v>
      </c>
    </row>
    <row r="223" spans="1:20" ht="12">
      <c r="A223" s="148"/>
      <c r="B223" s="174" t="s">
        <v>1774</v>
      </c>
      <c r="C223" s="175" t="s">
        <v>1394</v>
      </c>
      <c r="D223" s="176" t="s">
        <v>1395</v>
      </c>
      <c r="E223" s="177" t="s">
        <v>1771</v>
      </c>
      <c r="F223" s="175">
        <f t="shared" si="9"/>
        <v>12</v>
      </c>
      <c r="G223" s="175" t="str">
        <f t="shared" si="10"/>
        <v>Des Moines</v>
      </c>
      <c r="H223" s="175" t="str">
        <f t="shared" si="11"/>
        <v>Des Moines, IA</v>
      </c>
      <c r="I223" s="178" t="s">
        <v>2421</v>
      </c>
      <c r="J223" s="27" t="s">
        <v>1395</v>
      </c>
      <c r="K223" s="27">
        <v>1036</v>
      </c>
      <c r="L223" s="179">
        <v>6497</v>
      </c>
      <c r="M223" s="180" t="s">
        <v>1398</v>
      </c>
      <c r="N223" s="181" t="s">
        <v>1395</v>
      </c>
      <c r="O223" s="182" t="s">
        <v>1399</v>
      </c>
    </row>
    <row r="224" spans="1:20" ht="12">
      <c r="A224" s="148"/>
      <c r="B224" s="174" t="s">
        <v>1775</v>
      </c>
      <c r="C224" s="175" t="s">
        <v>1687</v>
      </c>
      <c r="D224" s="176" t="s">
        <v>1688</v>
      </c>
      <c r="E224" s="177" t="s">
        <v>1776</v>
      </c>
      <c r="F224" s="175">
        <f t="shared" si="9"/>
        <v>15</v>
      </c>
      <c r="G224" s="175" t="str">
        <f t="shared" si="10"/>
        <v>Detroit Lakes</v>
      </c>
      <c r="H224" s="175" t="str">
        <f t="shared" si="11"/>
        <v>Detroit Lakes, MN</v>
      </c>
      <c r="I224" s="178" t="s">
        <v>1777</v>
      </c>
      <c r="J224" s="27" t="s">
        <v>251</v>
      </c>
      <c r="K224" s="27">
        <v>537</v>
      </c>
      <c r="L224" s="179">
        <v>9254</v>
      </c>
      <c r="M224" s="180" t="s">
        <v>250</v>
      </c>
      <c r="N224" s="181" t="s">
        <v>251</v>
      </c>
      <c r="O224" s="182" t="s">
        <v>252</v>
      </c>
    </row>
    <row r="225" spans="1:15" ht="12">
      <c r="A225" s="148"/>
      <c r="B225" s="174" t="s">
        <v>1778</v>
      </c>
      <c r="C225" s="175" t="s">
        <v>480</v>
      </c>
      <c r="D225" s="176" t="s">
        <v>481</v>
      </c>
      <c r="E225" s="177" t="s">
        <v>1779</v>
      </c>
      <c r="F225" s="175">
        <f t="shared" si="9"/>
        <v>9</v>
      </c>
      <c r="G225" s="175" t="str">
        <f t="shared" si="10"/>
        <v>Detroit</v>
      </c>
      <c r="H225" s="175" t="str">
        <f t="shared" si="11"/>
        <v>Detroit, MI</v>
      </c>
      <c r="I225" s="178" t="s">
        <v>483</v>
      </c>
      <c r="J225" s="27" t="s">
        <v>481</v>
      </c>
      <c r="K225" s="27">
        <v>626</v>
      </c>
      <c r="L225" s="179">
        <v>6569</v>
      </c>
      <c r="M225" s="178" t="s">
        <v>484</v>
      </c>
      <c r="N225" s="27" t="s">
        <v>481</v>
      </c>
      <c r="O225" s="182" t="s">
        <v>485</v>
      </c>
    </row>
    <row r="226" spans="1:15" ht="12">
      <c r="A226" s="148"/>
      <c r="B226" s="174" t="s">
        <v>1780</v>
      </c>
      <c r="C226" s="175" t="s">
        <v>480</v>
      </c>
      <c r="D226" s="176" t="s">
        <v>481</v>
      </c>
      <c r="E226" s="177" t="s">
        <v>1779</v>
      </c>
      <c r="F226" s="175">
        <f t="shared" si="9"/>
        <v>9</v>
      </c>
      <c r="G226" s="175" t="str">
        <f t="shared" si="10"/>
        <v>Detroit</v>
      </c>
      <c r="H226" s="175" t="str">
        <f t="shared" si="11"/>
        <v>Detroit, MI</v>
      </c>
      <c r="I226" s="178" t="s">
        <v>483</v>
      </c>
      <c r="J226" s="27" t="s">
        <v>481</v>
      </c>
      <c r="K226" s="27">
        <v>626</v>
      </c>
      <c r="L226" s="179">
        <v>6569</v>
      </c>
      <c r="M226" s="178" t="s">
        <v>484</v>
      </c>
      <c r="N226" s="27" t="s">
        <v>481</v>
      </c>
      <c r="O226" s="182" t="s">
        <v>485</v>
      </c>
    </row>
    <row r="227" spans="1:15" ht="12">
      <c r="A227" s="148"/>
      <c r="B227" s="174" t="s">
        <v>1781</v>
      </c>
      <c r="C227" s="175" t="s">
        <v>1506</v>
      </c>
      <c r="D227" s="176" t="s">
        <v>251</v>
      </c>
      <c r="E227" s="177" t="s">
        <v>1782</v>
      </c>
      <c r="F227" s="175">
        <f t="shared" si="9"/>
        <v>13</v>
      </c>
      <c r="G227" s="175" t="str">
        <f t="shared" si="10"/>
        <v>Devils Lake</v>
      </c>
      <c r="H227" s="175" t="str">
        <f t="shared" si="11"/>
        <v>Devils Lake, ND</v>
      </c>
      <c r="I227" s="178" t="s">
        <v>1777</v>
      </c>
      <c r="J227" s="27" t="s">
        <v>251</v>
      </c>
      <c r="K227" s="27">
        <v>537</v>
      </c>
      <c r="L227" s="179">
        <v>9254</v>
      </c>
      <c r="M227" s="180" t="s">
        <v>250</v>
      </c>
      <c r="N227" s="181" t="s">
        <v>251</v>
      </c>
      <c r="O227" s="182" t="s">
        <v>252</v>
      </c>
    </row>
    <row r="228" spans="1:15" ht="12">
      <c r="A228" s="148"/>
      <c r="B228" s="174" t="s">
        <v>1783</v>
      </c>
      <c r="C228" s="175" t="s">
        <v>1506</v>
      </c>
      <c r="D228" s="176" t="s">
        <v>251</v>
      </c>
      <c r="E228" s="177" t="s">
        <v>1784</v>
      </c>
      <c r="F228" s="175">
        <f t="shared" si="9"/>
        <v>11</v>
      </c>
      <c r="G228" s="175" t="str">
        <f t="shared" si="10"/>
        <v>Dickinson</v>
      </c>
      <c r="H228" s="175" t="str">
        <f t="shared" si="11"/>
        <v>Dickinson, ND</v>
      </c>
      <c r="I228" s="178" t="s">
        <v>1704</v>
      </c>
      <c r="J228" s="27" t="s">
        <v>251</v>
      </c>
      <c r="K228" s="27">
        <v>488</v>
      </c>
      <c r="L228" s="179">
        <v>8968</v>
      </c>
      <c r="M228" s="180" t="s">
        <v>1705</v>
      </c>
      <c r="N228" s="181" t="s">
        <v>251</v>
      </c>
      <c r="O228" s="182" t="s">
        <v>1706</v>
      </c>
    </row>
    <row r="229" spans="1:15" ht="12">
      <c r="A229" s="148"/>
      <c r="B229" s="174" t="s">
        <v>1785</v>
      </c>
      <c r="C229" s="175" t="s">
        <v>1567</v>
      </c>
      <c r="D229" s="176" t="s">
        <v>1568</v>
      </c>
      <c r="E229" s="177" t="s">
        <v>1786</v>
      </c>
      <c r="F229" s="175">
        <f t="shared" si="9"/>
        <v>12</v>
      </c>
      <c r="G229" s="175" t="str">
        <f t="shared" si="10"/>
        <v>Dodge City</v>
      </c>
      <c r="H229" s="175" t="str">
        <f t="shared" si="11"/>
        <v>Dodge City, KS</v>
      </c>
      <c r="I229" s="178" t="s">
        <v>1787</v>
      </c>
      <c r="J229" s="27" t="s">
        <v>1568</v>
      </c>
      <c r="K229" s="27">
        <v>1465</v>
      </c>
      <c r="L229" s="179">
        <v>5001</v>
      </c>
      <c r="M229" s="180" t="s">
        <v>1788</v>
      </c>
      <c r="N229" s="181" t="s">
        <v>1568</v>
      </c>
      <c r="O229" s="182" t="s">
        <v>1789</v>
      </c>
    </row>
    <row r="230" spans="1:15" ht="12">
      <c r="A230" s="148"/>
      <c r="B230" s="174" t="s">
        <v>1790</v>
      </c>
      <c r="C230" s="175" t="s">
        <v>493</v>
      </c>
      <c r="D230" s="176" t="s">
        <v>494</v>
      </c>
      <c r="E230" s="177" t="s">
        <v>1791</v>
      </c>
      <c r="F230" s="175">
        <f t="shared" si="9"/>
        <v>8</v>
      </c>
      <c r="G230" s="175" t="str">
        <f t="shared" si="10"/>
        <v>Dothan</v>
      </c>
      <c r="H230" s="175" t="str">
        <f t="shared" si="11"/>
        <v>Dothan, AL</v>
      </c>
      <c r="I230" s="178" t="s">
        <v>1792</v>
      </c>
      <c r="J230" s="27" t="s">
        <v>494</v>
      </c>
      <c r="K230" s="27">
        <v>2212</v>
      </c>
      <c r="L230" s="179">
        <v>2224</v>
      </c>
      <c r="M230" s="178" t="s">
        <v>1793</v>
      </c>
      <c r="N230" s="27" t="s">
        <v>494</v>
      </c>
      <c r="O230" s="187" t="s">
        <v>1794</v>
      </c>
    </row>
    <row r="231" spans="1:15" ht="12">
      <c r="A231" s="148"/>
      <c r="B231" s="174" t="s">
        <v>1795</v>
      </c>
      <c r="C231" s="175" t="s">
        <v>1796</v>
      </c>
      <c r="D231" s="176" t="s">
        <v>1797</v>
      </c>
      <c r="E231" s="177" t="s">
        <v>1798</v>
      </c>
      <c r="F231" s="175">
        <f t="shared" si="9"/>
        <v>7</v>
      </c>
      <c r="G231" s="175" t="str">
        <f t="shared" si="10"/>
        <v>Dover</v>
      </c>
      <c r="H231" s="175" t="str">
        <f t="shared" si="11"/>
        <v>Dover, DE</v>
      </c>
      <c r="I231" s="178" t="s">
        <v>489</v>
      </c>
      <c r="J231" s="27" t="s">
        <v>430</v>
      </c>
      <c r="K231" s="27">
        <v>1137</v>
      </c>
      <c r="L231" s="179">
        <v>4707</v>
      </c>
      <c r="M231" s="180" t="s">
        <v>490</v>
      </c>
      <c r="N231" s="181" t="s">
        <v>430</v>
      </c>
      <c r="O231" s="182" t="s">
        <v>491</v>
      </c>
    </row>
    <row r="232" spans="1:15" ht="12">
      <c r="A232" s="148"/>
      <c r="B232" s="186" t="s">
        <v>1799</v>
      </c>
      <c r="C232" s="175" t="s">
        <v>1609</v>
      </c>
      <c r="D232" s="176" t="s">
        <v>1610</v>
      </c>
      <c r="E232" s="177" t="s">
        <v>1798</v>
      </c>
      <c r="F232" s="175">
        <f t="shared" si="9"/>
        <v>7</v>
      </c>
      <c r="G232" s="175" t="str">
        <f t="shared" si="10"/>
        <v>Dover</v>
      </c>
      <c r="H232" s="175" t="str">
        <f t="shared" si="11"/>
        <v>Dover, NJ</v>
      </c>
      <c r="I232" s="178" t="s">
        <v>443</v>
      </c>
      <c r="J232" s="27" t="s">
        <v>441</v>
      </c>
      <c r="K232" s="27">
        <v>773</v>
      </c>
      <c r="L232" s="179">
        <v>5785</v>
      </c>
      <c r="M232" s="178" t="s">
        <v>444</v>
      </c>
      <c r="N232" s="27" t="s">
        <v>441</v>
      </c>
      <c r="O232" s="182" t="s">
        <v>445</v>
      </c>
    </row>
    <row r="233" spans="1:15" ht="12">
      <c r="A233" s="148"/>
      <c r="B233" s="174" t="s">
        <v>1800</v>
      </c>
      <c r="C233" s="175" t="s">
        <v>440</v>
      </c>
      <c r="D233" s="176" t="s">
        <v>441</v>
      </c>
      <c r="E233" s="177" t="s">
        <v>1801</v>
      </c>
      <c r="F233" s="175">
        <f t="shared" si="9"/>
        <v>12</v>
      </c>
      <c r="G233" s="175" t="str">
        <f t="shared" si="10"/>
        <v>Doylestown</v>
      </c>
      <c r="H233" s="175" t="str">
        <f t="shared" si="11"/>
        <v>Doylestown, PA</v>
      </c>
      <c r="I233" s="178" t="s">
        <v>1425</v>
      </c>
      <c r="J233" s="27" t="s">
        <v>441</v>
      </c>
      <c r="K233" s="27">
        <v>1101</v>
      </c>
      <c r="L233" s="179">
        <v>4954</v>
      </c>
      <c r="M233" s="180" t="s">
        <v>1426</v>
      </c>
      <c r="N233" s="181" t="s">
        <v>441</v>
      </c>
      <c r="O233" s="182" t="s">
        <v>1427</v>
      </c>
    </row>
    <row r="234" spans="1:15" ht="12">
      <c r="A234" s="148"/>
      <c r="B234" s="174" t="s">
        <v>1802</v>
      </c>
      <c r="C234" s="175" t="s">
        <v>440</v>
      </c>
      <c r="D234" s="176" t="s">
        <v>441</v>
      </c>
      <c r="E234" s="177" t="s">
        <v>1803</v>
      </c>
      <c r="F234" s="175">
        <f t="shared" si="9"/>
        <v>9</v>
      </c>
      <c r="G234" s="175" t="str">
        <f t="shared" si="10"/>
        <v>Du Bois</v>
      </c>
      <c r="H234" s="175" t="str">
        <f t="shared" si="11"/>
        <v>Du Bois, PA</v>
      </c>
      <c r="I234" s="178" t="s">
        <v>1804</v>
      </c>
      <c r="J234" s="27" t="s">
        <v>441</v>
      </c>
      <c r="K234" s="27">
        <v>622</v>
      </c>
      <c r="L234" s="179">
        <v>6087</v>
      </c>
      <c r="M234" s="180" t="s">
        <v>456</v>
      </c>
      <c r="N234" s="181" t="s">
        <v>441</v>
      </c>
      <c r="O234" s="182" t="s">
        <v>457</v>
      </c>
    </row>
    <row r="235" spans="1:15" ht="12">
      <c r="A235" s="148"/>
      <c r="B235" s="174" t="s">
        <v>1805</v>
      </c>
      <c r="C235" s="175" t="s">
        <v>1394</v>
      </c>
      <c r="D235" s="176" t="s">
        <v>1395</v>
      </c>
      <c r="E235" s="177" t="s">
        <v>1806</v>
      </c>
      <c r="F235" s="175">
        <f t="shared" si="9"/>
        <v>9</v>
      </c>
      <c r="G235" s="175" t="str">
        <f t="shared" si="10"/>
        <v>Dubuque</v>
      </c>
      <c r="H235" s="175" t="str">
        <f t="shared" si="11"/>
        <v>Dubuque, IA</v>
      </c>
      <c r="I235" s="178" t="s">
        <v>1807</v>
      </c>
      <c r="J235" s="27" t="s">
        <v>1395</v>
      </c>
      <c r="K235" s="27">
        <v>593</v>
      </c>
      <c r="L235" s="179">
        <v>7327</v>
      </c>
      <c r="M235" s="180" t="s">
        <v>1398</v>
      </c>
      <c r="N235" s="181" t="s">
        <v>1395</v>
      </c>
      <c r="O235" s="182" t="s">
        <v>1399</v>
      </c>
    </row>
    <row r="236" spans="1:15" ht="12">
      <c r="A236" s="148"/>
      <c r="B236" s="174" t="s">
        <v>1808</v>
      </c>
      <c r="C236" s="175" t="s">
        <v>1687</v>
      </c>
      <c r="D236" s="176" t="s">
        <v>1688</v>
      </c>
      <c r="E236" s="177" t="s">
        <v>1809</v>
      </c>
      <c r="F236" s="175">
        <f t="shared" si="9"/>
        <v>8</v>
      </c>
      <c r="G236" s="175" t="str">
        <f t="shared" si="10"/>
        <v>Duluth</v>
      </c>
      <c r="H236" s="175" t="str">
        <f t="shared" si="11"/>
        <v>Duluth, MN</v>
      </c>
      <c r="I236" s="178" t="s">
        <v>1810</v>
      </c>
      <c r="J236" s="27" t="s">
        <v>1688</v>
      </c>
      <c r="K236" s="27">
        <v>180</v>
      </c>
      <c r="L236" s="179">
        <v>9818</v>
      </c>
      <c r="M236" s="180" t="s">
        <v>1691</v>
      </c>
      <c r="N236" s="181" t="s">
        <v>1688</v>
      </c>
      <c r="O236" s="182" t="s">
        <v>1692</v>
      </c>
    </row>
    <row r="237" spans="1:15" ht="12">
      <c r="A237" s="148"/>
      <c r="B237" s="174" t="s">
        <v>1811</v>
      </c>
      <c r="C237" s="175" t="s">
        <v>1687</v>
      </c>
      <c r="D237" s="176" t="s">
        <v>1688</v>
      </c>
      <c r="E237" s="177" t="s">
        <v>1809</v>
      </c>
      <c r="F237" s="175">
        <f t="shared" si="9"/>
        <v>8</v>
      </c>
      <c r="G237" s="175" t="str">
        <f t="shared" si="10"/>
        <v>Duluth</v>
      </c>
      <c r="H237" s="175" t="str">
        <f t="shared" si="11"/>
        <v>Duluth, MN</v>
      </c>
      <c r="I237" s="178" t="s">
        <v>1810</v>
      </c>
      <c r="J237" s="27" t="s">
        <v>1688</v>
      </c>
      <c r="K237" s="27">
        <v>180</v>
      </c>
      <c r="L237" s="179">
        <v>9818</v>
      </c>
      <c r="M237" s="180" t="s">
        <v>1691</v>
      </c>
      <c r="N237" s="181" t="s">
        <v>1688</v>
      </c>
      <c r="O237" s="182" t="s">
        <v>1692</v>
      </c>
    </row>
    <row r="238" spans="1:15" ht="12">
      <c r="A238" s="148"/>
      <c r="B238" s="174" t="s">
        <v>1812</v>
      </c>
      <c r="C238" s="175" t="s">
        <v>1687</v>
      </c>
      <c r="D238" s="176" t="s">
        <v>1688</v>
      </c>
      <c r="E238" s="177" t="s">
        <v>1809</v>
      </c>
      <c r="F238" s="175">
        <f t="shared" si="9"/>
        <v>8</v>
      </c>
      <c r="G238" s="175" t="str">
        <f t="shared" si="10"/>
        <v>Duluth</v>
      </c>
      <c r="H238" s="175" t="str">
        <f t="shared" si="11"/>
        <v>Duluth, MN</v>
      </c>
      <c r="I238" s="178" t="s">
        <v>1810</v>
      </c>
      <c r="J238" s="27" t="s">
        <v>1688</v>
      </c>
      <c r="K238" s="27">
        <v>180</v>
      </c>
      <c r="L238" s="179">
        <v>9818</v>
      </c>
      <c r="M238" s="180" t="s">
        <v>1691</v>
      </c>
      <c r="N238" s="181" t="s">
        <v>1688</v>
      </c>
      <c r="O238" s="182" t="s">
        <v>1692</v>
      </c>
    </row>
    <row r="239" spans="1:15" ht="12">
      <c r="A239" s="148"/>
      <c r="B239" s="174" t="s">
        <v>1813</v>
      </c>
      <c r="C239" s="175" t="s">
        <v>393</v>
      </c>
      <c r="D239" s="176" t="s">
        <v>394</v>
      </c>
      <c r="E239" s="177" t="s">
        <v>1814</v>
      </c>
      <c r="F239" s="175">
        <f t="shared" si="9"/>
        <v>9</v>
      </c>
      <c r="G239" s="175" t="str">
        <f t="shared" si="10"/>
        <v>Durango</v>
      </c>
      <c r="H239" s="175" t="str">
        <f t="shared" si="11"/>
        <v>Durango, CO</v>
      </c>
      <c r="I239" s="178" t="s">
        <v>1815</v>
      </c>
      <c r="J239" s="27" t="s">
        <v>394</v>
      </c>
      <c r="K239" s="27">
        <v>1183</v>
      </c>
      <c r="L239" s="179">
        <v>5548</v>
      </c>
      <c r="M239" s="178" t="s">
        <v>1816</v>
      </c>
      <c r="N239" s="27" t="s">
        <v>394</v>
      </c>
      <c r="O239" s="182" t="s">
        <v>1817</v>
      </c>
    </row>
    <row r="240" spans="1:15" ht="12">
      <c r="A240" s="148"/>
      <c r="B240" s="174" t="s">
        <v>1818</v>
      </c>
      <c r="C240" s="175" t="s">
        <v>500</v>
      </c>
      <c r="D240" s="176" t="s">
        <v>501</v>
      </c>
      <c r="E240" s="177" t="s">
        <v>1819</v>
      </c>
      <c r="F240" s="175">
        <f t="shared" si="9"/>
        <v>8</v>
      </c>
      <c r="G240" s="175" t="str">
        <f t="shared" si="10"/>
        <v>Durant</v>
      </c>
      <c r="H240" s="175" t="str">
        <f t="shared" si="11"/>
        <v>Durant, OK</v>
      </c>
      <c r="I240" s="178" t="s">
        <v>503</v>
      </c>
      <c r="J240" s="27" t="s">
        <v>255</v>
      </c>
      <c r="K240" s="27">
        <v>2603</v>
      </c>
      <c r="L240" s="179">
        <v>2407</v>
      </c>
      <c r="M240" s="180" t="s">
        <v>504</v>
      </c>
      <c r="N240" s="181" t="s">
        <v>255</v>
      </c>
      <c r="O240" s="182" t="s">
        <v>505</v>
      </c>
    </row>
    <row r="241" spans="1:20" ht="12">
      <c r="A241" s="148"/>
      <c r="B241" s="174" t="s">
        <v>2415</v>
      </c>
      <c r="C241" s="175" t="s">
        <v>472</v>
      </c>
      <c r="D241" s="176" t="s">
        <v>473</v>
      </c>
      <c r="E241" s="177" t="s">
        <v>2416</v>
      </c>
      <c r="F241" s="175">
        <f t="shared" si="9"/>
        <v>8</v>
      </c>
      <c r="G241" s="175" t="str">
        <f t="shared" si="10"/>
        <v>Durham</v>
      </c>
      <c r="H241" s="175" t="str">
        <f t="shared" si="11"/>
        <v>Durham, NC</v>
      </c>
      <c r="I241" s="178" t="s">
        <v>2417</v>
      </c>
      <c r="J241" s="27" t="s">
        <v>473</v>
      </c>
      <c r="K241" s="27">
        <v>1417</v>
      </c>
      <c r="L241" s="179">
        <v>3457</v>
      </c>
      <c r="M241" s="180" t="s">
        <v>521</v>
      </c>
      <c r="N241" s="181" t="s">
        <v>473</v>
      </c>
      <c r="O241" s="182" t="s">
        <v>522</v>
      </c>
    </row>
    <row r="242" spans="1:20" ht="12">
      <c r="A242" s="148"/>
      <c r="B242" s="174" t="s">
        <v>523</v>
      </c>
      <c r="C242" s="175" t="s">
        <v>1708</v>
      </c>
      <c r="D242" s="176" t="s">
        <v>1709</v>
      </c>
      <c r="E242" s="177" t="s">
        <v>524</v>
      </c>
      <c r="F242" s="175">
        <f t="shared" si="9"/>
        <v>18</v>
      </c>
      <c r="G242" s="175" t="str">
        <f t="shared" si="10"/>
        <v>East Saint Louis</v>
      </c>
      <c r="H242" s="175" t="str">
        <f t="shared" si="11"/>
        <v>East Saint Louis, IL</v>
      </c>
      <c r="I242" s="178" t="s">
        <v>1441</v>
      </c>
      <c r="J242" s="27" t="s">
        <v>1439</v>
      </c>
      <c r="K242" s="27">
        <v>1534</v>
      </c>
      <c r="L242" s="179">
        <v>4758</v>
      </c>
      <c r="M242" s="178" t="s">
        <v>1442</v>
      </c>
      <c r="N242" s="27" t="s">
        <v>1439</v>
      </c>
      <c r="O242" s="182" t="s">
        <v>1443</v>
      </c>
    </row>
    <row r="243" spans="1:20" ht="12">
      <c r="A243" s="148"/>
      <c r="B243" s="174" t="s">
        <v>525</v>
      </c>
      <c r="C243" s="175" t="s">
        <v>1708</v>
      </c>
      <c r="D243" s="176" t="s">
        <v>1709</v>
      </c>
      <c r="E243" s="177" t="s">
        <v>524</v>
      </c>
      <c r="F243" s="175">
        <f t="shared" si="9"/>
        <v>18</v>
      </c>
      <c r="G243" s="175" t="str">
        <f t="shared" si="10"/>
        <v>East Saint Louis</v>
      </c>
      <c r="H243" s="175" t="str">
        <f t="shared" si="11"/>
        <v>East Saint Louis, IL</v>
      </c>
      <c r="I243" s="178" t="s">
        <v>1441</v>
      </c>
      <c r="J243" s="27" t="s">
        <v>1439</v>
      </c>
      <c r="K243" s="27">
        <v>1534</v>
      </c>
      <c r="L243" s="179">
        <v>4758</v>
      </c>
      <c r="M243" s="178" t="s">
        <v>1442</v>
      </c>
      <c r="N243" s="27" t="s">
        <v>1439</v>
      </c>
      <c r="O243" s="182" t="s">
        <v>1443</v>
      </c>
    </row>
    <row r="244" spans="1:20" ht="12">
      <c r="A244" s="148"/>
      <c r="B244" s="174" t="s">
        <v>526</v>
      </c>
      <c r="C244" s="175" t="s">
        <v>487</v>
      </c>
      <c r="D244" s="176" t="s">
        <v>430</v>
      </c>
      <c r="E244" s="177" t="s">
        <v>527</v>
      </c>
      <c r="F244" s="175">
        <f t="shared" si="9"/>
        <v>8</v>
      </c>
      <c r="G244" s="175" t="str">
        <f t="shared" si="10"/>
        <v>Easton</v>
      </c>
      <c r="H244" s="175" t="str">
        <f t="shared" si="11"/>
        <v>Easton, MD</v>
      </c>
      <c r="I244" s="178" t="s">
        <v>427</v>
      </c>
      <c r="J244" s="27" t="s">
        <v>428</v>
      </c>
      <c r="K244" s="27">
        <v>1549</v>
      </c>
      <c r="L244" s="179">
        <v>4047</v>
      </c>
      <c r="M244" s="180" t="s">
        <v>429</v>
      </c>
      <c r="N244" s="181" t="s">
        <v>430</v>
      </c>
      <c r="O244" s="182" t="s">
        <v>431</v>
      </c>
    </row>
    <row r="245" spans="1:20" ht="12">
      <c r="A245" s="148"/>
      <c r="B245" s="174" t="s">
        <v>528</v>
      </c>
      <c r="C245" s="175" t="s">
        <v>33</v>
      </c>
      <c r="D245" s="176" t="s">
        <v>1763</v>
      </c>
      <c r="E245" s="177" t="s">
        <v>34</v>
      </c>
      <c r="F245" s="175">
        <f t="shared" si="9"/>
        <v>12</v>
      </c>
      <c r="G245" s="175" t="str">
        <f t="shared" si="10"/>
        <v>Eau Claire</v>
      </c>
      <c r="H245" s="175" t="str">
        <f t="shared" si="11"/>
        <v>Eau Claire, WI</v>
      </c>
      <c r="I245" s="178" t="s">
        <v>35</v>
      </c>
      <c r="J245" s="27" t="s">
        <v>1688</v>
      </c>
      <c r="K245" s="27">
        <v>682</v>
      </c>
      <c r="L245" s="179">
        <v>7981</v>
      </c>
      <c r="M245" s="178" t="s">
        <v>638</v>
      </c>
      <c r="N245" s="27" t="s">
        <v>1688</v>
      </c>
      <c r="O245" s="182" t="s">
        <v>639</v>
      </c>
    </row>
    <row r="246" spans="1:20" ht="12">
      <c r="A246" s="148"/>
      <c r="B246" s="174" t="s">
        <v>36</v>
      </c>
      <c r="C246" s="175" t="s">
        <v>1708</v>
      </c>
      <c r="D246" s="176" t="s">
        <v>1709</v>
      </c>
      <c r="E246" s="177" t="s">
        <v>37</v>
      </c>
      <c r="F246" s="175">
        <f t="shared" si="9"/>
        <v>11</v>
      </c>
      <c r="G246" s="175" t="str">
        <f t="shared" si="10"/>
        <v>Effingham</v>
      </c>
      <c r="H246" s="175" t="str">
        <f t="shared" si="11"/>
        <v>Effingham, IL</v>
      </c>
      <c r="I246" s="178" t="s">
        <v>1441</v>
      </c>
      <c r="J246" s="27" t="s">
        <v>1439</v>
      </c>
      <c r="K246" s="27">
        <v>1534</v>
      </c>
      <c r="L246" s="179">
        <v>4758</v>
      </c>
      <c r="M246" s="178" t="s">
        <v>1442</v>
      </c>
      <c r="N246" s="27" t="s">
        <v>1439</v>
      </c>
      <c r="O246" s="182" t="s">
        <v>1443</v>
      </c>
    </row>
    <row r="247" spans="1:20" ht="12">
      <c r="A247" s="148"/>
      <c r="B247" s="174" t="s">
        <v>38</v>
      </c>
      <c r="C247" s="175" t="s">
        <v>254</v>
      </c>
      <c r="D247" s="176" t="s">
        <v>255</v>
      </c>
      <c r="E247" s="177" t="s">
        <v>39</v>
      </c>
      <c r="F247" s="175">
        <f t="shared" si="9"/>
        <v>9</v>
      </c>
      <c r="G247" s="175" t="str">
        <f t="shared" si="10"/>
        <v>El Paso</v>
      </c>
      <c r="H247" s="175" t="str">
        <f t="shared" si="11"/>
        <v>El Paso, TX</v>
      </c>
      <c r="I247" s="178" t="s">
        <v>40</v>
      </c>
      <c r="J247" s="27" t="s">
        <v>255</v>
      </c>
      <c r="K247" s="27">
        <v>2163</v>
      </c>
      <c r="L247" s="179">
        <v>2751</v>
      </c>
      <c r="M247" s="180" t="s">
        <v>41</v>
      </c>
      <c r="N247" s="181" t="s">
        <v>255</v>
      </c>
      <c r="O247" s="182" t="s">
        <v>42</v>
      </c>
    </row>
    <row r="248" spans="1:20" ht="12">
      <c r="A248" s="148"/>
      <c r="B248" s="174" t="s">
        <v>43</v>
      </c>
      <c r="C248" s="175" t="s">
        <v>254</v>
      </c>
      <c r="D248" s="176" t="s">
        <v>255</v>
      </c>
      <c r="E248" s="177" t="s">
        <v>39</v>
      </c>
      <c r="F248" s="175">
        <f t="shared" si="9"/>
        <v>9</v>
      </c>
      <c r="G248" s="175" t="str">
        <f t="shared" si="10"/>
        <v>El Paso</v>
      </c>
      <c r="H248" s="175" t="str">
        <f t="shared" si="11"/>
        <v>El Paso, TX</v>
      </c>
      <c r="I248" s="178" t="s">
        <v>44</v>
      </c>
      <c r="J248" s="27" t="s">
        <v>255</v>
      </c>
      <c r="K248" s="27">
        <v>2094</v>
      </c>
      <c r="L248" s="179">
        <v>2708</v>
      </c>
      <c r="M248" s="180" t="s">
        <v>41</v>
      </c>
      <c r="N248" s="181" t="s">
        <v>255</v>
      </c>
      <c r="O248" s="182" t="s">
        <v>42</v>
      </c>
    </row>
    <row r="249" spans="1:20" ht="12">
      <c r="A249" s="148"/>
      <c r="B249" s="174" t="s">
        <v>45</v>
      </c>
      <c r="C249" s="175" t="s">
        <v>472</v>
      </c>
      <c r="D249" s="176" t="s">
        <v>473</v>
      </c>
      <c r="E249" s="177" t="s">
        <v>46</v>
      </c>
      <c r="F249" s="175">
        <f t="shared" si="9"/>
        <v>16</v>
      </c>
      <c r="G249" s="175" t="str">
        <f t="shared" si="10"/>
        <v>Elizabeth City</v>
      </c>
      <c r="H249" s="175" t="str">
        <f t="shared" si="11"/>
        <v>Elizabeth City, NC</v>
      </c>
      <c r="I249" s="178" t="s">
        <v>47</v>
      </c>
      <c r="J249" s="27" t="s">
        <v>426</v>
      </c>
      <c r="K249" s="27">
        <v>1422</v>
      </c>
      <c r="L249" s="179">
        <v>3495</v>
      </c>
      <c r="M249" s="180" t="s">
        <v>48</v>
      </c>
      <c r="N249" s="181" t="s">
        <v>426</v>
      </c>
      <c r="O249" s="182" t="s">
        <v>49</v>
      </c>
    </row>
    <row r="250" spans="1:20" ht="12">
      <c r="A250" s="148"/>
      <c r="B250" s="186" t="s">
        <v>50</v>
      </c>
      <c r="C250" s="175" t="s">
        <v>1609</v>
      </c>
      <c r="D250" s="176" t="s">
        <v>1610</v>
      </c>
      <c r="E250" s="177" t="s">
        <v>51</v>
      </c>
      <c r="F250" s="175">
        <f t="shared" si="9"/>
        <v>11</v>
      </c>
      <c r="G250" s="175" t="str">
        <f t="shared" si="10"/>
        <v>Elizabeth</v>
      </c>
      <c r="H250" s="175" t="str">
        <f t="shared" si="11"/>
        <v>Elizabeth, NJ</v>
      </c>
      <c r="I250" s="178" t="s">
        <v>52</v>
      </c>
      <c r="J250" s="27" t="s">
        <v>1610</v>
      </c>
      <c r="K250" s="27">
        <v>1201</v>
      </c>
      <c r="L250" s="179">
        <v>4888</v>
      </c>
      <c r="M250" s="180" t="s">
        <v>53</v>
      </c>
      <c r="N250" s="181" t="s">
        <v>1610</v>
      </c>
      <c r="O250" s="182" t="s">
        <v>54</v>
      </c>
    </row>
    <row r="251" spans="1:20" ht="12">
      <c r="A251" s="148"/>
      <c r="B251" s="174" t="s">
        <v>55</v>
      </c>
      <c r="C251" s="175" t="s">
        <v>516</v>
      </c>
      <c r="D251" s="176" t="s">
        <v>517</v>
      </c>
      <c r="E251" s="177" t="s">
        <v>56</v>
      </c>
      <c r="F251" s="175">
        <f t="shared" si="9"/>
        <v>15</v>
      </c>
      <c r="G251" s="175" t="str">
        <f t="shared" si="10"/>
        <v>Elizabethtown</v>
      </c>
      <c r="H251" s="175" t="str">
        <f t="shared" si="11"/>
        <v>Elizabethtown, KY</v>
      </c>
      <c r="I251" s="178" t="s">
        <v>1584</v>
      </c>
      <c r="J251" s="27" t="s">
        <v>476</v>
      </c>
      <c r="K251" s="27">
        <v>1616</v>
      </c>
      <c r="L251" s="179">
        <v>3729</v>
      </c>
      <c r="M251" s="180" t="s">
        <v>1585</v>
      </c>
      <c r="N251" s="181" t="s">
        <v>476</v>
      </c>
      <c r="O251" s="182" t="s">
        <v>577</v>
      </c>
    </row>
    <row r="252" spans="1:20" ht="12">
      <c r="A252" s="148"/>
      <c r="B252" s="174" t="s">
        <v>57</v>
      </c>
      <c r="C252" s="175" t="s">
        <v>1462</v>
      </c>
      <c r="D252" s="176" t="s">
        <v>1463</v>
      </c>
      <c r="E252" s="177" t="s">
        <v>58</v>
      </c>
      <c r="F252" s="175">
        <f t="shared" si="9"/>
        <v>6</v>
      </c>
      <c r="G252" s="175" t="str">
        <f t="shared" si="10"/>
        <v>Elko</v>
      </c>
      <c r="H252" s="175" t="str">
        <f t="shared" si="11"/>
        <v>Elko, NV</v>
      </c>
      <c r="I252" s="178" t="s">
        <v>1053</v>
      </c>
      <c r="J252" s="27" t="s">
        <v>1463</v>
      </c>
      <c r="K252" s="27">
        <v>457</v>
      </c>
      <c r="L252" s="179">
        <v>7077</v>
      </c>
      <c r="M252" s="180" t="s">
        <v>1466</v>
      </c>
      <c r="N252" s="181" t="s">
        <v>1463</v>
      </c>
      <c r="O252" s="182" t="s">
        <v>1467</v>
      </c>
    </row>
    <row r="253" spans="1:20" ht="12">
      <c r="A253" s="148"/>
      <c r="B253" s="174" t="s">
        <v>1054</v>
      </c>
      <c r="C253" s="175" t="s">
        <v>487</v>
      </c>
      <c r="D253" s="176" t="s">
        <v>430</v>
      </c>
      <c r="E253" s="177" t="s">
        <v>1055</v>
      </c>
      <c r="F253" s="175">
        <f t="shared" si="9"/>
        <v>8</v>
      </c>
      <c r="G253" s="175" t="str">
        <f t="shared" si="10"/>
        <v>Elkton</v>
      </c>
      <c r="H253" s="175" t="str">
        <f t="shared" si="11"/>
        <v>Elkton, MD</v>
      </c>
      <c r="I253" s="178" t="s">
        <v>1056</v>
      </c>
      <c r="J253" s="27" t="s">
        <v>1797</v>
      </c>
      <c r="K253" s="27">
        <v>1046</v>
      </c>
      <c r="L253" s="179">
        <v>4937</v>
      </c>
      <c r="M253" s="180" t="s">
        <v>1057</v>
      </c>
      <c r="N253" s="181" t="s">
        <v>1797</v>
      </c>
      <c r="O253" s="182" t="s">
        <v>1058</v>
      </c>
    </row>
    <row r="254" spans="1:20" ht="12">
      <c r="A254" s="148"/>
      <c r="B254" s="186" t="s">
        <v>1059</v>
      </c>
      <c r="C254" s="175" t="s">
        <v>1616</v>
      </c>
      <c r="D254" s="176" t="s">
        <v>1617</v>
      </c>
      <c r="E254" s="177" t="s">
        <v>1060</v>
      </c>
      <c r="F254" s="175">
        <f t="shared" si="9"/>
        <v>11</v>
      </c>
      <c r="G254" s="175" t="str">
        <f t="shared" si="10"/>
        <v>Ellsworth</v>
      </c>
      <c r="H254" s="175" t="str">
        <f t="shared" si="11"/>
        <v>Ellsworth, ME</v>
      </c>
      <c r="I254" s="178" t="s">
        <v>1619</v>
      </c>
      <c r="J254" s="27" t="s">
        <v>1617</v>
      </c>
      <c r="K254" s="27">
        <v>268</v>
      </c>
      <c r="L254" s="179">
        <v>7378</v>
      </c>
      <c r="M254" s="180" t="s">
        <v>1620</v>
      </c>
      <c r="N254" s="181" t="s">
        <v>1617</v>
      </c>
      <c r="O254" s="182" t="s">
        <v>1621</v>
      </c>
    </row>
    <row r="255" spans="1:20" ht="12">
      <c r="A255" s="148"/>
      <c r="B255" s="174" t="s">
        <v>1061</v>
      </c>
      <c r="C255" s="175" t="s">
        <v>407</v>
      </c>
      <c r="D255" s="176" t="s">
        <v>408</v>
      </c>
      <c r="E255" s="177" t="s">
        <v>1062</v>
      </c>
      <c r="F255" s="175">
        <f t="shared" si="9"/>
        <v>8</v>
      </c>
      <c r="G255" s="175" t="str">
        <f t="shared" si="10"/>
        <v>Elmira</v>
      </c>
      <c r="H255" s="175" t="str">
        <f t="shared" si="11"/>
        <v>Elmira, NY</v>
      </c>
      <c r="I255" s="178" t="s">
        <v>1498</v>
      </c>
      <c r="J255" s="27" t="s">
        <v>408</v>
      </c>
      <c r="K255" s="27">
        <v>337</v>
      </c>
      <c r="L255" s="179">
        <v>7273</v>
      </c>
      <c r="M255" s="180" t="s">
        <v>1063</v>
      </c>
      <c r="N255" s="181" t="s">
        <v>408</v>
      </c>
      <c r="O255" s="182" t="s">
        <v>1064</v>
      </c>
      <c r="P255" s="26"/>
      <c r="Q255" s="27"/>
      <c r="R255" s="183"/>
      <c r="S255" s="27"/>
      <c r="T255" s="27"/>
    </row>
    <row r="256" spans="1:20" ht="12">
      <c r="A256" s="148"/>
      <c r="B256" s="174" t="s">
        <v>1065</v>
      </c>
      <c r="C256" s="175" t="s">
        <v>1462</v>
      </c>
      <c r="D256" s="176" t="s">
        <v>1463</v>
      </c>
      <c r="E256" s="177" t="s">
        <v>1066</v>
      </c>
      <c r="F256" s="175">
        <f t="shared" si="9"/>
        <v>5</v>
      </c>
      <c r="G256" s="175" t="str">
        <f t="shared" si="10"/>
        <v>Ely</v>
      </c>
      <c r="H256" s="175" t="str">
        <f t="shared" si="11"/>
        <v>Ely, NV</v>
      </c>
      <c r="I256" s="178" t="s">
        <v>1067</v>
      </c>
      <c r="J256" s="27" t="s">
        <v>1463</v>
      </c>
      <c r="K256" s="27">
        <v>208</v>
      </c>
      <c r="L256" s="179">
        <v>7621</v>
      </c>
      <c r="M256" s="180" t="s">
        <v>1466</v>
      </c>
      <c r="N256" s="181" t="s">
        <v>1463</v>
      </c>
      <c r="O256" s="182" t="s">
        <v>1467</v>
      </c>
      <c r="P256" s="26"/>
      <c r="Q256" s="27"/>
      <c r="R256" s="183"/>
      <c r="S256" s="27"/>
      <c r="T256" s="27"/>
    </row>
    <row r="257" spans="1:20" ht="12">
      <c r="A257" s="148"/>
      <c r="B257" s="174" t="s">
        <v>1068</v>
      </c>
      <c r="C257" s="175" t="s">
        <v>1567</v>
      </c>
      <c r="D257" s="176" t="s">
        <v>1568</v>
      </c>
      <c r="E257" s="177" t="s">
        <v>1069</v>
      </c>
      <c r="F257" s="175">
        <f t="shared" si="9"/>
        <v>9</v>
      </c>
      <c r="G257" s="175" t="str">
        <f t="shared" si="10"/>
        <v>Emporia</v>
      </c>
      <c r="H257" s="175" t="str">
        <f t="shared" si="11"/>
        <v>Emporia, KS</v>
      </c>
      <c r="I257" s="178" t="s">
        <v>1070</v>
      </c>
      <c r="J257" s="27" t="s">
        <v>1568</v>
      </c>
      <c r="K257" s="27">
        <v>1628</v>
      </c>
      <c r="L257" s="179">
        <v>4791</v>
      </c>
      <c r="M257" s="180" t="s">
        <v>1788</v>
      </c>
      <c r="N257" s="181" t="s">
        <v>1568</v>
      </c>
      <c r="O257" s="182" t="s">
        <v>1789</v>
      </c>
      <c r="P257" s="26"/>
      <c r="Q257" s="27"/>
      <c r="R257" s="183"/>
      <c r="S257" s="27"/>
      <c r="T257" s="27"/>
    </row>
    <row r="258" spans="1:20" ht="12">
      <c r="A258" s="148"/>
      <c r="B258" s="174" t="s">
        <v>1071</v>
      </c>
      <c r="C258" s="175" t="s">
        <v>500</v>
      </c>
      <c r="D258" s="176" t="s">
        <v>501</v>
      </c>
      <c r="E258" s="177" t="s">
        <v>1072</v>
      </c>
      <c r="F258" s="175">
        <f t="shared" si="9"/>
        <v>6</v>
      </c>
      <c r="G258" s="175" t="str">
        <f t="shared" si="10"/>
        <v>Enid</v>
      </c>
      <c r="H258" s="175" t="str">
        <f t="shared" si="11"/>
        <v>Enid, OK</v>
      </c>
      <c r="I258" s="178" t="s">
        <v>560</v>
      </c>
      <c r="J258" s="27" t="s">
        <v>501</v>
      </c>
      <c r="K258" s="27">
        <v>1859</v>
      </c>
      <c r="L258" s="179">
        <v>3659</v>
      </c>
      <c r="M258" s="180" t="s">
        <v>652</v>
      </c>
      <c r="N258" s="181" t="s">
        <v>501</v>
      </c>
      <c r="O258" s="182" t="s">
        <v>653</v>
      </c>
      <c r="P258" s="26"/>
      <c r="Q258" s="27"/>
      <c r="R258" s="183"/>
      <c r="S258" s="27"/>
      <c r="T258" s="27"/>
    </row>
    <row r="259" spans="1:20" ht="12">
      <c r="A259" s="148"/>
      <c r="B259" s="174" t="s">
        <v>1073</v>
      </c>
      <c r="C259" s="175" t="s">
        <v>440</v>
      </c>
      <c r="D259" s="176" t="s">
        <v>441</v>
      </c>
      <c r="E259" s="177" t="s">
        <v>529</v>
      </c>
      <c r="F259" s="175">
        <f t="shared" si="9"/>
        <v>6</v>
      </c>
      <c r="G259" s="175" t="str">
        <f t="shared" si="10"/>
        <v>Erie</v>
      </c>
      <c r="H259" s="175" t="str">
        <f t="shared" si="11"/>
        <v>Erie, PA</v>
      </c>
      <c r="I259" s="178" t="s">
        <v>632</v>
      </c>
      <c r="J259" s="27" t="s">
        <v>441</v>
      </c>
      <c r="K259" s="27">
        <v>550</v>
      </c>
      <c r="L259" s="179">
        <v>6279</v>
      </c>
      <c r="M259" s="180" t="s">
        <v>633</v>
      </c>
      <c r="N259" s="181" t="s">
        <v>441</v>
      </c>
      <c r="O259" s="182" t="s">
        <v>634</v>
      </c>
      <c r="P259" s="26"/>
      <c r="Q259" s="27"/>
      <c r="R259" s="183"/>
      <c r="S259" s="27"/>
      <c r="T259" s="27"/>
    </row>
    <row r="260" spans="1:20" ht="12">
      <c r="A260" s="148"/>
      <c r="B260" s="174" t="s">
        <v>530</v>
      </c>
      <c r="C260" s="175" t="s">
        <v>440</v>
      </c>
      <c r="D260" s="176" t="s">
        <v>441</v>
      </c>
      <c r="E260" s="177" t="s">
        <v>529</v>
      </c>
      <c r="F260" s="175">
        <f t="shared" si="9"/>
        <v>6</v>
      </c>
      <c r="G260" s="175" t="str">
        <f t="shared" si="10"/>
        <v>Erie</v>
      </c>
      <c r="H260" s="175" t="str">
        <f t="shared" si="11"/>
        <v>Erie, PA</v>
      </c>
      <c r="I260" s="178" t="s">
        <v>632</v>
      </c>
      <c r="J260" s="27" t="s">
        <v>441</v>
      </c>
      <c r="K260" s="27">
        <v>550</v>
      </c>
      <c r="L260" s="179">
        <v>6279</v>
      </c>
      <c r="M260" s="180" t="s">
        <v>633</v>
      </c>
      <c r="N260" s="181" t="s">
        <v>441</v>
      </c>
      <c r="O260" s="182" t="s">
        <v>634</v>
      </c>
    </row>
    <row r="261" spans="1:20" ht="12">
      <c r="A261" s="148"/>
      <c r="B261" s="174" t="s">
        <v>531</v>
      </c>
      <c r="C261" s="175" t="s">
        <v>1694</v>
      </c>
      <c r="D261" s="176" t="s">
        <v>1695</v>
      </c>
      <c r="E261" s="177" t="s">
        <v>532</v>
      </c>
      <c r="F261" s="175">
        <f t="shared" si="9"/>
        <v>8</v>
      </c>
      <c r="G261" s="175" t="str">
        <f t="shared" si="10"/>
        <v>Eugene</v>
      </c>
      <c r="H261" s="175" t="str">
        <f t="shared" si="11"/>
        <v>Eugene, OR</v>
      </c>
      <c r="I261" s="178" t="s">
        <v>533</v>
      </c>
      <c r="J261" s="27" t="s">
        <v>1695</v>
      </c>
      <c r="K261" s="27">
        <v>300</v>
      </c>
      <c r="L261" s="179">
        <v>4546</v>
      </c>
      <c r="M261" s="180" t="s">
        <v>534</v>
      </c>
      <c r="N261" s="181" t="s">
        <v>1695</v>
      </c>
      <c r="O261" s="182" t="s">
        <v>535</v>
      </c>
    </row>
    <row r="262" spans="1:20" ht="12">
      <c r="A262" s="148"/>
      <c r="B262" s="174" t="s">
        <v>536</v>
      </c>
      <c r="C262" s="175" t="s">
        <v>433</v>
      </c>
      <c r="D262" s="176" t="s">
        <v>434</v>
      </c>
      <c r="E262" s="177" t="s">
        <v>537</v>
      </c>
      <c r="F262" s="175">
        <f t="shared" ref="F262:F325" si="12">LEN(E262)</f>
        <v>8</v>
      </c>
      <c r="G262" s="175" t="str">
        <f t="shared" ref="G262:G325" si="13">MID(E262,2,F262-2)</f>
        <v>Eureka</v>
      </c>
      <c r="H262" s="175" t="str">
        <f t="shared" ref="H262:H325" si="14">CONCATENATE(G262,", ",+D262)</f>
        <v>Eureka, CA</v>
      </c>
      <c r="I262" s="178" t="s">
        <v>538</v>
      </c>
      <c r="J262" s="27" t="s">
        <v>434</v>
      </c>
      <c r="K262" s="188">
        <v>725</v>
      </c>
      <c r="L262" s="179">
        <v>4496</v>
      </c>
      <c r="M262" s="180" t="s">
        <v>539</v>
      </c>
      <c r="N262" s="181" t="s">
        <v>1695</v>
      </c>
      <c r="O262" s="182" t="s">
        <v>540</v>
      </c>
    </row>
    <row r="263" spans="1:20" ht="12">
      <c r="A263" s="148"/>
      <c r="B263" s="174" t="s">
        <v>541</v>
      </c>
      <c r="C263" s="175" t="s">
        <v>1708</v>
      </c>
      <c r="D263" s="176" t="s">
        <v>1709</v>
      </c>
      <c r="E263" s="177" t="s">
        <v>542</v>
      </c>
      <c r="F263" s="175">
        <f t="shared" si="12"/>
        <v>10</v>
      </c>
      <c r="G263" s="175" t="str">
        <f t="shared" si="13"/>
        <v>Evanston</v>
      </c>
      <c r="H263" s="175" t="str">
        <f t="shared" si="14"/>
        <v>Evanston, IL</v>
      </c>
      <c r="I263" s="178" t="s">
        <v>2473</v>
      </c>
      <c r="J263" s="27" t="s">
        <v>1709</v>
      </c>
      <c r="K263" s="27">
        <v>752</v>
      </c>
      <c r="L263" s="179">
        <v>6536</v>
      </c>
      <c r="M263" s="178" t="s">
        <v>2474</v>
      </c>
      <c r="N263" s="27" t="s">
        <v>1709</v>
      </c>
      <c r="O263" s="182" t="s">
        <v>2475</v>
      </c>
    </row>
    <row r="264" spans="1:20" ht="12">
      <c r="A264" s="148"/>
      <c r="B264" s="174" t="s">
        <v>543</v>
      </c>
      <c r="C264" s="175" t="s">
        <v>2363</v>
      </c>
      <c r="D264" s="176" t="s">
        <v>2364</v>
      </c>
      <c r="E264" s="177" t="s">
        <v>2501</v>
      </c>
      <c r="F264" s="175">
        <f t="shared" si="12"/>
        <v>12</v>
      </c>
      <c r="G264" s="175" t="str">
        <f t="shared" si="13"/>
        <v>Evansville</v>
      </c>
      <c r="H264" s="175" t="str">
        <f t="shared" si="14"/>
        <v>Evansville, IN</v>
      </c>
      <c r="I264" s="178" t="s">
        <v>1446</v>
      </c>
      <c r="J264" s="27" t="s">
        <v>2364</v>
      </c>
      <c r="K264" s="27">
        <v>1376</v>
      </c>
      <c r="L264" s="179">
        <v>4708</v>
      </c>
      <c r="M264" s="178" t="s">
        <v>1447</v>
      </c>
      <c r="N264" s="27" t="s">
        <v>2364</v>
      </c>
      <c r="O264" s="182" t="s">
        <v>1448</v>
      </c>
    </row>
    <row r="265" spans="1:20" ht="12">
      <c r="A265" s="148"/>
      <c r="B265" s="174" t="s">
        <v>2502</v>
      </c>
      <c r="C265" s="175" t="s">
        <v>2363</v>
      </c>
      <c r="D265" s="176" t="s">
        <v>2364</v>
      </c>
      <c r="E265" s="177" t="s">
        <v>2501</v>
      </c>
      <c r="F265" s="175">
        <f t="shared" si="12"/>
        <v>12</v>
      </c>
      <c r="G265" s="175" t="str">
        <f t="shared" si="13"/>
        <v>Evansville</v>
      </c>
      <c r="H265" s="175" t="str">
        <f t="shared" si="14"/>
        <v>Evansville, IN</v>
      </c>
      <c r="I265" s="178" t="s">
        <v>1446</v>
      </c>
      <c r="J265" s="27" t="s">
        <v>2364</v>
      </c>
      <c r="K265" s="27">
        <v>1376</v>
      </c>
      <c r="L265" s="179">
        <v>4708</v>
      </c>
      <c r="M265" s="178" t="s">
        <v>1447</v>
      </c>
      <c r="N265" s="27" t="s">
        <v>2364</v>
      </c>
      <c r="O265" s="182" t="s">
        <v>1448</v>
      </c>
    </row>
    <row r="266" spans="1:20" ht="12">
      <c r="A266" s="148"/>
      <c r="B266" s="174" t="s">
        <v>2503</v>
      </c>
      <c r="C266" s="175" t="s">
        <v>547</v>
      </c>
      <c r="D266" s="176" t="s">
        <v>1699</v>
      </c>
      <c r="E266" s="177" t="s">
        <v>2504</v>
      </c>
      <c r="F266" s="175">
        <f t="shared" si="12"/>
        <v>9</v>
      </c>
      <c r="G266" s="175" t="str">
        <f t="shared" si="13"/>
        <v>Everett</v>
      </c>
      <c r="H266" s="175" t="str">
        <f t="shared" si="14"/>
        <v>Everett, WA</v>
      </c>
      <c r="I266" s="178" t="s">
        <v>2505</v>
      </c>
      <c r="J266" s="27" t="s">
        <v>1699</v>
      </c>
      <c r="K266" s="27">
        <v>6</v>
      </c>
      <c r="L266" s="179">
        <v>5858</v>
      </c>
      <c r="M266" s="180" t="s">
        <v>2506</v>
      </c>
      <c r="N266" s="181" t="s">
        <v>1699</v>
      </c>
      <c r="O266" s="182" t="s">
        <v>2507</v>
      </c>
    </row>
    <row r="267" spans="1:20" ht="12">
      <c r="A267" s="148"/>
      <c r="B267" s="174" t="s">
        <v>2508</v>
      </c>
      <c r="C267" s="175" t="s">
        <v>493</v>
      </c>
      <c r="D267" s="176" t="s">
        <v>494</v>
      </c>
      <c r="E267" s="177" t="s">
        <v>2509</v>
      </c>
      <c r="F267" s="175">
        <f t="shared" si="12"/>
        <v>11</v>
      </c>
      <c r="G267" s="175" t="str">
        <f t="shared" si="13"/>
        <v>Evergreen</v>
      </c>
      <c r="H267" s="175" t="str">
        <f t="shared" si="14"/>
        <v>Evergreen, AL</v>
      </c>
      <c r="I267" s="178" t="s">
        <v>1792</v>
      </c>
      <c r="J267" s="27" t="s">
        <v>494</v>
      </c>
      <c r="K267" s="27">
        <v>2212</v>
      </c>
      <c r="L267" s="179">
        <v>2224</v>
      </c>
      <c r="M267" s="178" t="s">
        <v>1793</v>
      </c>
      <c r="N267" s="27" t="s">
        <v>494</v>
      </c>
      <c r="O267" s="187" t="s">
        <v>1794</v>
      </c>
    </row>
    <row r="268" spans="1:20" ht="12">
      <c r="A268" s="148"/>
      <c r="B268" s="174" t="s">
        <v>2510</v>
      </c>
      <c r="C268" s="175" t="s">
        <v>464</v>
      </c>
      <c r="D268" s="176" t="s">
        <v>465</v>
      </c>
      <c r="E268" s="177" t="s">
        <v>2511</v>
      </c>
      <c r="F268" s="175">
        <f t="shared" si="12"/>
        <v>11</v>
      </c>
      <c r="G268" s="175" t="str">
        <f t="shared" si="13"/>
        <v>Fairbanks</v>
      </c>
      <c r="H268" s="175" t="str">
        <f t="shared" si="14"/>
        <v>Fairbanks, AK</v>
      </c>
      <c r="I268" s="178" t="s">
        <v>2512</v>
      </c>
      <c r="J268" s="27" t="s">
        <v>465</v>
      </c>
      <c r="K268" s="27">
        <v>84</v>
      </c>
      <c r="L268" s="179">
        <v>13940</v>
      </c>
      <c r="M268" s="178" t="s">
        <v>2513</v>
      </c>
      <c r="N268" s="27" t="s">
        <v>465</v>
      </c>
      <c r="O268" s="187" t="s">
        <v>2514</v>
      </c>
    </row>
    <row r="269" spans="1:20" ht="12">
      <c r="A269" s="148"/>
      <c r="B269" s="174" t="s">
        <v>1973</v>
      </c>
      <c r="C269" s="175" t="s">
        <v>407</v>
      </c>
      <c r="D269" s="176" t="s">
        <v>408</v>
      </c>
      <c r="E269" s="177" t="s">
        <v>1974</v>
      </c>
      <c r="F269" s="175">
        <f t="shared" si="12"/>
        <v>14</v>
      </c>
      <c r="G269" s="175" t="str">
        <f t="shared" si="13"/>
        <v>Far Rockaway</v>
      </c>
      <c r="H269" s="175" t="str">
        <f t="shared" si="14"/>
        <v>Far Rockaway, NY</v>
      </c>
      <c r="I269" s="178" t="s">
        <v>1975</v>
      </c>
      <c r="J269" s="27" t="s">
        <v>408</v>
      </c>
      <c r="K269" s="27">
        <v>706</v>
      </c>
      <c r="L269" s="179">
        <v>5647</v>
      </c>
      <c r="M269" s="178" t="s">
        <v>647</v>
      </c>
      <c r="N269" s="27" t="s">
        <v>644</v>
      </c>
      <c r="O269" s="182" t="s">
        <v>648</v>
      </c>
    </row>
    <row r="270" spans="1:20" ht="12">
      <c r="A270" s="148"/>
      <c r="B270" s="174" t="s">
        <v>1976</v>
      </c>
      <c r="C270" s="175" t="s">
        <v>1506</v>
      </c>
      <c r="D270" s="176" t="s">
        <v>251</v>
      </c>
      <c r="E270" s="177" t="s">
        <v>1977</v>
      </c>
      <c r="F270" s="175">
        <f t="shared" si="12"/>
        <v>7</v>
      </c>
      <c r="G270" s="175" t="str">
        <f t="shared" si="13"/>
        <v>Fargo</v>
      </c>
      <c r="H270" s="175" t="str">
        <f t="shared" si="14"/>
        <v>Fargo, ND</v>
      </c>
      <c r="I270" s="178" t="s">
        <v>1777</v>
      </c>
      <c r="J270" s="27" t="s">
        <v>251</v>
      </c>
      <c r="K270" s="27">
        <v>537</v>
      </c>
      <c r="L270" s="179">
        <v>9254</v>
      </c>
      <c r="M270" s="180" t="s">
        <v>250</v>
      </c>
      <c r="N270" s="181" t="s">
        <v>251</v>
      </c>
      <c r="O270" s="182" t="s">
        <v>252</v>
      </c>
      <c r="P270" s="26"/>
      <c r="Q270" s="27"/>
      <c r="R270" s="183"/>
      <c r="S270" s="27"/>
      <c r="T270" s="27"/>
    </row>
    <row r="271" spans="1:20" ht="12">
      <c r="A271" s="148"/>
      <c r="B271" s="174" t="s">
        <v>1978</v>
      </c>
      <c r="C271" s="175" t="s">
        <v>1506</v>
      </c>
      <c r="D271" s="176" t="s">
        <v>251</v>
      </c>
      <c r="E271" s="177" t="s">
        <v>1977</v>
      </c>
      <c r="F271" s="175">
        <f t="shared" si="12"/>
        <v>7</v>
      </c>
      <c r="G271" s="175" t="str">
        <f t="shared" si="13"/>
        <v>Fargo</v>
      </c>
      <c r="H271" s="175" t="str">
        <f t="shared" si="14"/>
        <v>Fargo, ND</v>
      </c>
      <c r="I271" s="178" t="s">
        <v>1777</v>
      </c>
      <c r="J271" s="27" t="s">
        <v>251</v>
      </c>
      <c r="K271" s="27">
        <v>537</v>
      </c>
      <c r="L271" s="179">
        <v>9254</v>
      </c>
      <c r="M271" s="180" t="s">
        <v>250</v>
      </c>
      <c r="N271" s="181" t="s">
        <v>251</v>
      </c>
      <c r="O271" s="182" t="s">
        <v>252</v>
      </c>
      <c r="P271" s="26"/>
      <c r="Q271" s="27"/>
      <c r="R271" s="183"/>
      <c r="S271" s="27"/>
      <c r="T271" s="27"/>
    </row>
    <row r="272" spans="1:20" ht="12">
      <c r="A272" s="148"/>
      <c r="B272" s="174" t="s">
        <v>1979</v>
      </c>
      <c r="C272" s="175" t="s">
        <v>415</v>
      </c>
      <c r="D272" s="176" t="s">
        <v>416</v>
      </c>
      <c r="E272" s="177" t="s">
        <v>1980</v>
      </c>
      <c r="F272" s="175">
        <f t="shared" si="12"/>
        <v>12</v>
      </c>
      <c r="G272" s="175" t="str">
        <f t="shared" si="13"/>
        <v>Farmington</v>
      </c>
      <c r="H272" s="175" t="str">
        <f t="shared" si="14"/>
        <v>Farmington, NM</v>
      </c>
      <c r="I272" s="178" t="s">
        <v>1815</v>
      </c>
      <c r="J272" s="27" t="s">
        <v>394</v>
      </c>
      <c r="K272" s="27">
        <v>1183</v>
      </c>
      <c r="L272" s="179">
        <v>5548</v>
      </c>
      <c r="M272" s="178" t="s">
        <v>1816</v>
      </c>
      <c r="N272" s="27" t="s">
        <v>394</v>
      </c>
      <c r="O272" s="182" t="s">
        <v>1817</v>
      </c>
      <c r="P272" s="26"/>
      <c r="Q272" s="27"/>
      <c r="R272" s="183"/>
      <c r="S272" s="27"/>
      <c r="T272" s="27"/>
    </row>
    <row r="273" spans="1:15" ht="12">
      <c r="A273" s="148"/>
      <c r="B273" s="174" t="s">
        <v>1981</v>
      </c>
      <c r="C273" s="175" t="s">
        <v>425</v>
      </c>
      <c r="D273" s="176" t="s">
        <v>426</v>
      </c>
      <c r="E273" s="177" t="s">
        <v>1982</v>
      </c>
      <c r="F273" s="175">
        <f t="shared" si="12"/>
        <v>11</v>
      </c>
      <c r="G273" s="175" t="str">
        <f t="shared" si="13"/>
        <v>Farmville</v>
      </c>
      <c r="H273" s="175" t="str">
        <f t="shared" si="14"/>
        <v>Farmville, VA</v>
      </c>
      <c r="I273" s="178" t="s">
        <v>2453</v>
      </c>
      <c r="J273" s="27" t="s">
        <v>426</v>
      </c>
      <c r="K273" s="27">
        <v>1348</v>
      </c>
      <c r="L273" s="179">
        <v>3963</v>
      </c>
      <c r="M273" s="180" t="s">
        <v>2454</v>
      </c>
      <c r="N273" s="181" t="s">
        <v>426</v>
      </c>
      <c r="O273" s="182" t="s">
        <v>2455</v>
      </c>
    </row>
    <row r="274" spans="1:15" ht="12">
      <c r="A274" s="148"/>
      <c r="B274" s="174" t="s">
        <v>1983</v>
      </c>
      <c r="C274" s="175" t="s">
        <v>1650</v>
      </c>
      <c r="D274" s="176" t="s">
        <v>1651</v>
      </c>
      <c r="E274" s="177" t="s">
        <v>1984</v>
      </c>
      <c r="F274" s="175">
        <f t="shared" si="12"/>
        <v>14</v>
      </c>
      <c r="G274" s="175" t="str">
        <f t="shared" si="13"/>
        <v>Fayetteville</v>
      </c>
      <c r="H274" s="175" t="str">
        <f t="shared" si="14"/>
        <v>Fayetteville, AR</v>
      </c>
      <c r="I274" s="178" t="s">
        <v>1985</v>
      </c>
      <c r="J274" s="27" t="s">
        <v>1439</v>
      </c>
      <c r="K274" s="27">
        <v>1320</v>
      </c>
      <c r="L274" s="179">
        <v>4638</v>
      </c>
      <c r="M274" s="180" t="s">
        <v>1712</v>
      </c>
      <c r="N274" s="181" t="s">
        <v>1439</v>
      </c>
      <c r="O274" s="182" t="s">
        <v>1986</v>
      </c>
    </row>
    <row r="275" spans="1:15" ht="12">
      <c r="A275" s="148"/>
      <c r="B275" s="174" t="s">
        <v>1987</v>
      </c>
      <c r="C275" s="175" t="s">
        <v>472</v>
      </c>
      <c r="D275" s="176" t="s">
        <v>473</v>
      </c>
      <c r="E275" s="177" t="s">
        <v>1984</v>
      </c>
      <c r="F275" s="175">
        <f t="shared" si="12"/>
        <v>14</v>
      </c>
      <c r="G275" s="175" t="str">
        <f t="shared" si="13"/>
        <v>Fayetteville</v>
      </c>
      <c r="H275" s="175" t="str">
        <f t="shared" si="14"/>
        <v>Fayetteville, NC</v>
      </c>
      <c r="I275" s="178" t="s">
        <v>2450</v>
      </c>
      <c r="J275" s="27" t="s">
        <v>473</v>
      </c>
      <c r="K275" s="27">
        <v>1582</v>
      </c>
      <c r="L275" s="179">
        <v>3341</v>
      </c>
      <c r="M275" s="180" t="s">
        <v>2446</v>
      </c>
      <c r="N275" s="181" t="s">
        <v>473</v>
      </c>
      <c r="O275" s="182" t="s">
        <v>2447</v>
      </c>
    </row>
    <row r="276" spans="1:15" ht="12">
      <c r="A276" s="148"/>
      <c r="B276" s="174" t="s">
        <v>1988</v>
      </c>
      <c r="C276" s="175" t="s">
        <v>1372</v>
      </c>
      <c r="D276" s="176" t="s">
        <v>1373</v>
      </c>
      <c r="E276" s="177" t="s">
        <v>1989</v>
      </c>
      <c r="F276" s="175">
        <f t="shared" si="12"/>
        <v>11</v>
      </c>
      <c r="G276" s="175" t="str">
        <f t="shared" si="13"/>
        <v>Flagstaff</v>
      </c>
      <c r="H276" s="175" t="str">
        <f t="shared" si="14"/>
        <v>Flagstaff, AZ</v>
      </c>
      <c r="I276" s="178" t="s">
        <v>1990</v>
      </c>
      <c r="J276" s="27" t="s">
        <v>1373</v>
      </c>
      <c r="K276" s="27">
        <v>145</v>
      </c>
      <c r="L276" s="179">
        <v>7131</v>
      </c>
      <c r="M276" s="178" t="s">
        <v>1991</v>
      </c>
      <c r="N276" s="27" t="s">
        <v>1373</v>
      </c>
      <c r="O276" s="182" t="s">
        <v>1992</v>
      </c>
    </row>
    <row r="277" spans="1:15" ht="12">
      <c r="A277" s="148"/>
      <c r="B277" s="174" t="s">
        <v>1993</v>
      </c>
      <c r="C277" s="175" t="s">
        <v>1438</v>
      </c>
      <c r="D277" s="176" t="s">
        <v>1439</v>
      </c>
      <c r="E277" s="177" t="s">
        <v>1994</v>
      </c>
      <c r="F277" s="175">
        <f t="shared" si="12"/>
        <v>12</v>
      </c>
      <c r="G277" s="175" t="str">
        <f t="shared" si="13"/>
        <v>Flat River</v>
      </c>
      <c r="H277" s="175" t="str">
        <f t="shared" si="14"/>
        <v>Flat River, MO</v>
      </c>
      <c r="I277" s="178" t="s">
        <v>1441</v>
      </c>
      <c r="J277" s="27" t="s">
        <v>1439</v>
      </c>
      <c r="K277" s="27">
        <v>1534</v>
      </c>
      <c r="L277" s="179">
        <v>4758</v>
      </c>
      <c r="M277" s="178" t="s">
        <v>1442</v>
      </c>
      <c r="N277" s="27" t="s">
        <v>1439</v>
      </c>
      <c r="O277" s="182" t="s">
        <v>1443</v>
      </c>
    </row>
    <row r="278" spans="1:15" ht="12">
      <c r="A278" s="148"/>
      <c r="B278" s="174" t="s">
        <v>1995</v>
      </c>
      <c r="C278" s="175" t="s">
        <v>480</v>
      </c>
      <c r="D278" s="176" t="s">
        <v>481</v>
      </c>
      <c r="E278" s="177" t="s">
        <v>1996</v>
      </c>
      <c r="F278" s="175">
        <f t="shared" si="12"/>
        <v>7</v>
      </c>
      <c r="G278" s="175" t="str">
        <f t="shared" si="13"/>
        <v>Flint</v>
      </c>
      <c r="H278" s="175" t="str">
        <f t="shared" si="14"/>
        <v>Flint, MI</v>
      </c>
      <c r="I278" s="178" t="s">
        <v>1997</v>
      </c>
      <c r="J278" s="27" t="s">
        <v>481</v>
      </c>
      <c r="K278" s="27">
        <v>490</v>
      </c>
      <c r="L278" s="179">
        <v>7101</v>
      </c>
      <c r="M278" s="180" t="s">
        <v>1998</v>
      </c>
      <c r="N278" s="181" t="s">
        <v>481</v>
      </c>
      <c r="O278" s="182" t="s">
        <v>1999</v>
      </c>
    </row>
    <row r="279" spans="1:15" ht="12">
      <c r="A279" s="148"/>
      <c r="B279" s="174" t="s">
        <v>2000</v>
      </c>
      <c r="C279" s="175" t="s">
        <v>480</v>
      </c>
      <c r="D279" s="176" t="s">
        <v>481</v>
      </c>
      <c r="E279" s="177" t="s">
        <v>1996</v>
      </c>
      <c r="F279" s="175">
        <f t="shared" si="12"/>
        <v>7</v>
      </c>
      <c r="G279" s="175" t="str">
        <f t="shared" si="13"/>
        <v>Flint</v>
      </c>
      <c r="H279" s="175" t="str">
        <f t="shared" si="14"/>
        <v>Flint, MI</v>
      </c>
      <c r="I279" s="178" t="s">
        <v>2001</v>
      </c>
      <c r="J279" s="27" t="s">
        <v>481</v>
      </c>
      <c r="K279" s="27">
        <v>483</v>
      </c>
      <c r="L279" s="179">
        <v>6979</v>
      </c>
      <c r="M279" s="180" t="s">
        <v>1998</v>
      </c>
      <c r="N279" s="181" t="s">
        <v>481</v>
      </c>
      <c r="O279" s="182" t="s">
        <v>1999</v>
      </c>
    </row>
    <row r="280" spans="1:15" ht="12">
      <c r="A280" s="148"/>
      <c r="B280" s="174" t="s">
        <v>2002</v>
      </c>
      <c r="C280" s="175" t="s">
        <v>274</v>
      </c>
      <c r="D280" s="176" t="s">
        <v>275</v>
      </c>
      <c r="E280" s="177" t="s">
        <v>2003</v>
      </c>
      <c r="F280" s="175">
        <f t="shared" si="12"/>
        <v>10</v>
      </c>
      <c r="G280" s="175" t="str">
        <f t="shared" si="13"/>
        <v>Florence</v>
      </c>
      <c r="H280" s="175" t="str">
        <f t="shared" si="14"/>
        <v>Florence, SC</v>
      </c>
      <c r="I280" s="178" t="s">
        <v>2004</v>
      </c>
      <c r="J280" s="27" t="s">
        <v>473</v>
      </c>
      <c r="K280" s="27">
        <v>1926</v>
      </c>
      <c r="L280" s="179">
        <v>2470</v>
      </c>
      <c r="M280" s="178" t="s">
        <v>278</v>
      </c>
      <c r="N280" s="27" t="s">
        <v>275</v>
      </c>
      <c r="O280" s="182" t="s">
        <v>279</v>
      </c>
    </row>
    <row r="281" spans="1:15" ht="12">
      <c r="A281" s="148"/>
      <c r="B281" s="174" t="s">
        <v>2005</v>
      </c>
      <c r="C281" s="175" t="s">
        <v>407</v>
      </c>
      <c r="D281" s="176" t="s">
        <v>408</v>
      </c>
      <c r="E281" s="177" t="s">
        <v>2006</v>
      </c>
      <c r="F281" s="175">
        <f t="shared" si="12"/>
        <v>10</v>
      </c>
      <c r="G281" s="175" t="str">
        <f t="shared" si="13"/>
        <v>Flushing</v>
      </c>
      <c r="H281" s="175" t="str">
        <f t="shared" si="14"/>
        <v>Flushing, NY</v>
      </c>
      <c r="I281" s="178" t="s">
        <v>2007</v>
      </c>
      <c r="J281" s="27" t="s">
        <v>408</v>
      </c>
      <c r="K281" s="27">
        <v>921</v>
      </c>
      <c r="L281" s="179">
        <v>5027</v>
      </c>
      <c r="M281" s="180" t="s">
        <v>2360</v>
      </c>
      <c r="N281" s="181" t="s">
        <v>408</v>
      </c>
      <c r="O281" s="182" t="s">
        <v>1359</v>
      </c>
    </row>
    <row r="282" spans="1:15" ht="12">
      <c r="A282" s="148"/>
      <c r="B282" s="174" t="s">
        <v>2008</v>
      </c>
      <c r="C282" s="175" t="s">
        <v>1394</v>
      </c>
      <c r="D282" s="176" t="s">
        <v>1395</v>
      </c>
      <c r="E282" s="177" t="s">
        <v>2009</v>
      </c>
      <c r="F282" s="175">
        <f t="shared" si="12"/>
        <v>12</v>
      </c>
      <c r="G282" s="175" t="str">
        <f t="shared" si="13"/>
        <v>Fort Dodge</v>
      </c>
      <c r="H282" s="175" t="str">
        <f t="shared" si="14"/>
        <v>Fort Dodge, IA</v>
      </c>
      <c r="I282" s="178" t="s">
        <v>1458</v>
      </c>
      <c r="J282" s="27" t="s">
        <v>1395</v>
      </c>
      <c r="K282" s="27">
        <v>907</v>
      </c>
      <c r="L282" s="179">
        <v>6893</v>
      </c>
      <c r="M282" s="178" t="s">
        <v>1459</v>
      </c>
      <c r="N282" s="27" t="s">
        <v>1395</v>
      </c>
      <c r="O282" s="182" t="s">
        <v>1460</v>
      </c>
    </row>
    <row r="283" spans="1:15" ht="12">
      <c r="A283" s="148"/>
      <c r="B283" s="174" t="s">
        <v>2010</v>
      </c>
      <c r="C283" s="175" t="s">
        <v>624</v>
      </c>
      <c r="D283" s="176" t="s">
        <v>625</v>
      </c>
      <c r="E283" s="177" t="s">
        <v>2011</v>
      </c>
      <c r="F283" s="175">
        <f t="shared" si="12"/>
        <v>17</v>
      </c>
      <c r="G283" s="175" t="str">
        <f t="shared" si="13"/>
        <v>Fort Lauderdale</v>
      </c>
      <c r="H283" s="175" t="str">
        <f t="shared" si="14"/>
        <v>Fort Lauderdale, FL</v>
      </c>
      <c r="I283" s="178" t="s">
        <v>2012</v>
      </c>
      <c r="J283" s="27" t="s">
        <v>625</v>
      </c>
      <c r="K283" s="27">
        <v>4198</v>
      </c>
      <c r="L283" s="179">
        <v>200</v>
      </c>
      <c r="M283" s="180" t="s">
        <v>2013</v>
      </c>
      <c r="N283" s="181" t="s">
        <v>625</v>
      </c>
      <c r="O283" s="182" t="s">
        <v>2014</v>
      </c>
    </row>
    <row r="284" spans="1:15" ht="12">
      <c r="A284" s="148"/>
      <c r="B284" s="174" t="s">
        <v>2015</v>
      </c>
      <c r="C284" s="175" t="s">
        <v>393</v>
      </c>
      <c r="D284" s="176" t="s">
        <v>394</v>
      </c>
      <c r="E284" s="177" t="s">
        <v>2016</v>
      </c>
      <c r="F284" s="175">
        <f t="shared" si="12"/>
        <v>13</v>
      </c>
      <c r="G284" s="175" t="str">
        <f t="shared" si="13"/>
        <v>Fort Morgan</v>
      </c>
      <c r="H284" s="175" t="str">
        <f t="shared" si="14"/>
        <v>Fort Morgan, CO</v>
      </c>
      <c r="I284" s="178" t="s">
        <v>1575</v>
      </c>
      <c r="J284" s="27" t="s">
        <v>394</v>
      </c>
      <c r="K284" s="27">
        <v>419</v>
      </c>
      <c r="L284" s="179">
        <v>6415</v>
      </c>
      <c r="M284" s="178" t="s">
        <v>397</v>
      </c>
      <c r="N284" s="27" t="s">
        <v>394</v>
      </c>
      <c r="O284" s="182" t="s">
        <v>398</v>
      </c>
    </row>
    <row r="285" spans="1:15" ht="12">
      <c r="A285" s="148"/>
      <c r="B285" s="174" t="s">
        <v>2017</v>
      </c>
      <c r="C285" s="175" t="s">
        <v>624</v>
      </c>
      <c r="D285" s="176" t="s">
        <v>625</v>
      </c>
      <c r="E285" s="177" t="s">
        <v>2018</v>
      </c>
      <c r="F285" s="175">
        <f t="shared" si="12"/>
        <v>12</v>
      </c>
      <c r="G285" s="175" t="str">
        <f t="shared" si="13"/>
        <v>Fort Myers</v>
      </c>
      <c r="H285" s="175" t="str">
        <f t="shared" si="14"/>
        <v>Fort Myers, FL</v>
      </c>
      <c r="I285" s="178" t="s">
        <v>2019</v>
      </c>
      <c r="J285" s="27" t="s">
        <v>625</v>
      </c>
      <c r="K285" s="27">
        <v>3855</v>
      </c>
      <c r="L285" s="179">
        <v>418</v>
      </c>
      <c r="M285" s="178" t="s">
        <v>628</v>
      </c>
      <c r="N285" s="27" t="s">
        <v>625</v>
      </c>
      <c r="O285" s="182" t="s">
        <v>629</v>
      </c>
    </row>
    <row r="286" spans="1:15" ht="12">
      <c r="A286" s="148"/>
      <c r="B286" s="174" t="s">
        <v>2020</v>
      </c>
      <c r="C286" s="175" t="s">
        <v>624</v>
      </c>
      <c r="D286" s="176" t="s">
        <v>625</v>
      </c>
      <c r="E286" s="177" t="s">
        <v>2021</v>
      </c>
      <c r="F286" s="175">
        <f t="shared" si="12"/>
        <v>13</v>
      </c>
      <c r="G286" s="175" t="str">
        <f t="shared" si="13"/>
        <v>Fort Pierce</v>
      </c>
      <c r="H286" s="175" t="str">
        <f t="shared" si="14"/>
        <v>Fort Pierce, FL</v>
      </c>
      <c r="I286" s="178" t="s">
        <v>627</v>
      </c>
      <c r="J286" s="27" t="s">
        <v>625</v>
      </c>
      <c r="K286" s="27">
        <v>3427</v>
      </c>
      <c r="L286" s="179">
        <v>725</v>
      </c>
      <c r="M286" s="178" t="s">
        <v>628</v>
      </c>
      <c r="N286" s="27" t="s">
        <v>625</v>
      </c>
      <c r="O286" s="182" t="s">
        <v>629</v>
      </c>
    </row>
    <row r="287" spans="1:15" ht="12">
      <c r="A287" s="148"/>
      <c r="B287" s="174" t="s">
        <v>2022</v>
      </c>
      <c r="C287" s="175" t="s">
        <v>1567</v>
      </c>
      <c r="D287" s="176" t="s">
        <v>1568</v>
      </c>
      <c r="E287" s="177" t="s">
        <v>2023</v>
      </c>
      <c r="F287" s="175">
        <f t="shared" si="12"/>
        <v>12</v>
      </c>
      <c r="G287" s="175" t="str">
        <f t="shared" si="13"/>
        <v>Fort Scott</v>
      </c>
      <c r="H287" s="175" t="str">
        <f t="shared" si="14"/>
        <v>Fort Scott, KS</v>
      </c>
      <c r="I287" s="178" t="s">
        <v>1985</v>
      </c>
      <c r="J287" s="27" t="s">
        <v>1439</v>
      </c>
      <c r="K287" s="27">
        <v>1320</v>
      </c>
      <c r="L287" s="179">
        <v>4638</v>
      </c>
      <c r="M287" s="180" t="s">
        <v>1712</v>
      </c>
      <c r="N287" s="181" t="s">
        <v>1439</v>
      </c>
      <c r="O287" s="182" t="s">
        <v>1986</v>
      </c>
    </row>
    <row r="288" spans="1:15" ht="12">
      <c r="A288" s="148"/>
      <c r="B288" s="174" t="s">
        <v>2024</v>
      </c>
      <c r="C288" s="175" t="s">
        <v>1650</v>
      </c>
      <c r="D288" s="176" t="s">
        <v>1651</v>
      </c>
      <c r="E288" s="177" t="s">
        <v>2025</v>
      </c>
      <c r="F288" s="175">
        <f t="shared" si="12"/>
        <v>12</v>
      </c>
      <c r="G288" s="175" t="str">
        <f t="shared" si="13"/>
        <v>Fort Smith</v>
      </c>
      <c r="H288" s="175" t="str">
        <f t="shared" si="14"/>
        <v>Fort Smith, AR</v>
      </c>
      <c r="I288" s="178" t="s">
        <v>2026</v>
      </c>
      <c r="J288" s="27" t="s">
        <v>1651</v>
      </c>
      <c r="K288" s="27">
        <v>1894</v>
      </c>
      <c r="L288" s="179">
        <v>3478</v>
      </c>
      <c r="M288" s="178" t="s">
        <v>2027</v>
      </c>
      <c r="N288" s="27" t="s">
        <v>1651</v>
      </c>
      <c r="O288" s="182" t="s">
        <v>2028</v>
      </c>
    </row>
    <row r="289" spans="1:15" ht="12">
      <c r="A289" s="148"/>
      <c r="B289" s="174" t="s">
        <v>2029</v>
      </c>
      <c r="C289" s="175" t="s">
        <v>2363</v>
      </c>
      <c r="D289" s="176" t="s">
        <v>2364</v>
      </c>
      <c r="E289" s="177" t="s">
        <v>2030</v>
      </c>
      <c r="F289" s="175">
        <f t="shared" si="12"/>
        <v>12</v>
      </c>
      <c r="G289" s="175" t="str">
        <f t="shared" si="13"/>
        <v>Fort Wayne</v>
      </c>
      <c r="H289" s="175" t="str">
        <f t="shared" si="14"/>
        <v>Fort Wayne, IN</v>
      </c>
      <c r="I289" s="178" t="s">
        <v>2031</v>
      </c>
      <c r="J289" s="27" t="s">
        <v>2364</v>
      </c>
      <c r="K289" s="27">
        <v>728</v>
      </c>
      <c r="L289" s="179">
        <v>6331</v>
      </c>
      <c r="M289" s="178" t="s">
        <v>2032</v>
      </c>
      <c r="N289" s="27" t="s">
        <v>2364</v>
      </c>
      <c r="O289" s="182" t="s">
        <v>2033</v>
      </c>
    </row>
    <row r="290" spans="1:15" ht="12">
      <c r="A290" s="148"/>
      <c r="B290" s="174" t="s">
        <v>2034</v>
      </c>
      <c r="C290" s="175" t="s">
        <v>2363</v>
      </c>
      <c r="D290" s="176" t="s">
        <v>2364</v>
      </c>
      <c r="E290" s="177" t="s">
        <v>2030</v>
      </c>
      <c r="F290" s="175">
        <f t="shared" si="12"/>
        <v>12</v>
      </c>
      <c r="G290" s="175" t="str">
        <f t="shared" si="13"/>
        <v>Fort Wayne</v>
      </c>
      <c r="H290" s="175" t="str">
        <f t="shared" si="14"/>
        <v>Fort Wayne, IN</v>
      </c>
      <c r="I290" s="178" t="s">
        <v>2035</v>
      </c>
      <c r="J290" s="27" t="s">
        <v>2364</v>
      </c>
      <c r="K290" s="27">
        <v>824</v>
      </c>
      <c r="L290" s="179">
        <v>6273</v>
      </c>
      <c r="M290" s="178" t="s">
        <v>2032</v>
      </c>
      <c r="N290" s="27" t="s">
        <v>2364</v>
      </c>
      <c r="O290" s="182" t="s">
        <v>2033</v>
      </c>
    </row>
    <row r="291" spans="1:15" ht="12">
      <c r="A291" s="148"/>
      <c r="B291" s="174" t="s">
        <v>2036</v>
      </c>
      <c r="C291" s="175" t="s">
        <v>254</v>
      </c>
      <c r="D291" s="176" t="s">
        <v>255</v>
      </c>
      <c r="E291" s="177" t="s">
        <v>2037</v>
      </c>
      <c r="F291" s="175">
        <f t="shared" si="12"/>
        <v>12</v>
      </c>
      <c r="G291" s="175" t="str">
        <f t="shared" si="13"/>
        <v>Fort Worth</v>
      </c>
      <c r="H291" s="175" t="str">
        <f t="shared" si="14"/>
        <v>Fort Worth, TX</v>
      </c>
      <c r="I291" s="178" t="s">
        <v>503</v>
      </c>
      <c r="J291" s="27" t="s">
        <v>255</v>
      </c>
      <c r="K291" s="27">
        <v>2603</v>
      </c>
      <c r="L291" s="179">
        <v>2407</v>
      </c>
      <c r="M291" s="180" t="s">
        <v>504</v>
      </c>
      <c r="N291" s="181" t="s">
        <v>255</v>
      </c>
      <c r="O291" s="182" t="s">
        <v>505</v>
      </c>
    </row>
    <row r="292" spans="1:15" ht="12">
      <c r="A292" s="148"/>
      <c r="B292" s="174" t="s">
        <v>2038</v>
      </c>
      <c r="C292" s="175" t="s">
        <v>254</v>
      </c>
      <c r="D292" s="176" t="s">
        <v>255</v>
      </c>
      <c r="E292" s="177" t="s">
        <v>2037</v>
      </c>
      <c r="F292" s="175">
        <f t="shared" si="12"/>
        <v>12</v>
      </c>
      <c r="G292" s="175" t="str">
        <f t="shared" si="13"/>
        <v>Fort Worth</v>
      </c>
      <c r="H292" s="175" t="str">
        <f t="shared" si="14"/>
        <v>Fort Worth, TX</v>
      </c>
      <c r="I292" s="178" t="s">
        <v>503</v>
      </c>
      <c r="J292" s="27" t="s">
        <v>255</v>
      </c>
      <c r="K292" s="27">
        <v>2603</v>
      </c>
      <c r="L292" s="179">
        <v>2407</v>
      </c>
      <c r="M292" s="180" t="s">
        <v>504</v>
      </c>
      <c r="N292" s="181" t="s">
        <v>255</v>
      </c>
      <c r="O292" s="182" t="s">
        <v>505</v>
      </c>
    </row>
    <row r="293" spans="1:15" ht="12">
      <c r="A293" s="148"/>
      <c r="B293" s="186" t="s">
        <v>2039</v>
      </c>
      <c r="C293" s="175" t="s">
        <v>2382</v>
      </c>
      <c r="D293" s="176" t="s">
        <v>2383</v>
      </c>
      <c r="E293" s="177" t="s">
        <v>2040</v>
      </c>
      <c r="F293" s="175">
        <f t="shared" si="12"/>
        <v>12</v>
      </c>
      <c r="G293" s="175" t="str">
        <f t="shared" si="13"/>
        <v>Framingham</v>
      </c>
      <c r="H293" s="175" t="str">
        <f t="shared" si="14"/>
        <v>Framingham, MA</v>
      </c>
      <c r="I293" s="178" t="s">
        <v>603</v>
      </c>
      <c r="J293" s="27" t="s">
        <v>2383</v>
      </c>
      <c r="K293" s="27">
        <v>333</v>
      </c>
      <c r="L293" s="179">
        <v>6979</v>
      </c>
      <c r="M293" s="180" t="s">
        <v>604</v>
      </c>
      <c r="N293" s="181" t="s">
        <v>2383</v>
      </c>
      <c r="O293" s="182" t="s">
        <v>605</v>
      </c>
    </row>
    <row r="294" spans="1:15" ht="12">
      <c r="A294" s="148"/>
      <c r="B294" s="174" t="s">
        <v>2041</v>
      </c>
      <c r="C294" s="175" t="s">
        <v>516</v>
      </c>
      <c r="D294" s="176" t="s">
        <v>517</v>
      </c>
      <c r="E294" s="177" t="s">
        <v>2042</v>
      </c>
      <c r="F294" s="175">
        <f t="shared" si="12"/>
        <v>11</v>
      </c>
      <c r="G294" s="175" t="str">
        <f t="shared" si="13"/>
        <v>Frankfort</v>
      </c>
      <c r="H294" s="175" t="str">
        <f t="shared" si="14"/>
        <v>Frankfort, KY</v>
      </c>
      <c r="I294" s="178" t="s">
        <v>1586</v>
      </c>
      <c r="J294" s="27" t="s">
        <v>517</v>
      </c>
      <c r="K294" s="27">
        <v>1140</v>
      </c>
      <c r="L294" s="179">
        <v>4783</v>
      </c>
      <c r="M294" s="180" t="s">
        <v>1587</v>
      </c>
      <c r="N294" s="181" t="s">
        <v>517</v>
      </c>
      <c r="O294" s="182" t="s">
        <v>1588</v>
      </c>
    </row>
    <row r="295" spans="1:15" ht="12">
      <c r="A295" s="148"/>
      <c r="B295" s="174" t="s">
        <v>2043</v>
      </c>
      <c r="C295" s="175" t="s">
        <v>487</v>
      </c>
      <c r="D295" s="176" t="s">
        <v>430</v>
      </c>
      <c r="E295" s="177" t="s">
        <v>2044</v>
      </c>
      <c r="F295" s="175">
        <f t="shared" si="12"/>
        <v>11</v>
      </c>
      <c r="G295" s="175" t="str">
        <f t="shared" si="13"/>
        <v>Frederick</v>
      </c>
      <c r="H295" s="175" t="str">
        <f t="shared" si="14"/>
        <v>Frederick, MD</v>
      </c>
      <c r="I295" s="178" t="s">
        <v>489</v>
      </c>
      <c r="J295" s="27" t="s">
        <v>430</v>
      </c>
      <c r="K295" s="27">
        <v>1137</v>
      </c>
      <c r="L295" s="179">
        <v>4707</v>
      </c>
      <c r="M295" s="180" t="s">
        <v>490</v>
      </c>
      <c r="N295" s="181" t="s">
        <v>430</v>
      </c>
      <c r="O295" s="182" t="s">
        <v>491</v>
      </c>
    </row>
    <row r="296" spans="1:15" ht="12">
      <c r="A296" s="148"/>
      <c r="B296" s="174" t="s">
        <v>2045</v>
      </c>
      <c r="C296" s="175" t="s">
        <v>425</v>
      </c>
      <c r="D296" s="176" t="s">
        <v>426</v>
      </c>
      <c r="E296" s="177" t="s">
        <v>2046</v>
      </c>
      <c r="F296" s="175">
        <f t="shared" si="12"/>
        <v>16</v>
      </c>
      <c r="G296" s="175" t="str">
        <f t="shared" si="13"/>
        <v>Fredericksburg</v>
      </c>
      <c r="H296" s="175" t="str">
        <f t="shared" si="14"/>
        <v>Fredericksburg, VA</v>
      </c>
      <c r="I296" s="178" t="s">
        <v>2453</v>
      </c>
      <c r="J296" s="27" t="s">
        <v>426</v>
      </c>
      <c r="K296" s="27">
        <v>1348</v>
      </c>
      <c r="L296" s="179">
        <v>3963</v>
      </c>
      <c r="M296" s="180" t="s">
        <v>2454</v>
      </c>
      <c r="N296" s="181" t="s">
        <v>426</v>
      </c>
      <c r="O296" s="182" t="s">
        <v>2455</v>
      </c>
    </row>
    <row r="297" spans="1:15" ht="12">
      <c r="A297" s="148"/>
      <c r="B297" s="174" t="s">
        <v>2047</v>
      </c>
      <c r="C297" s="175" t="s">
        <v>425</v>
      </c>
      <c r="D297" s="176" t="s">
        <v>426</v>
      </c>
      <c r="E297" s="177" t="s">
        <v>2046</v>
      </c>
      <c r="F297" s="175">
        <f t="shared" si="12"/>
        <v>16</v>
      </c>
      <c r="G297" s="175" t="str">
        <f t="shared" si="13"/>
        <v>Fredericksburg</v>
      </c>
      <c r="H297" s="175" t="str">
        <f t="shared" si="14"/>
        <v>Fredericksburg, VA</v>
      </c>
      <c r="I297" s="178" t="s">
        <v>2453</v>
      </c>
      <c r="J297" s="27" t="s">
        <v>426</v>
      </c>
      <c r="K297" s="27">
        <v>1348</v>
      </c>
      <c r="L297" s="179">
        <v>3963</v>
      </c>
      <c r="M297" s="180" t="s">
        <v>2454</v>
      </c>
      <c r="N297" s="181" t="s">
        <v>426</v>
      </c>
      <c r="O297" s="182" t="s">
        <v>2455</v>
      </c>
    </row>
    <row r="298" spans="1:15" ht="12">
      <c r="A298" s="148"/>
      <c r="B298" s="174" t="s">
        <v>2048</v>
      </c>
      <c r="C298" s="175" t="s">
        <v>433</v>
      </c>
      <c r="D298" s="176" t="s">
        <v>434</v>
      </c>
      <c r="E298" s="177" t="s">
        <v>2049</v>
      </c>
      <c r="F298" s="175">
        <f t="shared" si="12"/>
        <v>8</v>
      </c>
      <c r="G298" s="175" t="str">
        <f t="shared" si="13"/>
        <v>Fresno</v>
      </c>
      <c r="H298" s="175" t="str">
        <f t="shared" si="14"/>
        <v>Fresno, CA</v>
      </c>
      <c r="I298" s="178" t="s">
        <v>1641</v>
      </c>
      <c r="J298" s="27" t="s">
        <v>434</v>
      </c>
      <c r="K298" s="27">
        <v>1967</v>
      </c>
      <c r="L298" s="179">
        <v>2556</v>
      </c>
      <c r="M298" s="178" t="s">
        <v>1637</v>
      </c>
      <c r="N298" s="27" t="s">
        <v>434</v>
      </c>
      <c r="O298" s="182" t="s">
        <v>1638</v>
      </c>
    </row>
    <row r="299" spans="1:15" ht="12">
      <c r="A299" s="148"/>
      <c r="B299" s="174" t="s">
        <v>2050</v>
      </c>
      <c r="C299" s="175" t="s">
        <v>433</v>
      </c>
      <c r="D299" s="176" t="s">
        <v>434</v>
      </c>
      <c r="E299" s="177" t="s">
        <v>2049</v>
      </c>
      <c r="F299" s="175">
        <f t="shared" si="12"/>
        <v>8</v>
      </c>
      <c r="G299" s="175" t="str">
        <f t="shared" si="13"/>
        <v>Fresno</v>
      </c>
      <c r="H299" s="175" t="str">
        <f t="shared" si="14"/>
        <v>Fresno, CA</v>
      </c>
      <c r="I299" s="178" t="s">
        <v>1641</v>
      </c>
      <c r="J299" s="27" t="s">
        <v>434</v>
      </c>
      <c r="K299" s="27">
        <v>1967</v>
      </c>
      <c r="L299" s="179">
        <v>2556</v>
      </c>
      <c r="M299" s="178" t="s">
        <v>1637</v>
      </c>
      <c r="N299" s="27" t="s">
        <v>434</v>
      </c>
      <c r="O299" s="182" t="s">
        <v>1638</v>
      </c>
    </row>
    <row r="300" spans="1:15" ht="12">
      <c r="A300" s="148"/>
      <c r="B300" s="174" t="s">
        <v>2051</v>
      </c>
      <c r="C300" s="175" t="s">
        <v>493</v>
      </c>
      <c r="D300" s="176" t="s">
        <v>494</v>
      </c>
      <c r="E300" s="177" t="s">
        <v>2052</v>
      </c>
      <c r="F300" s="175">
        <f t="shared" si="12"/>
        <v>9</v>
      </c>
      <c r="G300" s="175" t="str">
        <f t="shared" si="13"/>
        <v>Gadsden</v>
      </c>
      <c r="H300" s="175" t="str">
        <f t="shared" si="14"/>
        <v>Gadsden, AL</v>
      </c>
      <c r="I300" s="178" t="s">
        <v>1604</v>
      </c>
      <c r="J300" s="27" t="s">
        <v>401</v>
      </c>
      <c r="K300" s="27">
        <v>1667</v>
      </c>
      <c r="L300" s="179">
        <v>2991</v>
      </c>
      <c r="M300" s="178" t="s">
        <v>1597</v>
      </c>
      <c r="N300" s="27" t="s">
        <v>401</v>
      </c>
      <c r="O300" s="182" t="s">
        <v>1598</v>
      </c>
    </row>
    <row r="301" spans="1:15" ht="12">
      <c r="A301" s="148"/>
      <c r="B301" s="174" t="s">
        <v>2053</v>
      </c>
      <c r="C301" s="175" t="s">
        <v>624</v>
      </c>
      <c r="D301" s="176" t="s">
        <v>625</v>
      </c>
      <c r="E301" s="177" t="s">
        <v>2054</v>
      </c>
      <c r="F301" s="175">
        <f t="shared" si="12"/>
        <v>13</v>
      </c>
      <c r="G301" s="175" t="str">
        <f t="shared" si="13"/>
        <v>Gainesville</v>
      </c>
      <c r="H301" s="175" t="str">
        <f t="shared" si="14"/>
        <v>Gainesville, FL</v>
      </c>
      <c r="I301" s="178" t="s">
        <v>2055</v>
      </c>
      <c r="J301" s="27" t="s">
        <v>625</v>
      </c>
      <c r="K301" s="27">
        <v>2609</v>
      </c>
      <c r="L301" s="179">
        <v>1267</v>
      </c>
      <c r="M301" s="178" t="s">
        <v>2056</v>
      </c>
      <c r="N301" s="27" t="s">
        <v>625</v>
      </c>
      <c r="O301" s="182" t="s">
        <v>2057</v>
      </c>
    </row>
    <row r="302" spans="1:15" ht="12">
      <c r="A302" s="148"/>
      <c r="B302" s="174" t="s">
        <v>2058</v>
      </c>
      <c r="C302" s="175" t="s">
        <v>400</v>
      </c>
      <c r="D302" s="176" t="s">
        <v>401</v>
      </c>
      <c r="E302" s="177" t="s">
        <v>2054</v>
      </c>
      <c r="F302" s="175">
        <f t="shared" si="12"/>
        <v>13</v>
      </c>
      <c r="G302" s="175" t="str">
        <f t="shared" si="13"/>
        <v>Gainesville</v>
      </c>
      <c r="H302" s="175" t="str">
        <f t="shared" si="14"/>
        <v>Gainesville, GA</v>
      </c>
      <c r="I302" s="178" t="s">
        <v>2445</v>
      </c>
      <c r="J302" s="27" t="s">
        <v>275</v>
      </c>
      <c r="K302" s="27">
        <v>1473</v>
      </c>
      <c r="L302" s="179">
        <v>3272</v>
      </c>
      <c r="M302" s="178" t="s">
        <v>1597</v>
      </c>
      <c r="N302" s="27" t="s">
        <v>401</v>
      </c>
      <c r="O302" s="182" t="s">
        <v>1598</v>
      </c>
    </row>
    <row r="303" spans="1:15" ht="12">
      <c r="A303" s="148"/>
      <c r="B303" s="174" t="s">
        <v>2059</v>
      </c>
      <c r="C303" s="175" t="s">
        <v>1708</v>
      </c>
      <c r="D303" s="176" t="s">
        <v>1709</v>
      </c>
      <c r="E303" s="177" t="s">
        <v>2060</v>
      </c>
      <c r="F303" s="175">
        <f t="shared" si="12"/>
        <v>11</v>
      </c>
      <c r="G303" s="175" t="str">
        <f t="shared" si="13"/>
        <v>Galesburg</v>
      </c>
      <c r="H303" s="175" t="str">
        <f t="shared" si="14"/>
        <v>Galesburg, IL</v>
      </c>
      <c r="I303" s="178" t="s">
        <v>1397</v>
      </c>
      <c r="J303" s="27" t="s">
        <v>1709</v>
      </c>
      <c r="K303" s="27">
        <v>911</v>
      </c>
      <c r="L303" s="179">
        <v>6474</v>
      </c>
      <c r="M303" s="178" t="s">
        <v>2061</v>
      </c>
      <c r="N303" s="27" t="s">
        <v>1709</v>
      </c>
      <c r="O303" s="182" t="s">
        <v>2062</v>
      </c>
    </row>
    <row r="304" spans="1:15" ht="12">
      <c r="A304" s="148"/>
      <c r="B304" s="174" t="s">
        <v>2063</v>
      </c>
      <c r="C304" s="175" t="s">
        <v>415</v>
      </c>
      <c r="D304" s="176" t="s">
        <v>416</v>
      </c>
      <c r="E304" s="177" t="s">
        <v>2064</v>
      </c>
      <c r="F304" s="175">
        <f t="shared" si="12"/>
        <v>8</v>
      </c>
      <c r="G304" s="175" t="str">
        <f t="shared" si="13"/>
        <v>Gallup</v>
      </c>
      <c r="H304" s="175" t="str">
        <f t="shared" si="14"/>
        <v>Gallup, NM</v>
      </c>
      <c r="I304" s="178" t="s">
        <v>418</v>
      </c>
      <c r="J304" s="27" t="s">
        <v>416</v>
      </c>
      <c r="K304" s="27">
        <v>1244</v>
      </c>
      <c r="L304" s="179">
        <v>4425</v>
      </c>
      <c r="M304" s="180" t="s">
        <v>419</v>
      </c>
      <c r="N304" s="181" t="s">
        <v>416</v>
      </c>
      <c r="O304" s="182" t="s">
        <v>420</v>
      </c>
    </row>
    <row r="305" spans="1:15" ht="12">
      <c r="A305" s="148"/>
      <c r="B305" s="174" t="s">
        <v>2065</v>
      </c>
      <c r="C305" s="175" t="s">
        <v>254</v>
      </c>
      <c r="D305" s="176" t="s">
        <v>255</v>
      </c>
      <c r="E305" s="177" t="s">
        <v>2066</v>
      </c>
      <c r="F305" s="175">
        <f t="shared" si="12"/>
        <v>11</v>
      </c>
      <c r="G305" s="175" t="str">
        <f t="shared" si="13"/>
        <v>Galveston</v>
      </c>
      <c r="H305" s="175" t="str">
        <f t="shared" si="14"/>
        <v>Galveston, TX</v>
      </c>
      <c r="I305" s="178" t="s">
        <v>2067</v>
      </c>
      <c r="J305" s="27" t="s">
        <v>255</v>
      </c>
      <c r="K305" s="27">
        <v>2994</v>
      </c>
      <c r="L305" s="179">
        <v>1263</v>
      </c>
      <c r="M305" s="180" t="s">
        <v>1674</v>
      </c>
      <c r="N305" s="181" t="s">
        <v>255</v>
      </c>
      <c r="O305" s="182" t="s">
        <v>1675</v>
      </c>
    </row>
    <row r="306" spans="1:15" ht="12">
      <c r="A306" s="148"/>
      <c r="B306" s="174" t="s">
        <v>2068</v>
      </c>
      <c r="C306" s="175" t="s">
        <v>2363</v>
      </c>
      <c r="D306" s="176" t="s">
        <v>2364</v>
      </c>
      <c r="E306" s="177" t="s">
        <v>2069</v>
      </c>
      <c r="F306" s="175">
        <f t="shared" si="12"/>
        <v>6</v>
      </c>
      <c r="G306" s="175" t="str">
        <f t="shared" si="13"/>
        <v>Gary</v>
      </c>
      <c r="H306" s="175" t="str">
        <f t="shared" si="14"/>
        <v>Gary, IN</v>
      </c>
      <c r="I306" s="178" t="s">
        <v>2031</v>
      </c>
      <c r="J306" s="27" t="s">
        <v>2364</v>
      </c>
      <c r="K306" s="27">
        <v>728</v>
      </c>
      <c r="L306" s="179">
        <v>6331</v>
      </c>
      <c r="M306" s="178" t="s">
        <v>2070</v>
      </c>
      <c r="N306" s="27" t="s">
        <v>2364</v>
      </c>
      <c r="O306" s="182" t="s">
        <v>2071</v>
      </c>
    </row>
    <row r="307" spans="1:15" ht="12">
      <c r="A307" s="148"/>
      <c r="B307" s="174" t="s">
        <v>2072</v>
      </c>
      <c r="C307" s="175" t="s">
        <v>2363</v>
      </c>
      <c r="D307" s="176" t="s">
        <v>2364</v>
      </c>
      <c r="E307" s="177" t="s">
        <v>2069</v>
      </c>
      <c r="F307" s="175">
        <f t="shared" si="12"/>
        <v>6</v>
      </c>
      <c r="G307" s="175" t="str">
        <f t="shared" si="13"/>
        <v>Gary</v>
      </c>
      <c r="H307" s="175" t="str">
        <f t="shared" si="14"/>
        <v>Gary, IN</v>
      </c>
      <c r="I307" s="178" t="s">
        <v>2473</v>
      </c>
      <c r="J307" s="27" t="s">
        <v>1709</v>
      </c>
      <c r="K307" s="27">
        <v>752</v>
      </c>
      <c r="L307" s="179">
        <v>6536</v>
      </c>
      <c r="M307" s="178" t="s">
        <v>2474</v>
      </c>
      <c r="N307" s="27" t="s">
        <v>1709</v>
      </c>
      <c r="O307" s="182" t="s">
        <v>2475</v>
      </c>
    </row>
    <row r="308" spans="1:15" ht="12">
      <c r="A308" s="148"/>
      <c r="B308" s="174" t="s">
        <v>2073</v>
      </c>
      <c r="C308" s="175" t="s">
        <v>1678</v>
      </c>
      <c r="D308" s="176" t="s">
        <v>1591</v>
      </c>
      <c r="E308" s="177" t="s">
        <v>2074</v>
      </c>
      <c r="F308" s="175">
        <f t="shared" si="12"/>
        <v>10</v>
      </c>
      <c r="G308" s="175" t="str">
        <f t="shared" si="13"/>
        <v>Gassaway</v>
      </c>
      <c r="H308" s="175" t="str">
        <f t="shared" si="14"/>
        <v>Gassaway, WV</v>
      </c>
      <c r="I308" s="178" t="s">
        <v>1380</v>
      </c>
      <c r="J308" s="27" t="s">
        <v>1591</v>
      </c>
      <c r="K308" s="27">
        <v>1031</v>
      </c>
      <c r="L308" s="179">
        <v>4646</v>
      </c>
      <c r="M308" s="180" t="s">
        <v>1592</v>
      </c>
      <c r="N308" s="181" t="s">
        <v>1591</v>
      </c>
      <c r="O308" s="182" t="s">
        <v>1593</v>
      </c>
    </row>
    <row r="309" spans="1:15" ht="12">
      <c r="A309" s="148"/>
      <c r="B309" s="174" t="s">
        <v>2075</v>
      </c>
      <c r="C309" s="175" t="s">
        <v>254</v>
      </c>
      <c r="D309" s="176" t="s">
        <v>255</v>
      </c>
      <c r="E309" s="177" t="s">
        <v>2076</v>
      </c>
      <c r="F309" s="175">
        <f t="shared" si="12"/>
        <v>10</v>
      </c>
      <c r="G309" s="175" t="str">
        <f t="shared" si="13"/>
        <v>Giddings</v>
      </c>
      <c r="H309" s="175" t="str">
        <f t="shared" si="14"/>
        <v>Giddings, TX</v>
      </c>
      <c r="I309" s="178" t="s">
        <v>1633</v>
      </c>
      <c r="J309" s="27" t="s">
        <v>255</v>
      </c>
      <c r="K309" s="27">
        <v>3016</v>
      </c>
      <c r="L309" s="179">
        <v>1688</v>
      </c>
      <c r="M309" s="180" t="s">
        <v>1630</v>
      </c>
      <c r="N309" s="181" t="s">
        <v>255</v>
      </c>
      <c r="O309" s="182" t="s">
        <v>1631</v>
      </c>
    </row>
    <row r="310" spans="1:15" ht="12">
      <c r="A310" s="148"/>
      <c r="B310" s="174" t="s">
        <v>2077</v>
      </c>
      <c r="C310" s="175" t="s">
        <v>1474</v>
      </c>
      <c r="D310" s="176" t="s">
        <v>1475</v>
      </c>
      <c r="E310" s="177" t="s">
        <v>2078</v>
      </c>
      <c r="F310" s="175">
        <f t="shared" si="12"/>
        <v>10</v>
      </c>
      <c r="G310" s="175" t="str">
        <f t="shared" si="13"/>
        <v>Gillette</v>
      </c>
      <c r="H310" s="175" t="str">
        <f t="shared" si="14"/>
        <v>Gillette, WY</v>
      </c>
      <c r="I310" s="178" t="s">
        <v>2079</v>
      </c>
      <c r="J310" s="27" t="s">
        <v>1475</v>
      </c>
      <c r="K310" s="27">
        <v>445</v>
      </c>
      <c r="L310" s="179">
        <v>7682</v>
      </c>
      <c r="M310" s="180" t="s">
        <v>1478</v>
      </c>
      <c r="N310" s="181" t="s">
        <v>1475</v>
      </c>
      <c r="O310" s="182" t="s">
        <v>2418</v>
      </c>
    </row>
    <row r="311" spans="1:15" ht="12">
      <c r="A311" s="148"/>
      <c r="B311" s="174" t="s">
        <v>2080</v>
      </c>
      <c r="C311" s="175" t="s">
        <v>433</v>
      </c>
      <c r="D311" s="176" t="s">
        <v>434</v>
      </c>
      <c r="E311" s="177" t="s">
        <v>2081</v>
      </c>
      <c r="F311" s="175">
        <f t="shared" si="12"/>
        <v>8</v>
      </c>
      <c r="G311" s="175" t="str">
        <f t="shared" si="13"/>
        <v>Gilroy</v>
      </c>
      <c r="H311" s="175" t="str">
        <f t="shared" si="14"/>
        <v>Gilroy, CA</v>
      </c>
      <c r="I311" s="178" t="s">
        <v>1481</v>
      </c>
      <c r="J311" s="27" t="s">
        <v>434</v>
      </c>
      <c r="K311" s="27">
        <v>145</v>
      </c>
      <c r="L311" s="179">
        <v>3016</v>
      </c>
      <c r="M311" s="178" t="s">
        <v>1482</v>
      </c>
      <c r="N311" s="27" t="s">
        <v>434</v>
      </c>
      <c r="O311" s="182" t="s">
        <v>1483</v>
      </c>
    </row>
    <row r="312" spans="1:15" ht="12">
      <c r="A312" s="148"/>
      <c r="B312" s="174" t="s">
        <v>2082</v>
      </c>
      <c r="C312" s="175" t="s">
        <v>433</v>
      </c>
      <c r="D312" s="176" t="s">
        <v>434</v>
      </c>
      <c r="E312" s="177" t="s">
        <v>2083</v>
      </c>
      <c r="F312" s="175">
        <f t="shared" si="12"/>
        <v>10</v>
      </c>
      <c r="G312" s="175" t="str">
        <f t="shared" si="13"/>
        <v>Glendale</v>
      </c>
      <c r="H312" s="175" t="str">
        <f t="shared" si="14"/>
        <v>Glendale, CA</v>
      </c>
      <c r="I312" s="178" t="s">
        <v>436</v>
      </c>
      <c r="J312" s="27" t="s">
        <v>434</v>
      </c>
      <c r="K312" s="27">
        <v>1537</v>
      </c>
      <c r="L312" s="179">
        <v>1154</v>
      </c>
      <c r="M312" s="178" t="s">
        <v>437</v>
      </c>
      <c r="N312" s="27" t="s">
        <v>434</v>
      </c>
      <c r="O312" s="182" t="s">
        <v>438</v>
      </c>
    </row>
    <row r="313" spans="1:15" ht="12">
      <c r="A313" s="148"/>
      <c r="B313" s="174" t="s">
        <v>2084</v>
      </c>
      <c r="C313" s="175" t="s">
        <v>407</v>
      </c>
      <c r="D313" s="176" t="s">
        <v>408</v>
      </c>
      <c r="E313" s="177" t="s">
        <v>2085</v>
      </c>
      <c r="F313" s="175">
        <f t="shared" si="12"/>
        <v>13</v>
      </c>
      <c r="G313" s="175" t="str">
        <f t="shared" si="13"/>
        <v>Glens Falls</v>
      </c>
      <c r="H313" s="175" t="str">
        <f t="shared" si="14"/>
        <v>Glens Falls, NY</v>
      </c>
      <c r="I313" s="178" t="s">
        <v>1401</v>
      </c>
      <c r="J313" s="27" t="s">
        <v>1684</v>
      </c>
      <c r="K313" s="27">
        <v>388</v>
      </c>
      <c r="L313" s="179">
        <v>7771</v>
      </c>
      <c r="M313" s="180" t="s">
        <v>1402</v>
      </c>
      <c r="N313" s="181" t="s">
        <v>1684</v>
      </c>
      <c r="O313" s="182" t="s">
        <v>1403</v>
      </c>
    </row>
    <row r="314" spans="1:15" ht="12">
      <c r="A314" s="148"/>
      <c r="B314" s="174" t="s">
        <v>2086</v>
      </c>
      <c r="C314" s="175" t="s">
        <v>393</v>
      </c>
      <c r="D314" s="176" t="s">
        <v>394</v>
      </c>
      <c r="E314" s="177" t="s">
        <v>2087</v>
      </c>
      <c r="F314" s="175">
        <f t="shared" si="12"/>
        <v>18</v>
      </c>
      <c r="G314" s="175" t="str">
        <f t="shared" si="13"/>
        <v>Glenwood Springs</v>
      </c>
      <c r="H314" s="175" t="str">
        <f t="shared" si="14"/>
        <v>Glenwood Springs, CO</v>
      </c>
      <c r="I314" s="178" t="s">
        <v>1815</v>
      </c>
      <c r="J314" s="27" t="s">
        <v>394</v>
      </c>
      <c r="K314" s="27">
        <v>1183</v>
      </c>
      <c r="L314" s="179">
        <v>5548</v>
      </c>
      <c r="M314" s="178" t="s">
        <v>1816</v>
      </c>
      <c r="N314" s="27" t="s">
        <v>394</v>
      </c>
      <c r="O314" s="182" t="s">
        <v>1817</v>
      </c>
    </row>
    <row r="315" spans="1:15" ht="12">
      <c r="A315" s="148"/>
      <c r="B315" s="174" t="s">
        <v>2088</v>
      </c>
      <c r="C315" s="175" t="s">
        <v>1372</v>
      </c>
      <c r="D315" s="176" t="s">
        <v>1373</v>
      </c>
      <c r="E315" s="177" t="s">
        <v>2089</v>
      </c>
      <c r="F315" s="175">
        <f t="shared" si="12"/>
        <v>7</v>
      </c>
      <c r="G315" s="175" t="str">
        <f t="shared" si="13"/>
        <v>Globe</v>
      </c>
      <c r="H315" s="175" t="str">
        <f t="shared" si="14"/>
        <v>Globe, AZ</v>
      </c>
      <c r="I315" s="178" t="s">
        <v>1470</v>
      </c>
      <c r="J315" s="27" t="s">
        <v>1373</v>
      </c>
      <c r="K315" s="27">
        <v>2954</v>
      </c>
      <c r="L315" s="179">
        <v>1678</v>
      </c>
      <c r="M315" s="178" t="s">
        <v>1471</v>
      </c>
      <c r="N315" s="27" t="s">
        <v>1373</v>
      </c>
      <c r="O315" s="182" t="s">
        <v>1472</v>
      </c>
    </row>
    <row r="316" spans="1:15" ht="12">
      <c r="A316" s="148"/>
      <c r="B316" s="174" t="s">
        <v>2090</v>
      </c>
      <c r="C316" s="175" t="s">
        <v>393</v>
      </c>
      <c r="D316" s="176" t="s">
        <v>394</v>
      </c>
      <c r="E316" s="177" t="s">
        <v>2091</v>
      </c>
      <c r="F316" s="175">
        <f t="shared" si="12"/>
        <v>15</v>
      </c>
      <c r="G316" s="175" t="str">
        <f t="shared" si="13"/>
        <v>Golden/Dillon</v>
      </c>
      <c r="H316" s="175" t="str">
        <f t="shared" si="14"/>
        <v>Golden/Dillon, CO</v>
      </c>
      <c r="I316" s="178" t="s">
        <v>611</v>
      </c>
      <c r="J316" s="27" t="s">
        <v>394</v>
      </c>
      <c r="K316" s="27">
        <v>679</v>
      </c>
      <c r="L316" s="179">
        <v>6020</v>
      </c>
      <c r="M316" s="180" t="s">
        <v>612</v>
      </c>
      <c r="N316" s="181" t="s">
        <v>394</v>
      </c>
      <c r="O316" s="182" t="s">
        <v>613</v>
      </c>
    </row>
    <row r="317" spans="1:15" ht="12">
      <c r="A317" s="148"/>
      <c r="B317" s="174" t="s">
        <v>2092</v>
      </c>
      <c r="C317" s="175" t="s">
        <v>1506</v>
      </c>
      <c r="D317" s="176" t="s">
        <v>251</v>
      </c>
      <c r="E317" s="177" t="s">
        <v>2093</v>
      </c>
      <c r="F317" s="175">
        <f t="shared" si="12"/>
        <v>13</v>
      </c>
      <c r="G317" s="175" t="str">
        <f t="shared" si="13"/>
        <v>Grand Forks</v>
      </c>
      <c r="H317" s="175" t="str">
        <f t="shared" si="14"/>
        <v>Grand Forks, ND</v>
      </c>
      <c r="I317" s="178" t="s">
        <v>1777</v>
      </c>
      <c r="J317" s="27" t="s">
        <v>251</v>
      </c>
      <c r="K317" s="27">
        <v>537</v>
      </c>
      <c r="L317" s="179">
        <v>9254</v>
      </c>
      <c r="M317" s="180" t="s">
        <v>250</v>
      </c>
      <c r="N317" s="181" t="s">
        <v>251</v>
      </c>
      <c r="O317" s="182" t="s">
        <v>252</v>
      </c>
    </row>
    <row r="318" spans="1:15" ht="12">
      <c r="A318" s="148"/>
      <c r="B318" s="174" t="s">
        <v>2094</v>
      </c>
      <c r="C318" s="175" t="s">
        <v>447</v>
      </c>
      <c r="D318" s="176" t="s">
        <v>448</v>
      </c>
      <c r="E318" s="177" t="s">
        <v>2095</v>
      </c>
      <c r="F318" s="175">
        <f t="shared" si="12"/>
        <v>14</v>
      </c>
      <c r="G318" s="175" t="str">
        <f t="shared" si="13"/>
        <v>Grand Island</v>
      </c>
      <c r="H318" s="175" t="str">
        <f t="shared" si="14"/>
        <v>Grand Island, NE</v>
      </c>
      <c r="I318" s="178" t="s">
        <v>586</v>
      </c>
      <c r="J318" s="27" t="s">
        <v>448</v>
      </c>
      <c r="K318" s="27">
        <v>997</v>
      </c>
      <c r="L318" s="179">
        <v>6421</v>
      </c>
      <c r="M318" s="180" t="s">
        <v>587</v>
      </c>
      <c r="N318" s="181" t="s">
        <v>448</v>
      </c>
      <c r="O318" s="182" t="s">
        <v>588</v>
      </c>
    </row>
    <row r="319" spans="1:15" ht="12">
      <c r="A319" s="148"/>
      <c r="B319" s="174" t="s">
        <v>2096</v>
      </c>
      <c r="C319" s="175" t="s">
        <v>393</v>
      </c>
      <c r="D319" s="176" t="s">
        <v>394</v>
      </c>
      <c r="E319" s="177" t="s">
        <v>2097</v>
      </c>
      <c r="F319" s="175">
        <f t="shared" si="12"/>
        <v>16</v>
      </c>
      <c r="G319" s="175" t="str">
        <f t="shared" si="13"/>
        <v>Grand Junction</v>
      </c>
      <c r="H319" s="175" t="str">
        <f t="shared" si="14"/>
        <v>Grand Junction, CO</v>
      </c>
      <c r="I319" s="178" t="s">
        <v>1815</v>
      </c>
      <c r="J319" s="27" t="s">
        <v>394</v>
      </c>
      <c r="K319" s="27">
        <v>1183</v>
      </c>
      <c r="L319" s="179">
        <v>5548</v>
      </c>
      <c r="M319" s="178" t="s">
        <v>1816</v>
      </c>
      <c r="N319" s="27" t="s">
        <v>394</v>
      </c>
      <c r="O319" s="182" t="s">
        <v>1817</v>
      </c>
    </row>
    <row r="320" spans="1:15" ht="12">
      <c r="A320" s="148"/>
      <c r="B320" s="174" t="s">
        <v>2098</v>
      </c>
      <c r="C320" s="175" t="s">
        <v>480</v>
      </c>
      <c r="D320" s="176" t="s">
        <v>481</v>
      </c>
      <c r="E320" s="177" t="s">
        <v>2099</v>
      </c>
      <c r="F320" s="175">
        <f t="shared" si="12"/>
        <v>14</v>
      </c>
      <c r="G320" s="175" t="str">
        <f t="shared" si="13"/>
        <v>Grand Rapids</v>
      </c>
      <c r="H320" s="175" t="str">
        <f t="shared" si="14"/>
        <v>Grand Rapids, MI</v>
      </c>
      <c r="I320" s="178" t="s">
        <v>2100</v>
      </c>
      <c r="J320" s="27" t="s">
        <v>481</v>
      </c>
      <c r="K320" s="27">
        <v>431</v>
      </c>
      <c r="L320" s="179">
        <v>6924</v>
      </c>
      <c r="M320" s="180" t="s">
        <v>2101</v>
      </c>
      <c r="N320" s="181" t="s">
        <v>481</v>
      </c>
      <c r="O320" s="182" t="s">
        <v>2102</v>
      </c>
    </row>
    <row r="321" spans="1:15" ht="12">
      <c r="A321" s="148"/>
      <c r="B321" s="174" t="s">
        <v>2103</v>
      </c>
      <c r="C321" s="175" t="s">
        <v>480</v>
      </c>
      <c r="D321" s="176" t="s">
        <v>481</v>
      </c>
      <c r="E321" s="177" t="s">
        <v>2099</v>
      </c>
      <c r="F321" s="175">
        <f t="shared" si="12"/>
        <v>14</v>
      </c>
      <c r="G321" s="175" t="str">
        <f t="shared" si="13"/>
        <v>Grand Rapids</v>
      </c>
      <c r="H321" s="175" t="str">
        <f t="shared" si="14"/>
        <v>Grand Rapids, MI</v>
      </c>
      <c r="I321" s="178" t="s">
        <v>2104</v>
      </c>
      <c r="J321" s="27" t="s">
        <v>481</v>
      </c>
      <c r="K321" s="27">
        <v>534</v>
      </c>
      <c r="L321" s="179">
        <v>6973</v>
      </c>
      <c r="M321" s="180" t="s">
        <v>2101</v>
      </c>
      <c r="N321" s="181" t="s">
        <v>481</v>
      </c>
      <c r="O321" s="182" t="s">
        <v>2102</v>
      </c>
    </row>
    <row r="322" spans="1:15" ht="12">
      <c r="A322" s="148"/>
      <c r="B322" s="174" t="s">
        <v>2105</v>
      </c>
      <c r="C322" s="175" t="s">
        <v>1487</v>
      </c>
      <c r="D322" s="176" t="s">
        <v>1488</v>
      </c>
      <c r="E322" s="177" t="s">
        <v>2106</v>
      </c>
      <c r="F322" s="175">
        <f t="shared" si="12"/>
        <v>13</v>
      </c>
      <c r="G322" s="175" t="str">
        <f t="shared" si="13"/>
        <v>Great Falls</v>
      </c>
      <c r="H322" s="175" t="str">
        <f t="shared" si="14"/>
        <v>Great Falls, MT</v>
      </c>
      <c r="I322" s="178" t="s">
        <v>2107</v>
      </c>
      <c r="J322" s="27" t="s">
        <v>1488</v>
      </c>
      <c r="K322" s="27">
        <v>388</v>
      </c>
      <c r="L322" s="179">
        <v>7741</v>
      </c>
      <c r="M322" s="180" t="s">
        <v>2108</v>
      </c>
      <c r="N322" s="181" t="s">
        <v>1488</v>
      </c>
      <c r="O322" s="182" t="s">
        <v>2109</v>
      </c>
    </row>
    <row r="323" spans="1:15" ht="12">
      <c r="A323" s="148"/>
      <c r="B323" s="174" t="s">
        <v>2110</v>
      </c>
      <c r="C323" s="175" t="s">
        <v>407</v>
      </c>
      <c r="D323" s="176" t="s">
        <v>408</v>
      </c>
      <c r="E323" s="177" t="s">
        <v>2111</v>
      </c>
      <c r="F323" s="175">
        <f t="shared" si="12"/>
        <v>12</v>
      </c>
      <c r="G323" s="175" t="str">
        <f t="shared" si="13"/>
        <v>Great Neck</v>
      </c>
      <c r="H323" s="175" t="str">
        <f t="shared" si="14"/>
        <v>Great Neck, NY</v>
      </c>
      <c r="I323" s="178" t="s">
        <v>2359</v>
      </c>
      <c r="J323" s="27" t="s">
        <v>408</v>
      </c>
      <c r="K323" s="27">
        <v>1052</v>
      </c>
      <c r="L323" s="179">
        <v>4910</v>
      </c>
      <c r="M323" s="180" t="s">
        <v>2360</v>
      </c>
      <c r="N323" s="181" t="s">
        <v>408</v>
      </c>
      <c r="O323" s="182" t="s">
        <v>1359</v>
      </c>
    </row>
    <row r="324" spans="1:15" ht="12">
      <c r="A324" s="148"/>
      <c r="B324" s="174" t="s">
        <v>2112</v>
      </c>
      <c r="C324" s="175" t="s">
        <v>393</v>
      </c>
      <c r="D324" s="176" t="s">
        <v>394</v>
      </c>
      <c r="E324" s="177" t="s">
        <v>2113</v>
      </c>
      <c r="F324" s="175">
        <f t="shared" si="12"/>
        <v>9</v>
      </c>
      <c r="G324" s="175" t="str">
        <f t="shared" si="13"/>
        <v>Greeley</v>
      </c>
      <c r="H324" s="175" t="str">
        <f t="shared" si="14"/>
        <v>Greeley, CO</v>
      </c>
      <c r="I324" s="178" t="s">
        <v>611</v>
      </c>
      <c r="J324" s="27" t="s">
        <v>394</v>
      </c>
      <c r="K324" s="27">
        <v>679</v>
      </c>
      <c r="L324" s="179">
        <v>6020</v>
      </c>
      <c r="M324" s="180" t="s">
        <v>612</v>
      </c>
      <c r="N324" s="181" t="s">
        <v>394</v>
      </c>
      <c r="O324" s="182" t="s">
        <v>613</v>
      </c>
    </row>
    <row r="325" spans="1:15" ht="12">
      <c r="A325" s="148"/>
      <c r="B325" s="174" t="s">
        <v>2114</v>
      </c>
      <c r="C325" s="175" t="s">
        <v>33</v>
      </c>
      <c r="D325" s="176" t="s">
        <v>1763</v>
      </c>
      <c r="E325" s="177" t="s">
        <v>2115</v>
      </c>
      <c r="F325" s="175">
        <f t="shared" si="12"/>
        <v>11</v>
      </c>
      <c r="G325" s="175" t="str">
        <f t="shared" si="13"/>
        <v>Green Bay</v>
      </c>
      <c r="H325" s="175" t="str">
        <f t="shared" si="14"/>
        <v>Green Bay, WI</v>
      </c>
      <c r="I325" s="178" t="s">
        <v>2116</v>
      </c>
      <c r="J325" s="27" t="s">
        <v>1763</v>
      </c>
      <c r="K325" s="27">
        <v>381</v>
      </c>
      <c r="L325" s="179">
        <v>8089</v>
      </c>
      <c r="M325" s="180" t="s">
        <v>2117</v>
      </c>
      <c r="N325" s="181" t="s">
        <v>1763</v>
      </c>
      <c r="O325" s="182" t="s">
        <v>2118</v>
      </c>
    </row>
    <row r="326" spans="1:15" ht="12">
      <c r="A326" s="148"/>
      <c r="B326" s="174" t="s">
        <v>2119</v>
      </c>
      <c r="C326" s="175" t="s">
        <v>33</v>
      </c>
      <c r="D326" s="176" t="s">
        <v>1763</v>
      </c>
      <c r="E326" s="177" t="s">
        <v>2115</v>
      </c>
      <c r="F326" s="175">
        <f t="shared" ref="F326:F389" si="15">LEN(E326)</f>
        <v>11</v>
      </c>
      <c r="G326" s="175" t="str">
        <f t="shared" ref="G326:G389" si="16">MID(E326,2,F326-2)</f>
        <v>Green Bay</v>
      </c>
      <c r="H326" s="175" t="str">
        <f t="shared" ref="H326:H389" si="17">CONCATENATE(G326,", ",+D326)</f>
        <v>Green Bay, WI</v>
      </c>
      <c r="I326" s="178" t="s">
        <v>2116</v>
      </c>
      <c r="J326" s="27" t="s">
        <v>1763</v>
      </c>
      <c r="K326" s="27">
        <v>381</v>
      </c>
      <c r="L326" s="179">
        <v>8089</v>
      </c>
      <c r="M326" s="180" t="s">
        <v>2117</v>
      </c>
      <c r="N326" s="181" t="s">
        <v>1763</v>
      </c>
      <c r="O326" s="182" t="s">
        <v>2118</v>
      </c>
    </row>
    <row r="327" spans="1:15" ht="12">
      <c r="A327" s="148"/>
      <c r="B327" s="174" t="s">
        <v>2120</v>
      </c>
      <c r="C327" s="175" t="s">
        <v>33</v>
      </c>
      <c r="D327" s="176" t="s">
        <v>1763</v>
      </c>
      <c r="E327" s="177" t="s">
        <v>2115</v>
      </c>
      <c r="F327" s="175">
        <f t="shared" si="15"/>
        <v>11</v>
      </c>
      <c r="G327" s="175" t="str">
        <f t="shared" si="16"/>
        <v>Green Bay</v>
      </c>
      <c r="H327" s="175" t="str">
        <f t="shared" si="17"/>
        <v>Green Bay, WI</v>
      </c>
      <c r="I327" s="178" t="s">
        <v>2116</v>
      </c>
      <c r="J327" s="27" t="s">
        <v>1763</v>
      </c>
      <c r="K327" s="27">
        <v>381</v>
      </c>
      <c r="L327" s="179">
        <v>8089</v>
      </c>
      <c r="M327" s="180" t="s">
        <v>2117</v>
      </c>
      <c r="N327" s="181" t="s">
        <v>1763</v>
      </c>
      <c r="O327" s="182" t="s">
        <v>2118</v>
      </c>
    </row>
    <row r="328" spans="1:15" ht="12">
      <c r="A328" s="148"/>
      <c r="B328" s="186" t="s">
        <v>2121</v>
      </c>
      <c r="C328" s="175" t="s">
        <v>2382</v>
      </c>
      <c r="D328" s="176" t="s">
        <v>2383</v>
      </c>
      <c r="E328" s="177" t="s">
        <v>2122</v>
      </c>
      <c r="F328" s="175">
        <f t="shared" si="15"/>
        <v>12</v>
      </c>
      <c r="G328" s="175" t="str">
        <f t="shared" si="16"/>
        <v>Greenfield</v>
      </c>
      <c r="H328" s="175" t="str">
        <f t="shared" si="17"/>
        <v>Greenfield, MA</v>
      </c>
      <c r="I328" s="178" t="s">
        <v>603</v>
      </c>
      <c r="J328" s="27" t="s">
        <v>2383</v>
      </c>
      <c r="K328" s="27">
        <v>333</v>
      </c>
      <c r="L328" s="179">
        <v>6979</v>
      </c>
      <c r="M328" s="180" t="s">
        <v>604</v>
      </c>
      <c r="N328" s="181" t="s">
        <v>2383</v>
      </c>
      <c r="O328" s="182" t="s">
        <v>605</v>
      </c>
    </row>
    <row r="329" spans="1:15" ht="12">
      <c r="A329" s="148"/>
      <c r="B329" s="174" t="s">
        <v>2123</v>
      </c>
      <c r="C329" s="175" t="s">
        <v>472</v>
      </c>
      <c r="D329" s="176" t="s">
        <v>473</v>
      </c>
      <c r="E329" s="177" t="s">
        <v>2124</v>
      </c>
      <c r="F329" s="175">
        <f t="shared" si="15"/>
        <v>12</v>
      </c>
      <c r="G329" s="175" t="str">
        <f t="shared" si="16"/>
        <v>Greensboro</v>
      </c>
      <c r="H329" s="175" t="str">
        <f t="shared" si="17"/>
        <v>Greensboro, NC</v>
      </c>
      <c r="I329" s="178" t="s">
        <v>2125</v>
      </c>
      <c r="J329" s="27" t="s">
        <v>473</v>
      </c>
      <c r="K329" s="27">
        <v>1253</v>
      </c>
      <c r="L329" s="179">
        <v>3865</v>
      </c>
      <c r="M329" s="180" t="s">
        <v>2126</v>
      </c>
      <c r="N329" s="181" t="s">
        <v>473</v>
      </c>
      <c r="O329" s="182" t="s">
        <v>2127</v>
      </c>
    </row>
    <row r="330" spans="1:15" ht="12">
      <c r="A330" s="148"/>
      <c r="B330" s="174" t="s">
        <v>2128</v>
      </c>
      <c r="C330" s="175" t="s">
        <v>472</v>
      </c>
      <c r="D330" s="176" t="s">
        <v>473</v>
      </c>
      <c r="E330" s="177" t="s">
        <v>2124</v>
      </c>
      <c r="F330" s="175">
        <f t="shared" si="15"/>
        <v>12</v>
      </c>
      <c r="G330" s="175" t="str">
        <f t="shared" si="16"/>
        <v>Greensboro</v>
      </c>
      <c r="H330" s="175" t="str">
        <f t="shared" si="17"/>
        <v>Greensboro, NC</v>
      </c>
      <c r="I330" s="178" t="s">
        <v>2125</v>
      </c>
      <c r="J330" s="27" t="s">
        <v>473</v>
      </c>
      <c r="K330" s="27">
        <v>1253</v>
      </c>
      <c r="L330" s="179">
        <v>3865</v>
      </c>
      <c r="M330" s="180" t="s">
        <v>2126</v>
      </c>
      <c r="N330" s="181" t="s">
        <v>473</v>
      </c>
      <c r="O330" s="182" t="s">
        <v>2127</v>
      </c>
    </row>
    <row r="331" spans="1:15" ht="12">
      <c r="A331" s="148"/>
      <c r="B331" s="174" t="s">
        <v>2129</v>
      </c>
      <c r="C331" s="175" t="s">
        <v>472</v>
      </c>
      <c r="D331" s="176" t="s">
        <v>473</v>
      </c>
      <c r="E331" s="177" t="s">
        <v>2124</v>
      </c>
      <c r="F331" s="175">
        <f t="shared" si="15"/>
        <v>12</v>
      </c>
      <c r="G331" s="175" t="str">
        <f t="shared" si="16"/>
        <v>Greensboro</v>
      </c>
      <c r="H331" s="175" t="str">
        <f t="shared" si="17"/>
        <v>Greensboro, NC</v>
      </c>
      <c r="I331" s="178" t="s">
        <v>2125</v>
      </c>
      <c r="J331" s="27" t="s">
        <v>473</v>
      </c>
      <c r="K331" s="27">
        <v>1253</v>
      </c>
      <c r="L331" s="179">
        <v>3865</v>
      </c>
      <c r="M331" s="180" t="s">
        <v>2126</v>
      </c>
      <c r="N331" s="181" t="s">
        <v>473</v>
      </c>
      <c r="O331" s="182" t="s">
        <v>2127</v>
      </c>
    </row>
    <row r="332" spans="1:15" ht="12">
      <c r="A332" s="148"/>
      <c r="B332" s="174" t="s">
        <v>2130</v>
      </c>
      <c r="C332" s="175" t="s">
        <v>440</v>
      </c>
      <c r="D332" s="176" t="s">
        <v>441</v>
      </c>
      <c r="E332" s="177" t="s">
        <v>2131</v>
      </c>
      <c r="F332" s="175">
        <f t="shared" si="15"/>
        <v>12</v>
      </c>
      <c r="G332" s="175" t="str">
        <f t="shared" si="16"/>
        <v>Greensburg</v>
      </c>
      <c r="H332" s="175" t="str">
        <f t="shared" si="17"/>
        <v>Greensburg, PA</v>
      </c>
      <c r="I332" s="178" t="s">
        <v>455</v>
      </c>
      <c r="J332" s="27" t="s">
        <v>441</v>
      </c>
      <c r="K332" s="27">
        <v>654</v>
      </c>
      <c r="L332" s="179">
        <v>5968</v>
      </c>
      <c r="M332" s="180" t="s">
        <v>456</v>
      </c>
      <c r="N332" s="181" t="s">
        <v>441</v>
      </c>
      <c r="O332" s="182" t="s">
        <v>457</v>
      </c>
    </row>
    <row r="333" spans="1:15" ht="12">
      <c r="A333" s="148"/>
      <c r="B333" s="174" t="s">
        <v>2132</v>
      </c>
      <c r="C333" s="175" t="s">
        <v>584</v>
      </c>
      <c r="D333" s="176" t="s">
        <v>1407</v>
      </c>
      <c r="E333" s="177" t="s">
        <v>2133</v>
      </c>
      <c r="F333" s="175">
        <f t="shared" si="15"/>
        <v>12</v>
      </c>
      <c r="G333" s="175" t="str">
        <f t="shared" si="16"/>
        <v>Greenville</v>
      </c>
      <c r="H333" s="175" t="str">
        <f t="shared" si="17"/>
        <v>Greenville, MS</v>
      </c>
      <c r="I333" s="178" t="s">
        <v>2134</v>
      </c>
      <c r="J333" s="27" t="s">
        <v>1407</v>
      </c>
      <c r="K333" s="27">
        <v>2215</v>
      </c>
      <c r="L333" s="179">
        <v>2467</v>
      </c>
      <c r="M333" s="180" t="s">
        <v>1408</v>
      </c>
      <c r="N333" s="181" t="s">
        <v>1407</v>
      </c>
      <c r="O333" s="182" t="s">
        <v>1409</v>
      </c>
    </row>
    <row r="334" spans="1:15" ht="12">
      <c r="A334" s="148"/>
      <c r="B334" s="174" t="s">
        <v>2135</v>
      </c>
      <c r="C334" s="175" t="s">
        <v>274</v>
      </c>
      <c r="D334" s="176" t="s">
        <v>275</v>
      </c>
      <c r="E334" s="177" t="s">
        <v>2133</v>
      </c>
      <c r="F334" s="175">
        <f t="shared" si="15"/>
        <v>12</v>
      </c>
      <c r="G334" s="175" t="str">
        <f t="shared" si="16"/>
        <v>Greenville</v>
      </c>
      <c r="H334" s="175" t="str">
        <f t="shared" si="17"/>
        <v>Greenville, SC</v>
      </c>
      <c r="I334" s="178" t="s">
        <v>2445</v>
      </c>
      <c r="J334" s="27" t="s">
        <v>275</v>
      </c>
      <c r="K334" s="27">
        <v>1473</v>
      </c>
      <c r="L334" s="179">
        <v>3272</v>
      </c>
      <c r="M334" s="180" t="s">
        <v>2446</v>
      </c>
      <c r="N334" s="181" t="s">
        <v>473</v>
      </c>
      <c r="O334" s="182" t="s">
        <v>2447</v>
      </c>
    </row>
    <row r="335" spans="1:15" ht="12">
      <c r="A335" s="148"/>
      <c r="B335" s="174" t="s">
        <v>2136</v>
      </c>
      <c r="C335" s="175" t="s">
        <v>254</v>
      </c>
      <c r="D335" s="176" t="s">
        <v>255</v>
      </c>
      <c r="E335" s="177" t="s">
        <v>2133</v>
      </c>
      <c r="F335" s="175">
        <f t="shared" si="15"/>
        <v>12</v>
      </c>
      <c r="G335" s="175" t="str">
        <f t="shared" si="16"/>
        <v>Greenville</v>
      </c>
      <c r="H335" s="175" t="str">
        <f t="shared" si="17"/>
        <v>Greenville, TX</v>
      </c>
      <c r="I335" s="178" t="s">
        <v>503</v>
      </c>
      <c r="J335" s="27" t="s">
        <v>255</v>
      </c>
      <c r="K335" s="27">
        <v>2603</v>
      </c>
      <c r="L335" s="179">
        <v>2407</v>
      </c>
      <c r="M335" s="180" t="s">
        <v>504</v>
      </c>
      <c r="N335" s="181" t="s">
        <v>255</v>
      </c>
      <c r="O335" s="182" t="s">
        <v>505</v>
      </c>
    </row>
    <row r="336" spans="1:15" ht="12">
      <c r="A336" s="148"/>
      <c r="B336" s="174" t="s">
        <v>2137</v>
      </c>
      <c r="C336" s="175" t="s">
        <v>584</v>
      </c>
      <c r="D336" s="176" t="s">
        <v>1407</v>
      </c>
      <c r="E336" s="177" t="s">
        <v>2138</v>
      </c>
      <c r="F336" s="175">
        <f t="shared" si="15"/>
        <v>9</v>
      </c>
      <c r="G336" s="175" t="str">
        <f t="shared" si="16"/>
        <v>Grenada</v>
      </c>
      <c r="H336" s="175" t="str">
        <f t="shared" si="17"/>
        <v>Grenada, MS</v>
      </c>
      <c r="I336" s="178" t="s">
        <v>1406</v>
      </c>
      <c r="J336" s="27" t="s">
        <v>1407</v>
      </c>
      <c r="K336" s="27">
        <v>2138</v>
      </c>
      <c r="L336" s="179">
        <v>2444</v>
      </c>
      <c r="M336" s="180" t="s">
        <v>2139</v>
      </c>
      <c r="N336" s="181" t="s">
        <v>1407</v>
      </c>
      <c r="O336" s="182" t="s">
        <v>2140</v>
      </c>
    </row>
    <row r="337" spans="1:15" ht="12">
      <c r="A337" s="148"/>
      <c r="B337" s="174" t="s">
        <v>2141</v>
      </c>
      <c r="C337" s="175" t="s">
        <v>584</v>
      </c>
      <c r="D337" s="176" t="s">
        <v>1407</v>
      </c>
      <c r="E337" s="177" t="s">
        <v>2142</v>
      </c>
      <c r="F337" s="175">
        <f t="shared" si="15"/>
        <v>10</v>
      </c>
      <c r="G337" s="175" t="str">
        <f t="shared" si="16"/>
        <v>Gulfport</v>
      </c>
      <c r="H337" s="175" t="str">
        <f t="shared" si="17"/>
        <v>Gulfport, MS</v>
      </c>
      <c r="I337" s="178" t="s">
        <v>2143</v>
      </c>
      <c r="J337" s="27" t="s">
        <v>282</v>
      </c>
      <c r="K337" s="27">
        <v>2655</v>
      </c>
      <c r="L337" s="179">
        <v>1513</v>
      </c>
      <c r="M337" s="180" t="s">
        <v>2144</v>
      </c>
      <c r="N337" s="181" t="s">
        <v>282</v>
      </c>
      <c r="O337" s="182" t="s">
        <v>2145</v>
      </c>
    </row>
    <row r="338" spans="1:15" ht="12">
      <c r="A338" s="148"/>
      <c r="B338" s="174" t="s">
        <v>2146</v>
      </c>
      <c r="C338" s="175" t="s">
        <v>500</v>
      </c>
      <c r="D338" s="176" t="s">
        <v>501</v>
      </c>
      <c r="E338" s="177" t="s">
        <v>2147</v>
      </c>
      <c r="F338" s="175">
        <f t="shared" si="15"/>
        <v>8</v>
      </c>
      <c r="G338" s="175" t="str">
        <f t="shared" si="16"/>
        <v>Guymon</v>
      </c>
      <c r="H338" s="175" t="str">
        <f t="shared" si="17"/>
        <v>Guymon, OK</v>
      </c>
      <c r="I338" s="178" t="s">
        <v>270</v>
      </c>
      <c r="J338" s="27" t="s">
        <v>255</v>
      </c>
      <c r="K338" s="27">
        <v>1354</v>
      </c>
      <c r="L338" s="179">
        <v>4258</v>
      </c>
      <c r="M338" s="180" t="s">
        <v>652</v>
      </c>
      <c r="N338" s="181" t="s">
        <v>501</v>
      </c>
      <c r="O338" s="182" t="s">
        <v>653</v>
      </c>
    </row>
    <row r="339" spans="1:15" ht="12">
      <c r="A339" s="148"/>
      <c r="B339" s="186" t="s">
        <v>2148</v>
      </c>
      <c r="C339" s="175" t="s">
        <v>1609</v>
      </c>
      <c r="D339" s="176" t="s">
        <v>1610</v>
      </c>
      <c r="E339" s="177" t="s">
        <v>2149</v>
      </c>
      <c r="F339" s="175">
        <f t="shared" si="15"/>
        <v>12</v>
      </c>
      <c r="G339" s="175" t="str">
        <f t="shared" si="16"/>
        <v>Hackensack</v>
      </c>
      <c r="H339" s="175" t="str">
        <f t="shared" si="17"/>
        <v>Hackensack, NJ</v>
      </c>
      <c r="I339" s="178" t="s">
        <v>52</v>
      </c>
      <c r="J339" s="27" t="s">
        <v>1610</v>
      </c>
      <c r="K339" s="27">
        <v>1201</v>
      </c>
      <c r="L339" s="179">
        <v>4888</v>
      </c>
      <c r="M339" s="180" t="s">
        <v>53</v>
      </c>
      <c r="N339" s="181" t="s">
        <v>1610</v>
      </c>
      <c r="O339" s="182" t="s">
        <v>54</v>
      </c>
    </row>
    <row r="340" spans="1:15" ht="12">
      <c r="A340" s="148"/>
      <c r="B340" s="174" t="s">
        <v>2150</v>
      </c>
      <c r="C340" s="175" t="s">
        <v>281</v>
      </c>
      <c r="D340" s="176" t="s">
        <v>282</v>
      </c>
      <c r="E340" s="177" t="s">
        <v>2151</v>
      </c>
      <c r="F340" s="175">
        <f t="shared" si="15"/>
        <v>9</v>
      </c>
      <c r="G340" s="175" t="str">
        <f t="shared" si="16"/>
        <v>Hammond</v>
      </c>
      <c r="H340" s="175" t="str">
        <f t="shared" si="17"/>
        <v>Hammond, LA</v>
      </c>
      <c r="I340" s="178" t="s">
        <v>1660</v>
      </c>
      <c r="J340" s="27" t="s">
        <v>282</v>
      </c>
      <c r="K340" s="27">
        <v>2690</v>
      </c>
      <c r="L340" s="179">
        <v>1669</v>
      </c>
      <c r="M340" s="180" t="s">
        <v>1661</v>
      </c>
      <c r="N340" s="181" t="s">
        <v>282</v>
      </c>
      <c r="O340" s="182" t="s">
        <v>1662</v>
      </c>
    </row>
    <row r="341" spans="1:15" ht="12">
      <c r="A341" s="148"/>
      <c r="B341" s="174" t="s">
        <v>2152</v>
      </c>
      <c r="C341" s="175" t="s">
        <v>1438</v>
      </c>
      <c r="D341" s="176" t="s">
        <v>1439</v>
      </c>
      <c r="E341" s="177" t="s">
        <v>2153</v>
      </c>
      <c r="F341" s="175">
        <f t="shared" si="15"/>
        <v>10</v>
      </c>
      <c r="G341" s="175" t="str">
        <f t="shared" si="16"/>
        <v>Hannibal</v>
      </c>
      <c r="H341" s="175" t="str">
        <f t="shared" si="17"/>
        <v>Hannibal, MO</v>
      </c>
      <c r="I341" s="178" t="s">
        <v>1579</v>
      </c>
      <c r="J341" s="27" t="s">
        <v>1439</v>
      </c>
      <c r="K341" s="27">
        <v>1189</v>
      </c>
      <c r="L341" s="179">
        <v>5212</v>
      </c>
      <c r="M341" s="178" t="s">
        <v>1442</v>
      </c>
      <c r="N341" s="27" t="s">
        <v>1439</v>
      </c>
      <c r="O341" s="182" t="s">
        <v>1443</v>
      </c>
    </row>
    <row r="342" spans="1:15" ht="12">
      <c r="A342" s="148"/>
      <c r="B342" s="174" t="s">
        <v>2154</v>
      </c>
      <c r="C342" s="175" t="s">
        <v>440</v>
      </c>
      <c r="D342" s="176" t="s">
        <v>441</v>
      </c>
      <c r="E342" s="177" t="s">
        <v>2155</v>
      </c>
      <c r="F342" s="175">
        <f t="shared" si="15"/>
        <v>12</v>
      </c>
      <c r="G342" s="175" t="str">
        <f t="shared" si="16"/>
        <v>Harrisburg</v>
      </c>
      <c r="H342" s="175" t="str">
        <f t="shared" si="17"/>
        <v>Harrisburg, PA</v>
      </c>
      <c r="I342" s="178" t="s">
        <v>2429</v>
      </c>
      <c r="J342" s="27" t="s">
        <v>441</v>
      </c>
      <c r="K342" s="27">
        <v>962</v>
      </c>
      <c r="L342" s="179">
        <v>5347</v>
      </c>
      <c r="M342" s="180" t="s">
        <v>2430</v>
      </c>
      <c r="N342" s="181" t="s">
        <v>441</v>
      </c>
      <c r="O342" s="182" t="s">
        <v>2431</v>
      </c>
    </row>
    <row r="343" spans="1:15" ht="12">
      <c r="A343" s="148"/>
      <c r="B343" s="174" t="s">
        <v>2156</v>
      </c>
      <c r="C343" s="175" t="s">
        <v>440</v>
      </c>
      <c r="D343" s="176" t="s">
        <v>441</v>
      </c>
      <c r="E343" s="177" t="s">
        <v>2155</v>
      </c>
      <c r="F343" s="175">
        <f t="shared" si="15"/>
        <v>12</v>
      </c>
      <c r="G343" s="175" t="str">
        <f t="shared" si="16"/>
        <v>Harrisburg</v>
      </c>
      <c r="H343" s="175" t="str">
        <f t="shared" si="17"/>
        <v>Harrisburg, PA</v>
      </c>
      <c r="I343" s="178" t="s">
        <v>2429</v>
      </c>
      <c r="J343" s="27" t="s">
        <v>441</v>
      </c>
      <c r="K343" s="27">
        <v>962</v>
      </c>
      <c r="L343" s="179">
        <v>5347</v>
      </c>
      <c r="M343" s="180" t="s">
        <v>2430</v>
      </c>
      <c r="N343" s="181" t="s">
        <v>441</v>
      </c>
      <c r="O343" s="182" t="s">
        <v>2431</v>
      </c>
    </row>
    <row r="344" spans="1:15" ht="12">
      <c r="A344" s="148"/>
      <c r="B344" s="174" t="s">
        <v>2157</v>
      </c>
      <c r="C344" s="175" t="s">
        <v>1650</v>
      </c>
      <c r="D344" s="176" t="s">
        <v>1651</v>
      </c>
      <c r="E344" s="177" t="s">
        <v>2247</v>
      </c>
      <c r="F344" s="175">
        <f t="shared" si="15"/>
        <v>10</v>
      </c>
      <c r="G344" s="175" t="str">
        <f t="shared" si="16"/>
        <v>Harrison</v>
      </c>
      <c r="H344" s="175" t="str">
        <f t="shared" si="17"/>
        <v>Harrison, AR</v>
      </c>
      <c r="I344" s="178" t="s">
        <v>2026</v>
      </c>
      <c r="J344" s="27" t="s">
        <v>1651</v>
      </c>
      <c r="K344" s="27">
        <v>1894</v>
      </c>
      <c r="L344" s="179">
        <v>3478</v>
      </c>
      <c r="M344" s="178" t="s">
        <v>2027</v>
      </c>
      <c r="N344" s="27" t="s">
        <v>1651</v>
      </c>
      <c r="O344" s="182" t="s">
        <v>2028</v>
      </c>
    </row>
    <row r="345" spans="1:15" ht="12">
      <c r="A345" s="148"/>
      <c r="B345" s="174" t="s">
        <v>2248</v>
      </c>
      <c r="C345" s="175" t="s">
        <v>425</v>
      </c>
      <c r="D345" s="176" t="s">
        <v>426</v>
      </c>
      <c r="E345" s="177" t="s">
        <v>2249</v>
      </c>
      <c r="F345" s="175">
        <f t="shared" si="15"/>
        <v>14</v>
      </c>
      <c r="G345" s="175" t="str">
        <f t="shared" si="16"/>
        <v>Harrisonburg</v>
      </c>
      <c r="H345" s="175" t="str">
        <f t="shared" si="17"/>
        <v>Harrisonburg, VA</v>
      </c>
      <c r="I345" s="178" t="s">
        <v>1737</v>
      </c>
      <c r="J345" s="27" t="s">
        <v>428</v>
      </c>
      <c r="K345" s="27">
        <v>973</v>
      </c>
      <c r="L345" s="179">
        <v>5006</v>
      </c>
      <c r="M345" s="180" t="s">
        <v>429</v>
      </c>
      <c r="N345" s="181" t="s">
        <v>430</v>
      </c>
      <c r="O345" s="182" t="s">
        <v>431</v>
      </c>
    </row>
    <row r="346" spans="1:15" ht="12">
      <c r="A346" s="148"/>
      <c r="B346" s="174" t="s">
        <v>2250</v>
      </c>
      <c r="C346" s="175" t="s">
        <v>1438</v>
      </c>
      <c r="D346" s="176" t="s">
        <v>1439</v>
      </c>
      <c r="E346" s="177" t="s">
        <v>2251</v>
      </c>
      <c r="F346" s="175">
        <f t="shared" si="15"/>
        <v>15</v>
      </c>
      <c r="G346" s="175" t="str">
        <f t="shared" si="16"/>
        <v>Harrisonville</v>
      </c>
      <c r="H346" s="175" t="str">
        <f t="shared" si="17"/>
        <v>Harrisonville, MO</v>
      </c>
      <c r="I346" s="178" t="s">
        <v>1985</v>
      </c>
      <c r="J346" s="27" t="s">
        <v>1439</v>
      </c>
      <c r="K346" s="27">
        <v>1320</v>
      </c>
      <c r="L346" s="179">
        <v>4638</v>
      </c>
      <c r="M346" s="180" t="s">
        <v>1712</v>
      </c>
      <c r="N346" s="181" t="s">
        <v>1439</v>
      </c>
      <c r="O346" s="182" t="s">
        <v>1986</v>
      </c>
    </row>
    <row r="347" spans="1:15" ht="12">
      <c r="A347" s="148"/>
      <c r="B347" s="186" t="s">
        <v>2252</v>
      </c>
      <c r="C347" s="175" t="s">
        <v>643</v>
      </c>
      <c r="D347" s="176" t="s">
        <v>644</v>
      </c>
      <c r="E347" s="177" t="s">
        <v>2253</v>
      </c>
      <c r="F347" s="175">
        <f t="shared" si="15"/>
        <v>10</v>
      </c>
      <c r="G347" s="175" t="str">
        <f t="shared" si="16"/>
        <v>Hartford</v>
      </c>
      <c r="H347" s="175" t="str">
        <f t="shared" si="17"/>
        <v>Hartford, CT</v>
      </c>
      <c r="I347" s="178" t="s">
        <v>603</v>
      </c>
      <c r="J347" s="27" t="s">
        <v>2383</v>
      </c>
      <c r="K347" s="27">
        <v>333</v>
      </c>
      <c r="L347" s="179">
        <v>6979</v>
      </c>
      <c r="M347" s="178" t="s">
        <v>711</v>
      </c>
      <c r="N347" s="27" t="s">
        <v>644</v>
      </c>
      <c r="O347" s="182" t="s">
        <v>712</v>
      </c>
    </row>
    <row r="348" spans="1:15" ht="12">
      <c r="A348" s="148"/>
      <c r="B348" s="186" t="s">
        <v>713</v>
      </c>
      <c r="C348" s="175" t="s">
        <v>643</v>
      </c>
      <c r="D348" s="176" t="s">
        <v>644</v>
      </c>
      <c r="E348" s="177" t="s">
        <v>2253</v>
      </c>
      <c r="F348" s="175">
        <f t="shared" si="15"/>
        <v>10</v>
      </c>
      <c r="G348" s="175" t="str">
        <f t="shared" si="16"/>
        <v>Hartford</v>
      </c>
      <c r="H348" s="175" t="str">
        <f t="shared" si="17"/>
        <v>Hartford, CT</v>
      </c>
      <c r="I348" s="178" t="s">
        <v>714</v>
      </c>
      <c r="J348" s="27" t="s">
        <v>644</v>
      </c>
      <c r="K348" s="27">
        <v>677</v>
      </c>
      <c r="L348" s="179">
        <v>6151</v>
      </c>
      <c r="M348" s="178" t="s">
        <v>711</v>
      </c>
      <c r="N348" s="27" t="s">
        <v>644</v>
      </c>
      <c r="O348" s="182" t="s">
        <v>712</v>
      </c>
    </row>
    <row r="349" spans="1:15" ht="12">
      <c r="A349" s="148"/>
      <c r="B349" s="174" t="s">
        <v>715</v>
      </c>
      <c r="C349" s="175" t="s">
        <v>447</v>
      </c>
      <c r="D349" s="176" t="s">
        <v>448</v>
      </c>
      <c r="E349" s="177" t="s">
        <v>716</v>
      </c>
      <c r="F349" s="175">
        <f t="shared" si="15"/>
        <v>10</v>
      </c>
      <c r="G349" s="175" t="str">
        <f t="shared" si="16"/>
        <v>Hastings</v>
      </c>
      <c r="H349" s="175" t="str">
        <f t="shared" si="17"/>
        <v>Hastings, NE</v>
      </c>
      <c r="I349" s="178" t="s">
        <v>586</v>
      </c>
      <c r="J349" s="27" t="s">
        <v>448</v>
      </c>
      <c r="K349" s="27">
        <v>997</v>
      </c>
      <c r="L349" s="179">
        <v>6421</v>
      </c>
      <c r="M349" s="180" t="s">
        <v>587</v>
      </c>
      <c r="N349" s="181" t="s">
        <v>448</v>
      </c>
      <c r="O349" s="182" t="s">
        <v>588</v>
      </c>
    </row>
    <row r="350" spans="1:15" ht="12">
      <c r="A350" s="148"/>
      <c r="B350" s="174" t="s">
        <v>717</v>
      </c>
      <c r="C350" s="175" t="s">
        <v>584</v>
      </c>
      <c r="D350" s="176" t="s">
        <v>1407</v>
      </c>
      <c r="E350" s="177" t="s">
        <v>718</v>
      </c>
      <c r="F350" s="175">
        <f t="shared" si="15"/>
        <v>13</v>
      </c>
      <c r="G350" s="175" t="str">
        <f t="shared" si="16"/>
        <v>Hattiesburg</v>
      </c>
      <c r="H350" s="175" t="str">
        <f t="shared" si="17"/>
        <v>Hattiesburg, MS</v>
      </c>
      <c r="I350" s="178" t="s">
        <v>719</v>
      </c>
      <c r="J350" s="27" t="s">
        <v>494</v>
      </c>
      <c r="K350" s="27">
        <v>2627</v>
      </c>
      <c r="L350" s="179">
        <v>1702</v>
      </c>
      <c r="M350" s="180" t="s">
        <v>720</v>
      </c>
      <c r="N350" s="181" t="s">
        <v>494</v>
      </c>
      <c r="O350" s="182" t="s">
        <v>721</v>
      </c>
    </row>
    <row r="351" spans="1:15" ht="12">
      <c r="A351" s="148"/>
      <c r="B351" s="174" t="s">
        <v>722</v>
      </c>
      <c r="C351" s="175" t="s">
        <v>1487</v>
      </c>
      <c r="D351" s="176" t="s">
        <v>1488</v>
      </c>
      <c r="E351" s="177" t="s">
        <v>723</v>
      </c>
      <c r="F351" s="175">
        <f t="shared" si="15"/>
        <v>7</v>
      </c>
      <c r="G351" s="175" t="str">
        <f t="shared" si="16"/>
        <v>Havre</v>
      </c>
      <c r="H351" s="175" t="str">
        <f t="shared" si="17"/>
        <v>Havre, MT</v>
      </c>
      <c r="I351" s="178" t="s">
        <v>2107</v>
      </c>
      <c r="J351" s="27" t="s">
        <v>1488</v>
      </c>
      <c r="K351" s="27">
        <v>388</v>
      </c>
      <c r="L351" s="179">
        <v>7741</v>
      </c>
      <c r="M351" s="180" t="s">
        <v>2108</v>
      </c>
      <c r="N351" s="181" t="s">
        <v>1488</v>
      </c>
      <c r="O351" s="182" t="s">
        <v>2109</v>
      </c>
    </row>
    <row r="352" spans="1:15" ht="12">
      <c r="A352" s="148"/>
      <c r="B352" s="174" t="s">
        <v>724</v>
      </c>
      <c r="C352" s="175" t="s">
        <v>1567</v>
      </c>
      <c r="D352" s="176" t="s">
        <v>1568</v>
      </c>
      <c r="E352" s="177" t="s">
        <v>725</v>
      </c>
      <c r="F352" s="175">
        <f t="shared" si="15"/>
        <v>6</v>
      </c>
      <c r="G352" s="175" t="str">
        <f t="shared" si="16"/>
        <v>Hays</v>
      </c>
      <c r="H352" s="175" t="str">
        <f t="shared" si="17"/>
        <v>Hays, KS</v>
      </c>
      <c r="I352" s="178" t="s">
        <v>1787</v>
      </c>
      <c r="J352" s="27" t="s">
        <v>1568</v>
      </c>
      <c r="K352" s="27">
        <v>1465</v>
      </c>
      <c r="L352" s="179">
        <v>5001</v>
      </c>
      <c r="M352" s="180" t="s">
        <v>1788</v>
      </c>
      <c r="N352" s="181" t="s">
        <v>1568</v>
      </c>
      <c r="O352" s="182" t="s">
        <v>1789</v>
      </c>
    </row>
    <row r="353" spans="1:15" ht="12">
      <c r="A353" s="148"/>
      <c r="B353" s="174" t="s">
        <v>726</v>
      </c>
      <c r="C353" s="175" t="s">
        <v>516</v>
      </c>
      <c r="D353" s="176" t="s">
        <v>517</v>
      </c>
      <c r="E353" s="177" t="s">
        <v>727</v>
      </c>
      <c r="F353" s="175">
        <f t="shared" si="15"/>
        <v>8</v>
      </c>
      <c r="G353" s="175" t="str">
        <f t="shared" si="16"/>
        <v>Hazard</v>
      </c>
      <c r="H353" s="175" t="str">
        <f t="shared" si="17"/>
        <v>Hazard, KY</v>
      </c>
      <c r="I353" s="178" t="s">
        <v>1590</v>
      </c>
      <c r="J353" s="27" t="s">
        <v>1591</v>
      </c>
      <c r="K353" s="27">
        <v>1005</v>
      </c>
      <c r="L353" s="179">
        <v>4665</v>
      </c>
      <c r="M353" s="180" t="s">
        <v>1592</v>
      </c>
      <c r="N353" s="181" t="s">
        <v>1591</v>
      </c>
      <c r="O353" s="182" t="s">
        <v>1593</v>
      </c>
    </row>
    <row r="354" spans="1:15" ht="12">
      <c r="A354" s="148"/>
      <c r="B354" s="174" t="s">
        <v>728</v>
      </c>
      <c r="C354" s="175" t="s">
        <v>516</v>
      </c>
      <c r="D354" s="176" t="s">
        <v>517</v>
      </c>
      <c r="E354" s="177" t="s">
        <v>727</v>
      </c>
      <c r="F354" s="175">
        <f t="shared" si="15"/>
        <v>8</v>
      </c>
      <c r="G354" s="175" t="str">
        <f t="shared" si="16"/>
        <v>Hazard</v>
      </c>
      <c r="H354" s="175" t="str">
        <f t="shared" si="17"/>
        <v>Hazard, KY</v>
      </c>
      <c r="I354" s="178" t="s">
        <v>1590</v>
      </c>
      <c r="J354" s="27" t="s">
        <v>1591</v>
      </c>
      <c r="K354" s="27">
        <v>1005</v>
      </c>
      <c r="L354" s="179">
        <v>4665</v>
      </c>
      <c r="M354" s="180" t="s">
        <v>1592</v>
      </c>
      <c r="N354" s="181" t="s">
        <v>1591</v>
      </c>
      <c r="O354" s="182" t="s">
        <v>1593</v>
      </c>
    </row>
    <row r="355" spans="1:15" ht="12">
      <c r="A355" s="148"/>
      <c r="B355" s="174" t="s">
        <v>729</v>
      </c>
      <c r="C355" s="175" t="s">
        <v>440</v>
      </c>
      <c r="D355" s="176" t="s">
        <v>441</v>
      </c>
      <c r="E355" s="177" t="s">
        <v>730</v>
      </c>
      <c r="F355" s="175">
        <f t="shared" si="15"/>
        <v>10</v>
      </c>
      <c r="G355" s="175" t="str">
        <f t="shared" si="16"/>
        <v>Hazleton</v>
      </c>
      <c r="H355" s="175" t="str">
        <f t="shared" si="17"/>
        <v>Hazleton, PA</v>
      </c>
      <c r="I355" s="178" t="s">
        <v>731</v>
      </c>
      <c r="J355" s="27" t="s">
        <v>441</v>
      </c>
      <c r="K355" s="27">
        <v>539</v>
      </c>
      <c r="L355" s="179">
        <v>6291</v>
      </c>
      <c r="M355" s="180" t="s">
        <v>1499</v>
      </c>
      <c r="N355" s="181" t="s">
        <v>441</v>
      </c>
      <c r="O355" s="182" t="s">
        <v>1500</v>
      </c>
    </row>
    <row r="356" spans="1:15" ht="12">
      <c r="A356" s="148"/>
      <c r="B356" s="174" t="s">
        <v>732</v>
      </c>
      <c r="C356" s="175" t="s">
        <v>1487</v>
      </c>
      <c r="D356" s="176" t="s">
        <v>1488</v>
      </c>
      <c r="E356" s="177" t="s">
        <v>733</v>
      </c>
      <c r="F356" s="175">
        <f t="shared" si="15"/>
        <v>8</v>
      </c>
      <c r="G356" s="175" t="str">
        <f t="shared" si="16"/>
        <v>Helena</v>
      </c>
      <c r="H356" s="175" t="str">
        <f t="shared" si="17"/>
        <v>Helena, MT</v>
      </c>
      <c r="I356" s="178" t="s">
        <v>734</v>
      </c>
      <c r="J356" s="27" t="s">
        <v>1488</v>
      </c>
      <c r="K356" s="27">
        <v>386</v>
      </c>
      <c r="L356" s="179">
        <v>8031</v>
      </c>
      <c r="M356" s="180" t="s">
        <v>1417</v>
      </c>
      <c r="N356" s="181" t="s">
        <v>1488</v>
      </c>
      <c r="O356" s="182" t="s">
        <v>1418</v>
      </c>
    </row>
    <row r="357" spans="1:15" ht="12">
      <c r="A357" s="148"/>
      <c r="B357" s="174" t="s">
        <v>735</v>
      </c>
      <c r="C357" s="175" t="s">
        <v>516</v>
      </c>
      <c r="D357" s="176" t="s">
        <v>517</v>
      </c>
      <c r="E357" s="177" t="s">
        <v>736</v>
      </c>
      <c r="F357" s="175">
        <f t="shared" si="15"/>
        <v>11</v>
      </c>
      <c r="G357" s="175" t="str">
        <f t="shared" si="16"/>
        <v>Henderson</v>
      </c>
      <c r="H357" s="175" t="str">
        <f t="shared" si="17"/>
        <v>Henderson, KY</v>
      </c>
      <c r="I357" s="178" t="s">
        <v>1446</v>
      </c>
      <c r="J357" s="27" t="s">
        <v>2364</v>
      </c>
      <c r="K357" s="27">
        <v>1376</v>
      </c>
      <c r="L357" s="179">
        <v>4708</v>
      </c>
      <c r="M357" s="178" t="s">
        <v>1447</v>
      </c>
      <c r="N357" s="27" t="s">
        <v>2364</v>
      </c>
      <c r="O357" s="182" t="s">
        <v>1448</v>
      </c>
    </row>
    <row r="358" spans="1:15" ht="12">
      <c r="A358" s="148"/>
      <c r="B358" s="174" t="s">
        <v>737</v>
      </c>
      <c r="C358" s="175" t="s">
        <v>472</v>
      </c>
      <c r="D358" s="176" t="s">
        <v>473</v>
      </c>
      <c r="E358" s="177" t="s">
        <v>738</v>
      </c>
      <c r="F358" s="175">
        <f t="shared" si="15"/>
        <v>9</v>
      </c>
      <c r="G358" s="175" t="str">
        <f t="shared" si="16"/>
        <v>Hickory</v>
      </c>
      <c r="H358" s="175" t="str">
        <f t="shared" si="17"/>
        <v>Hickory, NC</v>
      </c>
      <c r="I358" s="178" t="s">
        <v>2125</v>
      </c>
      <c r="J358" s="27" t="s">
        <v>473</v>
      </c>
      <c r="K358" s="27">
        <v>1253</v>
      </c>
      <c r="L358" s="179">
        <v>3865</v>
      </c>
      <c r="M358" s="180" t="s">
        <v>2126</v>
      </c>
      <c r="N358" s="181" t="s">
        <v>473</v>
      </c>
      <c r="O358" s="182" t="s">
        <v>2127</v>
      </c>
    </row>
    <row r="359" spans="1:15" ht="12">
      <c r="A359" s="148"/>
      <c r="B359" s="174" t="s">
        <v>739</v>
      </c>
      <c r="C359" s="175" t="s">
        <v>407</v>
      </c>
      <c r="D359" s="176" t="s">
        <v>408</v>
      </c>
      <c r="E359" s="177" t="s">
        <v>740</v>
      </c>
      <c r="F359" s="175">
        <f t="shared" si="15"/>
        <v>12</v>
      </c>
      <c r="G359" s="175" t="str">
        <f t="shared" si="16"/>
        <v>Hicksville</v>
      </c>
      <c r="H359" s="175" t="str">
        <f t="shared" si="17"/>
        <v>Hicksville, NY</v>
      </c>
      <c r="I359" s="178" t="s">
        <v>1975</v>
      </c>
      <c r="J359" s="27" t="s">
        <v>408</v>
      </c>
      <c r="K359" s="27">
        <v>706</v>
      </c>
      <c r="L359" s="179">
        <v>5647</v>
      </c>
      <c r="M359" s="178" t="s">
        <v>647</v>
      </c>
      <c r="N359" s="27" t="s">
        <v>644</v>
      </c>
      <c r="O359" s="182" t="s">
        <v>648</v>
      </c>
    </row>
    <row r="360" spans="1:15" ht="12">
      <c r="A360" s="148"/>
      <c r="B360" s="174" t="s">
        <v>741</v>
      </c>
      <c r="C360" s="175" t="s">
        <v>407</v>
      </c>
      <c r="D360" s="176" t="s">
        <v>408</v>
      </c>
      <c r="E360" s="177" t="s">
        <v>740</v>
      </c>
      <c r="F360" s="175">
        <f t="shared" si="15"/>
        <v>12</v>
      </c>
      <c r="G360" s="175" t="str">
        <f t="shared" si="16"/>
        <v>Hicksville</v>
      </c>
      <c r="H360" s="175" t="str">
        <f t="shared" si="17"/>
        <v>Hicksville, NY</v>
      </c>
      <c r="I360" s="178" t="s">
        <v>1975</v>
      </c>
      <c r="J360" s="27" t="s">
        <v>408</v>
      </c>
      <c r="K360" s="27">
        <v>706</v>
      </c>
      <c r="L360" s="179">
        <v>5647</v>
      </c>
      <c r="M360" s="178" t="s">
        <v>647</v>
      </c>
      <c r="N360" s="27" t="s">
        <v>644</v>
      </c>
      <c r="O360" s="182" t="s">
        <v>648</v>
      </c>
    </row>
    <row r="361" spans="1:15" ht="12">
      <c r="A361" s="148"/>
      <c r="B361" s="174" t="s">
        <v>742</v>
      </c>
      <c r="C361" s="175" t="s">
        <v>743</v>
      </c>
      <c r="D361" s="176" t="s">
        <v>744</v>
      </c>
      <c r="E361" s="177" t="s">
        <v>745</v>
      </c>
      <c r="F361" s="175">
        <f t="shared" si="15"/>
        <v>10</v>
      </c>
      <c r="G361" s="175" t="str">
        <f t="shared" si="16"/>
        <v>Honolulu</v>
      </c>
      <c r="H361" s="175" t="str">
        <f t="shared" si="17"/>
        <v>Honolulu, HI</v>
      </c>
      <c r="I361" s="178" t="s">
        <v>746</v>
      </c>
      <c r="J361" s="27" t="s">
        <v>744</v>
      </c>
      <c r="K361" s="27">
        <v>3284</v>
      </c>
      <c r="L361" s="179">
        <v>0</v>
      </c>
      <c r="M361" s="178" t="s">
        <v>747</v>
      </c>
      <c r="N361" s="27" t="s">
        <v>744</v>
      </c>
      <c r="O361" s="182" t="s">
        <v>748</v>
      </c>
    </row>
    <row r="362" spans="1:15" ht="12">
      <c r="A362" s="148"/>
      <c r="B362" s="174" t="s">
        <v>749</v>
      </c>
      <c r="C362" s="175" t="s">
        <v>743</v>
      </c>
      <c r="D362" s="176" t="s">
        <v>744</v>
      </c>
      <c r="E362" s="177" t="s">
        <v>745</v>
      </c>
      <c r="F362" s="175">
        <f t="shared" si="15"/>
        <v>10</v>
      </c>
      <c r="G362" s="175" t="str">
        <f t="shared" si="16"/>
        <v>Honolulu</v>
      </c>
      <c r="H362" s="175" t="str">
        <f t="shared" si="17"/>
        <v>Honolulu, HI</v>
      </c>
      <c r="I362" s="178" t="s">
        <v>750</v>
      </c>
      <c r="J362" s="27" t="s">
        <v>744</v>
      </c>
      <c r="K362" s="27">
        <v>4474</v>
      </c>
      <c r="L362" s="179">
        <v>0</v>
      </c>
      <c r="M362" s="178" t="s">
        <v>747</v>
      </c>
      <c r="N362" s="27" t="s">
        <v>744</v>
      </c>
      <c r="O362" s="182" t="s">
        <v>748</v>
      </c>
    </row>
    <row r="363" spans="1:15" ht="12">
      <c r="A363" s="148"/>
      <c r="B363" s="174" t="s">
        <v>751</v>
      </c>
      <c r="C363" s="175" t="s">
        <v>1694</v>
      </c>
      <c r="D363" s="176" t="s">
        <v>1695</v>
      </c>
      <c r="E363" s="177" t="s">
        <v>752</v>
      </c>
      <c r="F363" s="175">
        <f t="shared" si="15"/>
        <v>12</v>
      </c>
      <c r="G363" s="175" t="str">
        <f t="shared" si="16"/>
        <v>Hood River</v>
      </c>
      <c r="H363" s="175" t="str">
        <f t="shared" si="17"/>
        <v>Hood River, OR</v>
      </c>
      <c r="I363" s="178" t="s">
        <v>753</v>
      </c>
      <c r="J363" s="27" t="s">
        <v>1695</v>
      </c>
      <c r="K363" s="27">
        <v>247</v>
      </c>
      <c r="L363" s="179">
        <v>4927</v>
      </c>
      <c r="M363" s="178" t="s">
        <v>754</v>
      </c>
      <c r="N363" s="27" t="s">
        <v>1695</v>
      </c>
      <c r="O363" s="182" t="s">
        <v>755</v>
      </c>
    </row>
    <row r="364" spans="1:15" ht="12">
      <c r="A364" s="148"/>
      <c r="B364" s="174" t="s">
        <v>756</v>
      </c>
      <c r="C364" s="175" t="s">
        <v>1650</v>
      </c>
      <c r="D364" s="176" t="s">
        <v>1651</v>
      </c>
      <c r="E364" s="177" t="s">
        <v>757</v>
      </c>
      <c r="F364" s="175">
        <f t="shared" si="15"/>
        <v>6</v>
      </c>
      <c r="G364" s="175" t="str">
        <f t="shared" si="16"/>
        <v>Hope</v>
      </c>
      <c r="H364" s="175" t="str">
        <f t="shared" si="17"/>
        <v>Hope, AR</v>
      </c>
      <c r="I364" s="178" t="s">
        <v>1423</v>
      </c>
      <c r="J364" s="27" t="s">
        <v>1651</v>
      </c>
      <c r="K364" s="27">
        <v>2005</v>
      </c>
      <c r="L364" s="179">
        <v>3155</v>
      </c>
      <c r="M364" s="178" t="s">
        <v>1654</v>
      </c>
      <c r="N364" s="27" t="s">
        <v>1651</v>
      </c>
      <c r="O364" s="182" t="s">
        <v>1655</v>
      </c>
    </row>
    <row r="365" spans="1:15" ht="12">
      <c r="A365" s="148"/>
      <c r="B365" s="174" t="s">
        <v>758</v>
      </c>
      <c r="C365" s="175" t="s">
        <v>1650</v>
      </c>
      <c r="D365" s="176" t="s">
        <v>1651</v>
      </c>
      <c r="E365" s="177" t="s">
        <v>759</v>
      </c>
      <c r="F365" s="175">
        <f t="shared" si="15"/>
        <v>13</v>
      </c>
      <c r="G365" s="175" t="str">
        <f t="shared" si="16"/>
        <v>Hot Springs</v>
      </c>
      <c r="H365" s="175" t="str">
        <f t="shared" si="17"/>
        <v>Hot Springs, AR</v>
      </c>
      <c r="I365" s="178" t="s">
        <v>1423</v>
      </c>
      <c r="J365" s="27" t="s">
        <v>1651</v>
      </c>
      <c r="K365" s="27">
        <v>2005</v>
      </c>
      <c r="L365" s="179">
        <v>3155</v>
      </c>
      <c r="M365" s="178" t="s">
        <v>1654</v>
      </c>
      <c r="N365" s="27" t="s">
        <v>1651</v>
      </c>
      <c r="O365" s="182" t="s">
        <v>1655</v>
      </c>
    </row>
    <row r="366" spans="1:15" ht="12">
      <c r="A366" s="148"/>
      <c r="B366" s="174" t="s">
        <v>760</v>
      </c>
      <c r="C366" s="175" t="s">
        <v>480</v>
      </c>
      <c r="D366" s="176" t="s">
        <v>481</v>
      </c>
      <c r="E366" s="177" t="s">
        <v>761</v>
      </c>
      <c r="F366" s="175">
        <f t="shared" si="15"/>
        <v>10</v>
      </c>
      <c r="G366" s="175" t="str">
        <f t="shared" si="16"/>
        <v>Houghton</v>
      </c>
      <c r="H366" s="175" t="str">
        <f t="shared" si="17"/>
        <v>Houghton, MI</v>
      </c>
      <c r="I366" s="178" t="s">
        <v>762</v>
      </c>
      <c r="J366" s="27" t="s">
        <v>481</v>
      </c>
      <c r="K366" s="27">
        <v>256</v>
      </c>
      <c r="L366" s="179">
        <v>8218</v>
      </c>
      <c r="M366" s="180" t="s">
        <v>763</v>
      </c>
      <c r="N366" s="181" t="s">
        <v>481</v>
      </c>
      <c r="O366" s="182" t="s">
        <v>764</v>
      </c>
    </row>
    <row r="367" spans="1:15" ht="12">
      <c r="A367" s="148"/>
      <c r="B367" s="174" t="s">
        <v>765</v>
      </c>
      <c r="C367" s="175" t="s">
        <v>254</v>
      </c>
      <c r="D367" s="176" t="s">
        <v>255</v>
      </c>
      <c r="E367" s="177" t="s">
        <v>766</v>
      </c>
      <c r="F367" s="175">
        <f t="shared" si="15"/>
        <v>9</v>
      </c>
      <c r="G367" s="175" t="str">
        <f t="shared" si="16"/>
        <v>Houston</v>
      </c>
      <c r="H367" s="175" t="str">
        <f t="shared" si="17"/>
        <v>Houston, TX</v>
      </c>
      <c r="I367" s="178" t="s">
        <v>1715</v>
      </c>
      <c r="J367" s="27" t="s">
        <v>255</v>
      </c>
      <c r="K367" s="27">
        <v>2700</v>
      </c>
      <c r="L367" s="179">
        <v>1599</v>
      </c>
      <c r="M367" s="180" t="s">
        <v>1674</v>
      </c>
      <c r="N367" s="181" t="s">
        <v>255</v>
      </c>
      <c r="O367" s="182" t="s">
        <v>1675</v>
      </c>
    </row>
    <row r="368" spans="1:15" ht="12">
      <c r="A368" s="148"/>
      <c r="B368" s="174" t="s">
        <v>767</v>
      </c>
      <c r="C368" s="175" t="s">
        <v>254</v>
      </c>
      <c r="D368" s="176" t="s">
        <v>255</v>
      </c>
      <c r="E368" s="177" t="s">
        <v>766</v>
      </c>
      <c r="F368" s="175">
        <f t="shared" si="15"/>
        <v>9</v>
      </c>
      <c r="G368" s="175" t="str">
        <f t="shared" si="16"/>
        <v>Houston</v>
      </c>
      <c r="H368" s="175" t="str">
        <f t="shared" si="17"/>
        <v>Houston, TX</v>
      </c>
      <c r="I368" s="178" t="s">
        <v>1715</v>
      </c>
      <c r="J368" s="27" t="s">
        <v>255</v>
      </c>
      <c r="K368" s="27">
        <v>2700</v>
      </c>
      <c r="L368" s="179">
        <v>1599</v>
      </c>
      <c r="M368" s="180" t="s">
        <v>1674</v>
      </c>
      <c r="N368" s="181" t="s">
        <v>255</v>
      </c>
      <c r="O368" s="182" t="s">
        <v>1675</v>
      </c>
    </row>
    <row r="369" spans="1:15" ht="12">
      <c r="A369" s="148"/>
      <c r="B369" s="174" t="s">
        <v>768</v>
      </c>
      <c r="C369" s="175" t="s">
        <v>254</v>
      </c>
      <c r="D369" s="176" t="s">
        <v>255</v>
      </c>
      <c r="E369" s="177" t="s">
        <v>766</v>
      </c>
      <c r="F369" s="175">
        <f t="shared" si="15"/>
        <v>9</v>
      </c>
      <c r="G369" s="175" t="str">
        <f t="shared" si="16"/>
        <v>Houston</v>
      </c>
      <c r="H369" s="175" t="str">
        <f t="shared" si="17"/>
        <v>Houston, TX</v>
      </c>
      <c r="I369" s="178" t="s">
        <v>1715</v>
      </c>
      <c r="J369" s="27" t="s">
        <v>255</v>
      </c>
      <c r="K369" s="27">
        <v>2700</v>
      </c>
      <c r="L369" s="179">
        <v>1599</v>
      </c>
      <c r="M369" s="180" t="s">
        <v>1674</v>
      </c>
      <c r="N369" s="181" t="s">
        <v>255</v>
      </c>
      <c r="O369" s="182" t="s">
        <v>1675</v>
      </c>
    </row>
    <row r="370" spans="1:15" ht="12">
      <c r="A370" s="148"/>
      <c r="B370" s="174" t="s">
        <v>769</v>
      </c>
      <c r="C370" s="175" t="s">
        <v>254</v>
      </c>
      <c r="D370" s="176" t="s">
        <v>255</v>
      </c>
      <c r="E370" s="177" t="s">
        <v>766</v>
      </c>
      <c r="F370" s="175">
        <f t="shared" si="15"/>
        <v>9</v>
      </c>
      <c r="G370" s="175" t="str">
        <f t="shared" si="16"/>
        <v>Houston</v>
      </c>
      <c r="H370" s="175" t="str">
        <f t="shared" si="17"/>
        <v>Houston, TX</v>
      </c>
      <c r="I370" s="178" t="s">
        <v>1715</v>
      </c>
      <c r="J370" s="27" t="s">
        <v>255</v>
      </c>
      <c r="K370" s="27">
        <v>2700</v>
      </c>
      <c r="L370" s="179">
        <v>1599</v>
      </c>
      <c r="M370" s="180" t="s">
        <v>1674</v>
      </c>
      <c r="N370" s="181" t="s">
        <v>255</v>
      </c>
      <c r="O370" s="182" t="s">
        <v>1675</v>
      </c>
    </row>
    <row r="371" spans="1:15" ht="12">
      <c r="A371" s="148"/>
      <c r="B371" s="174" t="s">
        <v>770</v>
      </c>
      <c r="C371" s="175" t="s">
        <v>1678</v>
      </c>
      <c r="D371" s="176" t="s">
        <v>1591</v>
      </c>
      <c r="E371" s="177" t="s">
        <v>771</v>
      </c>
      <c r="F371" s="175">
        <f t="shared" si="15"/>
        <v>12</v>
      </c>
      <c r="G371" s="175" t="str">
        <f t="shared" si="16"/>
        <v>Huntington</v>
      </c>
      <c r="H371" s="175" t="str">
        <f t="shared" si="17"/>
        <v>Huntington, WV</v>
      </c>
      <c r="I371" s="178" t="s">
        <v>1380</v>
      </c>
      <c r="J371" s="27" t="s">
        <v>1591</v>
      </c>
      <c r="K371" s="27">
        <v>1031</v>
      </c>
      <c r="L371" s="179">
        <v>4646</v>
      </c>
      <c r="M371" s="180" t="s">
        <v>1592</v>
      </c>
      <c r="N371" s="181" t="s">
        <v>1591</v>
      </c>
      <c r="O371" s="182" t="s">
        <v>1593</v>
      </c>
    </row>
    <row r="372" spans="1:15" ht="12">
      <c r="A372" s="148"/>
      <c r="B372" s="174" t="s">
        <v>772</v>
      </c>
      <c r="C372" s="175" t="s">
        <v>1678</v>
      </c>
      <c r="D372" s="176" t="s">
        <v>1591</v>
      </c>
      <c r="E372" s="177" t="s">
        <v>771</v>
      </c>
      <c r="F372" s="175">
        <f t="shared" si="15"/>
        <v>12</v>
      </c>
      <c r="G372" s="175" t="str">
        <f t="shared" si="16"/>
        <v>Huntington</v>
      </c>
      <c r="H372" s="175" t="str">
        <f t="shared" si="17"/>
        <v>Huntington, WV</v>
      </c>
      <c r="I372" s="178" t="s">
        <v>1590</v>
      </c>
      <c r="J372" s="27" t="s">
        <v>1591</v>
      </c>
      <c r="K372" s="27">
        <v>1005</v>
      </c>
      <c r="L372" s="179">
        <v>4665</v>
      </c>
      <c r="M372" s="180" t="s">
        <v>1592</v>
      </c>
      <c r="N372" s="181" t="s">
        <v>1591</v>
      </c>
      <c r="O372" s="182" t="s">
        <v>1593</v>
      </c>
    </row>
    <row r="373" spans="1:15" ht="12">
      <c r="A373" s="148"/>
      <c r="B373" s="174" t="s">
        <v>773</v>
      </c>
      <c r="C373" s="175" t="s">
        <v>493</v>
      </c>
      <c r="D373" s="176" t="s">
        <v>494</v>
      </c>
      <c r="E373" s="177" t="s">
        <v>774</v>
      </c>
      <c r="F373" s="175">
        <f t="shared" si="15"/>
        <v>12</v>
      </c>
      <c r="G373" s="175" t="str">
        <f t="shared" si="16"/>
        <v>Huntsville</v>
      </c>
      <c r="H373" s="175" t="str">
        <f t="shared" si="17"/>
        <v>Huntsville, AL</v>
      </c>
      <c r="I373" s="178" t="s">
        <v>2463</v>
      </c>
      <c r="J373" s="27" t="s">
        <v>476</v>
      </c>
      <c r="K373" s="27">
        <v>1544</v>
      </c>
      <c r="L373" s="179">
        <v>3587</v>
      </c>
      <c r="M373" s="180" t="s">
        <v>2460</v>
      </c>
      <c r="N373" s="181" t="s">
        <v>476</v>
      </c>
      <c r="O373" s="182" t="s">
        <v>2461</v>
      </c>
    </row>
    <row r="374" spans="1:15" ht="12">
      <c r="A374" s="148"/>
      <c r="B374" s="174" t="s">
        <v>775</v>
      </c>
      <c r="C374" s="175" t="s">
        <v>493</v>
      </c>
      <c r="D374" s="176" t="s">
        <v>494</v>
      </c>
      <c r="E374" s="177" t="s">
        <v>774</v>
      </c>
      <c r="F374" s="175">
        <f t="shared" si="15"/>
        <v>12</v>
      </c>
      <c r="G374" s="175" t="str">
        <f t="shared" si="16"/>
        <v>Huntsville</v>
      </c>
      <c r="H374" s="175" t="str">
        <f t="shared" si="17"/>
        <v>Huntsville, AL</v>
      </c>
      <c r="I374" s="178" t="s">
        <v>2459</v>
      </c>
      <c r="J374" s="27" t="s">
        <v>494</v>
      </c>
      <c r="K374" s="27">
        <v>1651</v>
      </c>
      <c r="L374" s="179">
        <v>3323</v>
      </c>
      <c r="M374" s="180" t="s">
        <v>1758</v>
      </c>
      <c r="N374" s="181" t="s">
        <v>494</v>
      </c>
      <c r="O374" s="182" t="s">
        <v>1759</v>
      </c>
    </row>
    <row r="375" spans="1:15" ht="12">
      <c r="A375" s="148"/>
      <c r="B375" s="174" t="s">
        <v>776</v>
      </c>
      <c r="C375" s="175" t="s">
        <v>1567</v>
      </c>
      <c r="D375" s="176" t="s">
        <v>1568</v>
      </c>
      <c r="E375" s="177" t="s">
        <v>777</v>
      </c>
      <c r="F375" s="175">
        <f t="shared" si="15"/>
        <v>12</v>
      </c>
      <c r="G375" s="175" t="str">
        <f t="shared" si="16"/>
        <v>Hutchinson</v>
      </c>
      <c r="H375" s="175" t="str">
        <f t="shared" si="17"/>
        <v>Hutchinson, KS</v>
      </c>
      <c r="I375" s="178" t="s">
        <v>1070</v>
      </c>
      <c r="J375" s="27" t="s">
        <v>1568</v>
      </c>
      <c r="K375" s="27">
        <v>1628</v>
      </c>
      <c r="L375" s="179">
        <v>4791</v>
      </c>
      <c r="M375" s="180" t="s">
        <v>1788</v>
      </c>
      <c r="N375" s="181" t="s">
        <v>1568</v>
      </c>
      <c r="O375" s="182" t="s">
        <v>1789</v>
      </c>
    </row>
    <row r="376" spans="1:15" ht="12">
      <c r="A376" s="148"/>
      <c r="B376" s="186" t="s">
        <v>778</v>
      </c>
      <c r="C376" s="175" t="s">
        <v>2382</v>
      </c>
      <c r="D376" s="176" t="s">
        <v>2383</v>
      </c>
      <c r="E376" s="177" t="s">
        <v>60</v>
      </c>
      <c r="F376" s="175">
        <f t="shared" si="15"/>
        <v>9</v>
      </c>
      <c r="G376" s="175" t="str">
        <f t="shared" si="16"/>
        <v>Hyannis</v>
      </c>
      <c r="H376" s="175" t="str">
        <f t="shared" si="17"/>
        <v>Hyannis, MA</v>
      </c>
      <c r="I376" s="178" t="s">
        <v>2352</v>
      </c>
      <c r="J376" s="27" t="s">
        <v>2353</v>
      </c>
      <c r="K376" s="27">
        <v>606</v>
      </c>
      <c r="L376" s="179">
        <v>5884</v>
      </c>
      <c r="M376" s="180" t="s">
        <v>2354</v>
      </c>
      <c r="N376" s="181" t="s">
        <v>2353</v>
      </c>
      <c r="O376" s="182" t="s">
        <v>2355</v>
      </c>
    </row>
    <row r="377" spans="1:15" ht="12">
      <c r="A377" s="148"/>
      <c r="B377" s="174" t="s">
        <v>61</v>
      </c>
      <c r="C377" s="175" t="s">
        <v>2374</v>
      </c>
      <c r="D377" s="176" t="s">
        <v>2375</v>
      </c>
      <c r="E377" s="177" t="s">
        <v>62</v>
      </c>
      <c r="F377" s="175">
        <f t="shared" si="15"/>
        <v>13</v>
      </c>
      <c r="G377" s="175" t="str">
        <f t="shared" si="16"/>
        <v>Idaho Falls</v>
      </c>
      <c r="H377" s="175" t="str">
        <f t="shared" si="17"/>
        <v>Idaho Falls, ID</v>
      </c>
      <c r="I377" s="178" t="s">
        <v>63</v>
      </c>
      <c r="J377" s="27" t="s">
        <v>2375</v>
      </c>
      <c r="K377" s="27">
        <v>421</v>
      </c>
      <c r="L377" s="179">
        <v>7180</v>
      </c>
      <c r="M377" s="180" t="s">
        <v>64</v>
      </c>
      <c r="N377" s="181" t="s">
        <v>2375</v>
      </c>
      <c r="O377" s="182" t="s">
        <v>65</v>
      </c>
    </row>
    <row r="378" spans="1:15" ht="12">
      <c r="A378" s="148"/>
      <c r="B378" s="174" t="s">
        <v>66</v>
      </c>
      <c r="C378" s="175" t="s">
        <v>1567</v>
      </c>
      <c r="D378" s="176" t="s">
        <v>1568</v>
      </c>
      <c r="E378" s="177" t="s">
        <v>67</v>
      </c>
      <c r="F378" s="175">
        <f t="shared" si="15"/>
        <v>14</v>
      </c>
      <c r="G378" s="175" t="str">
        <f t="shared" si="16"/>
        <v>Independence</v>
      </c>
      <c r="H378" s="175" t="str">
        <f t="shared" si="17"/>
        <v>Independence, KS</v>
      </c>
      <c r="I378" s="178" t="s">
        <v>1985</v>
      </c>
      <c r="J378" s="27" t="s">
        <v>1439</v>
      </c>
      <c r="K378" s="27">
        <v>1320</v>
      </c>
      <c r="L378" s="179">
        <v>4638</v>
      </c>
      <c r="M378" s="180" t="s">
        <v>1712</v>
      </c>
      <c r="N378" s="181" t="s">
        <v>1439</v>
      </c>
      <c r="O378" s="182" t="s">
        <v>1986</v>
      </c>
    </row>
    <row r="379" spans="1:15" ht="12">
      <c r="A379" s="148"/>
      <c r="B379" s="174" t="s">
        <v>68</v>
      </c>
      <c r="C379" s="175" t="s">
        <v>440</v>
      </c>
      <c r="D379" s="176" t="s">
        <v>441</v>
      </c>
      <c r="E379" s="177" t="s">
        <v>2363</v>
      </c>
      <c r="F379" s="175">
        <f t="shared" si="15"/>
        <v>9</v>
      </c>
      <c r="G379" s="175" t="str">
        <f t="shared" si="16"/>
        <v>Indiana</v>
      </c>
      <c r="H379" s="175" t="str">
        <f t="shared" si="17"/>
        <v>Indiana, PA</v>
      </c>
      <c r="I379" s="178" t="s">
        <v>455</v>
      </c>
      <c r="J379" s="27" t="s">
        <v>441</v>
      </c>
      <c r="K379" s="27">
        <v>654</v>
      </c>
      <c r="L379" s="179">
        <v>5968</v>
      </c>
      <c r="M379" s="180" t="s">
        <v>456</v>
      </c>
      <c r="N379" s="181" t="s">
        <v>441</v>
      </c>
      <c r="O379" s="182" t="s">
        <v>457</v>
      </c>
    </row>
    <row r="380" spans="1:15" ht="12">
      <c r="A380" s="148"/>
      <c r="B380" s="174" t="s">
        <v>69</v>
      </c>
      <c r="C380" s="175" t="s">
        <v>2363</v>
      </c>
      <c r="D380" s="176" t="s">
        <v>2364</v>
      </c>
      <c r="E380" s="177" t="s">
        <v>70</v>
      </c>
      <c r="F380" s="175">
        <f t="shared" si="15"/>
        <v>14</v>
      </c>
      <c r="G380" s="175" t="str">
        <f t="shared" si="16"/>
        <v>Indianapolis</v>
      </c>
      <c r="H380" s="175" t="str">
        <f t="shared" si="17"/>
        <v>Indianapolis, IN</v>
      </c>
      <c r="I380" s="178" t="s">
        <v>2365</v>
      </c>
      <c r="J380" s="27" t="s">
        <v>2364</v>
      </c>
      <c r="K380" s="27">
        <v>1014</v>
      </c>
      <c r="L380" s="179">
        <v>5615</v>
      </c>
      <c r="M380" s="178" t="s">
        <v>2366</v>
      </c>
      <c r="N380" s="27" t="s">
        <v>2364</v>
      </c>
      <c r="O380" s="182" t="s">
        <v>2367</v>
      </c>
    </row>
    <row r="381" spans="1:15" ht="12">
      <c r="A381" s="148"/>
      <c r="B381" s="174" t="s">
        <v>71</v>
      </c>
      <c r="C381" s="175" t="s">
        <v>2363</v>
      </c>
      <c r="D381" s="176" t="s">
        <v>2364</v>
      </c>
      <c r="E381" s="177" t="s">
        <v>70</v>
      </c>
      <c r="F381" s="175">
        <f t="shared" si="15"/>
        <v>14</v>
      </c>
      <c r="G381" s="175" t="str">
        <f t="shared" si="16"/>
        <v>Indianapolis</v>
      </c>
      <c r="H381" s="175" t="str">
        <f t="shared" si="17"/>
        <v>Indianapolis, IN</v>
      </c>
      <c r="I381" s="178" t="s">
        <v>2365</v>
      </c>
      <c r="J381" s="27" t="s">
        <v>2364</v>
      </c>
      <c r="K381" s="27">
        <v>1014</v>
      </c>
      <c r="L381" s="179">
        <v>5615</v>
      </c>
      <c r="M381" s="178" t="s">
        <v>2366</v>
      </c>
      <c r="N381" s="27" t="s">
        <v>2364</v>
      </c>
      <c r="O381" s="182" t="s">
        <v>2367</v>
      </c>
    </row>
    <row r="382" spans="1:15" ht="12">
      <c r="A382" s="148"/>
      <c r="B382" s="174" t="s">
        <v>72</v>
      </c>
      <c r="C382" s="175" t="s">
        <v>2363</v>
      </c>
      <c r="D382" s="176" t="s">
        <v>2364</v>
      </c>
      <c r="E382" s="177" t="s">
        <v>70</v>
      </c>
      <c r="F382" s="175">
        <f t="shared" si="15"/>
        <v>14</v>
      </c>
      <c r="G382" s="175" t="str">
        <f t="shared" si="16"/>
        <v>Indianapolis</v>
      </c>
      <c r="H382" s="175" t="str">
        <f t="shared" si="17"/>
        <v>Indianapolis, IN</v>
      </c>
      <c r="I382" s="178" t="s">
        <v>2365</v>
      </c>
      <c r="J382" s="27" t="s">
        <v>2364</v>
      </c>
      <c r="K382" s="27">
        <v>1014</v>
      </c>
      <c r="L382" s="179">
        <v>5615</v>
      </c>
      <c r="M382" s="178" t="s">
        <v>2366</v>
      </c>
      <c r="N382" s="27" t="s">
        <v>2364</v>
      </c>
      <c r="O382" s="182" t="s">
        <v>2367</v>
      </c>
    </row>
    <row r="383" spans="1:15" ht="12">
      <c r="A383" s="148"/>
      <c r="B383" s="174" t="s">
        <v>73</v>
      </c>
      <c r="C383" s="175" t="s">
        <v>433</v>
      </c>
      <c r="D383" s="176" t="s">
        <v>434</v>
      </c>
      <c r="E383" s="177" t="s">
        <v>74</v>
      </c>
      <c r="F383" s="175">
        <f t="shared" si="15"/>
        <v>11</v>
      </c>
      <c r="G383" s="175" t="str">
        <f t="shared" si="16"/>
        <v>Inglewood</v>
      </c>
      <c r="H383" s="175" t="str">
        <f t="shared" si="17"/>
        <v>Inglewood, CA</v>
      </c>
      <c r="I383" s="178" t="s">
        <v>75</v>
      </c>
      <c r="J383" s="27" t="s">
        <v>434</v>
      </c>
      <c r="K383" s="27">
        <v>727</v>
      </c>
      <c r="L383" s="179">
        <v>1458</v>
      </c>
      <c r="M383" s="178" t="s">
        <v>437</v>
      </c>
      <c r="N383" s="27" t="s">
        <v>434</v>
      </c>
      <c r="O383" s="182" t="s">
        <v>438</v>
      </c>
    </row>
    <row r="384" spans="1:15" ht="12">
      <c r="A384" s="148"/>
      <c r="B384" s="174" t="s">
        <v>76</v>
      </c>
      <c r="C384" s="175" t="s">
        <v>480</v>
      </c>
      <c r="D384" s="176" t="s">
        <v>481</v>
      </c>
      <c r="E384" s="177" t="s">
        <v>77</v>
      </c>
      <c r="F384" s="175">
        <f t="shared" si="15"/>
        <v>15</v>
      </c>
      <c r="G384" s="175" t="str">
        <f t="shared" si="16"/>
        <v>Iron Mountain</v>
      </c>
      <c r="H384" s="175" t="str">
        <f t="shared" si="17"/>
        <v>Iron Mountain, MI</v>
      </c>
      <c r="I384" s="178" t="s">
        <v>78</v>
      </c>
      <c r="J384" s="27" t="s">
        <v>481</v>
      </c>
      <c r="K384" s="27">
        <v>155</v>
      </c>
      <c r="L384" s="179">
        <v>9567</v>
      </c>
      <c r="M384" s="180" t="s">
        <v>763</v>
      </c>
      <c r="N384" s="181" t="s">
        <v>481</v>
      </c>
      <c r="O384" s="182" t="s">
        <v>764</v>
      </c>
    </row>
    <row r="385" spans="1:15" ht="12">
      <c r="A385" s="148"/>
      <c r="B385" s="174" t="s">
        <v>79</v>
      </c>
      <c r="C385" s="175" t="s">
        <v>407</v>
      </c>
      <c r="D385" s="176" t="s">
        <v>408</v>
      </c>
      <c r="E385" s="177" t="s">
        <v>80</v>
      </c>
      <c r="F385" s="175">
        <f t="shared" si="15"/>
        <v>8</v>
      </c>
      <c r="G385" s="175" t="str">
        <f t="shared" si="16"/>
        <v>Ithaca</v>
      </c>
      <c r="H385" s="175" t="str">
        <f t="shared" si="17"/>
        <v>Ithaca, NY</v>
      </c>
      <c r="I385" s="178" t="s">
        <v>81</v>
      </c>
      <c r="J385" s="27" t="s">
        <v>408</v>
      </c>
      <c r="K385" s="27">
        <v>438</v>
      </c>
      <c r="L385" s="179">
        <v>6834</v>
      </c>
      <c r="M385" s="180" t="s">
        <v>1063</v>
      </c>
      <c r="N385" s="181" t="s">
        <v>408</v>
      </c>
      <c r="O385" s="182" t="s">
        <v>1064</v>
      </c>
    </row>
    <row r="386" spans="1:15" ht="12">
      <c r="A386" s="148"/>
      <c r="B386" s="174" t="s">
        <v>82</v>
      </c>
      <c r="C386" s="175" t="s">
        <v>480</v>
      </c>
      <c r="D386" s="176" t="s">
        <v>481</v>
      </c>
      <c r="E386" s="177" t="s">
        <v>83</v>
      </c>
      <c r="F386" s="175">
        <f t="shared" si="15"/>
        <v>9</v>
      </c>
      <c r="G386" s="175" t="str">
        <f t="shared" si="16"/>
        <v>Jackson</v>
      </c>
      <c r="H386" s="175" t="str">
        <f t="shared" si="17"/>
        <v>Jackson, MI</v>
      </c>
      <c r="I386" s="178" t="s">
        <v>620</v>
      </c>
      <c r="J386" s="27" t="s">
        <v>386</v>
      </c>
      <c r="K386" s="27">
        <v>610</v>
      </c>
      <c r="L386" s="179">
        <v>6579</v>
      </c>
      <c r="M386" s="180" t="s">
        <v>621</v>
      </c>
      <c r="N386" s="181" t="s">
        <v>386</v>
      </c>
      <c r="O386" s="182" t="s">
        <v>622</v>
      </c>
    </row>
    <row r="387" spans="1:15" ht="12">
      <c r="A387" s="148"/>
      <c r="B387" s="174" t="s">
        <v>84</v>
      </c>
      <c r="C387" s="175" t="s">
        <v>584</v>
      </c>
      <c r="D387" s="176" t="s">
        <v>1407</v>
      </c>
      <c r="E387" s="177" t="s">
        <v>83</v>
      </c>
      <c r="F387" s="175">
        <f t="shared" si="15"/>
        <v>9</v>
      </c>
      <c r="G387" s="175" t="str">
        <f t="shared" si="16"/>
        <v>Jackson</v>
      </c>
      <c r="H387" s="175" t="str">
        <f t="shared" si="17"/>
        <v>Jackson, MS</v>
      </c>
      <c r="I387" s="178" t="s">
        <v>2134</v>
      </c>
      <c r="J387" s="27" t="s">
        <v>1407</v>
      </c>
      <c r="K387" s="27">
        <v>2215</v>
      </c>
      <c r="L387" s="179">
        <v>2467</v>
      </c>
      <c r="M387" s="180" t="s">
        <v>1408</v>
      </c>
      <c r="N387" s="181" t="s">
        <v>1407</v>
      </c>
      <c r="O387" s="182" t="s">
        <v>1409</v>
      </c>
    </row>
    <row r="388" spans="1:15" ht="12">
      <c r="A388" s="148"/>
      <c r="B388" s="174" t="s">
        <v>85</v>
      </c>
      <c r="C388" s="175" t="s">
        <v>584</v>
      </c>
      <c r="D388" s="176" t="s">
        <v>1407</v>
      </c>
      <c r="E388" s="177" t="s">
        <v>83</v>
      </c>
      <c r="F388" s="175">
        <f t="shared" si="15"/>
        <v>9</v>
      </c>
      <c r="G388" s="175" t="str">
        <f t="shared" si="16"/>
        <v>Jackson</v>
      </c>
      <c r="H388" s="175" t="str">
        <f t="shared" si="17"/>
        <v>Jackson, MS</v>
      </c>
      <c r="I388" s="178" t="s">
        <v>2134</v>
      </c>
      <c r="J388" s="27" t="s">
        <v>1407</v>
      </c>
      <c r="K388" s="27">
        <v>2215</v>
      </c>
      <c r="L388" s="179">
        <v>2467</v>
      </c>
      <c r="M388" s="180" t="s">
        <v>1408</v>
      </c>
      <c r="N388" s="181" t="s">
        <v>1407</v>
      </c>
      <c r="O388" s="182" t="s">
        <v>1409</v>
      </c>
    </row>
    <row r="389" spans="1:15" ht="12">
      <c r="A389" s="148"/>
      <c r="B389" s="174" t="s">
        <v>86</v>
      </c>
      <c r="C389" s="175" t="s">
        <v>584</v>
      </c>
      <c r="D389" s="176" t="s">
        <v>1407</v>
      </c>
      <c r="E389" s="177" t="s">
        <v>83</v>
      </c>
      <c r="F389" s="175">
        <f t="shared" si="15"/>
        <v>9</v>
      </c>
      <c r="G389" s="175" t="str">
        <f t="shared" si="16"/>
        <v>Jackson</v>
      </c>
      <c r="H389" s="175" t="str">
        <f t="shared" si="17"/>
        <v>Jackson, MS</v>
      </c>
      <c r="I389" s="178" t="s">
        <v>2134</v>
      </c>
      <c r="J389" s="27" t="s">
        <v>1407</v>
      </c>
      <c r="K389" s="27">
        <v>2215</v>
      </c>
      <c r="L389" s="179">
        <v>2467</v>
      </c>
      <c r="M389" s="180" t="s">
        <v>1408</v>
      </c>
      <c r="N389" s="181" t="s">
        <v>1407</v>
      </c>
      <c r="O389" s="182" t="s">
        <v>1409</v>
      </c>
    </row>
    <row r="390" spans="1:15" ht="12">
      <c r="A390" s="148"/>
      <c r="B390" s="174" t="s">
        <v>87</v>
      </c>
      <c r="C390" s="175" t="s">
        <v>2457</v>
      </c>
      <c r="D390" s="176" t="s">
        <v>476</v>
      </c>
      <c r="E390" s="177" t="s">
        <v>83</v>
      </c>
      <c r="F390" s="175">
        <f t="shared" ref="F390:F453" si="18">LEN(E390)</f>
        <v>9</v>
      </c>
      <c r="G390" s="175" t="str">
        <f t="shared" ref="G390:G453" si="19">MID(E390,2,F390-2)</f>
        <v>Jackson</v>
      </c>
      <c r="H390" s="175" t="str">
        <f t="shared" ref="H390:H453" si="20">CONCATENATE(G390,", ",+D390)</f>
        <v>Jackson, TN</v>
      </c>
      <c r="I390" s="178" t="s">
        <v>2459</v>
      </c>
      <c r="J390" s="27" t="s">
        <v>494</v>
      </c>
      <c r="K390" s="27">
        <v>1651</v>
      </c>
      <c r="L390" s="179">
        <v>3323</v>
      </c>
      <c r="M390" s="180" t="s">
        <v>1758</v>
      </c>
      <c r="N390" s="181" t="s">
        <v>494</v>
      </c>
      <c r="O390" s="182" t="s">
        <v>1759</v>
      </c>
    </row>
    <row r="391" spans="1:15" ht="12">
      <c r="A391" s="148"/>
      <c r="B391" s="174" t="s">
        <v>88</v>
      </c>
      <c r="C391" s="175" t="s">
        <v>1474</v>
      </c>
      <c r="D391" s="176" t="s">
        <v>1475</v>
      </c>
      <c r="E391" s="177" t="s">
        <v>83</v>
      </c>
      <c r="F391" s="175">
        <f t="shared" si="18"/>
        <v>9</v>
      </c>
      <c r="G391" s="175" t="str">
        <f t="shared" si="19"/>
        <v>Jackson</v>
      </c>
      <c r="H391" s="175" t="str">
        <f t="shared" si="20"/>
        <v>Jackson, WY</v>
      </c>
      <c r="I391" s="178" t="s">
        <v>89</v>
      </c>
      <c r="J391" s="27" t="s">
        <v>1475</v>
      </c>
      <c r="K391" s="27">
        <v>479</v>
      </c>
      <c r="L391" s="179">
        <v>7889</v>
      </c>
      <c r="M391" s="180" t="s">
        <v>1478</v>
      </c>
      <c r="N391" s="181" t="s">
        <v>1475</v>
      </c>
      <c r="O391" s="182" t="s">
        <v>2418</v>
      </c>
    </row>
    <row r="392" spans="1:15" ht="12">
      <c r="A392" s="148"/>
      <c r="B392" s="174" t="s">
        <v>90</v>
      </c>
      <c r="C392" s="175" t="s">
        <v>624</v>
      </c>
      <c r="D392" s="176" t="s">
        <v>625</v>
      </c>
      <c r="E392" s="177" t="s">
        <v>91</v>
      </c>
      <c r="F392" s="175">
        <f t="shared" si="18"/>
        <v>14</v>
      </c>
      <c r="G392" s="175" t="str">
        <f t="shared" si="19"/>
        <v>Jacksonville</v>
      </c>
      <c r="H392" s="175" t="str">
        <f t="shared" si="20"/>
        <v>Jacksonville, FL</v>
      </c>
      <c r="I392" s="178" t="s">
        <v>92</v>
      </c>
      <c r="J392" s="27" t="s">
        <v>625</v>
      </c>
      <c r="K392" s="27">
        <v>2551</v>
      </c>
      <c r="L392" s="179">
        <v>1434</v>
      </c>
      <c r="M392" s="178" t="s">
        <v>2056</v>
      </c>
      <c r="N392" s="27" t="s">
        <v>625</v>
      </c>
      <c r="O392" s="182" t="s">
        <v>2057</v>
      </c>
    </row>
    <row r="393" spans="1:15" ht="12">
      <c r="A393" s="148"/>
      <c r="B393" s="174" t="s">
        <v>93</v>
      </c>
      <c r="C393" s="175" t="s">
        <v>624</v>
      </c>
      <c r="D393" s="176" t="s">
        <v>625</v>
      </c>
      <c r="E393" s="177" t="s">
        <v>91</v>
      </c>
      <c r="F393" s="175">
        <f t="shared" si="18"/>
        <v>14</v>
      </c>
      <c r="G393" s="175" t="str">
        <f t="shared" si="19"/>
        <v>Jacksonville</v>
      </c>
      <c r="H393" s="175" t="str">
        <f t="shared" si="20"/>
        <v>Jacksonville, FL</v>
      </c>
      <c r="I393" s="178" t="s">
        <v>92</v>
      </c>
      <c r="J393" s="27" t="s">
        <v>625</v>
      </c>
      <c r="K393" s="27">
        <v>2551</v>
      </c>
      <c r="L393" s="179">
        <v>1434</v>
      </c>
      <c r="M393" s="178" t="s">
        <v>2056</v>
      </c>
      <c r="N393" s="27" t="s">
        <v>625</v>
      </c>
      <c r="O393" s="182" t="s">
        <v>2057</v>
      </c>
    </row>
    <row r="394" spans="1:15" ht="12">
      <c r="A394" s="148"/>
      <c r="B394" s="174" t="s">
        <v>94</v>
      </c>
      <c r="C394" s="175" t="s">
        <v>624</v>
      </c>
      <c r="D394" s="176" t="s">
        <v>625</v>
      </c>
      <c r="E394" s="177" t="s">
        <v>91</v>
      </c>
      <c r="F394" s="175">
        <f t="shared" si="18"/>
        <v>14</v>
      </c>
      <c r="G394" s="175" t="str">
        <f t="shared" si="19"/>
        <v>Jacksonville</v>
      </c>
      <c r="H394" s="175" t="str">
        <f t="shared" si="20"/>
        <v>Jacksonville, FL</v>
      </c>
      <c r="I394" s="178" t="s">
        <v>92</v>
      </c>
      <c r="J394" s="27" t="s">
        <v>625</v>
      </c>
      <c r="K394" s="27">
        <v>2551</v>
      </c>
      <c r="L394" s="179">
        <v>1434</v>
      </c>
      <c r="M394" s="178" t="s">
        <v>2056</v>
      </c>
      <c r="N394" s="27" t="s">
        <v>625</v>
      </c>
      <c r="O394" s="182" t="s">
        <v>2057</v>
      </c>
    </row>
    <row r="395" spans="1:15" ht="12">
      <c r="A395" s="148"/>
      <c r="B395" s="174" t="s">
        <v>95</v>
      </c>
      <c r="C395" s="175" t="s">
        <v>407</v>
      </c>
      <c r="D395" s="176" t="s">
        <v>408</v>
      </c>
      <c r="E395" s="177" t="s">
        <v>96</v>
      </c>
      <c r="F395" s="175">
        <f t="shared" si="18"/>
        <v>9</v>
      </c>
      <c r="G395" s="175" t="str">
        <f t="shared" si="19"/>
        <v>Jamaica</v>
      </c>
      <c r="H395" s="175" t="str">
        <f t="shared" si="20"/>
        <v>Jamaica, NY</v>
      </c>
      <c r="I395" s="178" t="s">
        <v>2007</v>
      </c>
      <c r="J395" s="27" t="s">
        <v>408</v>
      </c>
      <c r="K395" s="27">
        <v>921</v>
      </c>
      <c r="L395" s="179">
        <v>5027</v>
      </c>
      <c r="M395" s="180" t="s">
        <v>2360</v>
      </c>
      <c r="N395" s="181" t="s">
        <v>408</v>
      </c>
      <c r="O395" s="182" t="s">
        <v>1359</v>
      </c>
    </row>
    <row r="396" spans="1:15" ht="12">
      <c r="A396" s="148"/>
      <c r="B396" s="174" t="s">
        <v>97</v>
      </c>
      <c r="C396" s="175" t="s">
        <v>1506</v>
      </c>
      <c r="D396" s="176" t="s">
        <v>251</v>
      </c>
      <c r="E396" s="177" t="s">
        <v>98</v>
      </c>
      <c r="F396" s="175">
        <f t="shared" si="18"/>
        <v>11</v>
      </c>
      <c r="G396" s="175" t="str">
        <f t="shared" si="19"/>
        <v>Jamestown</v>
      </c>
      <c r="H396" s="175" t="str">
        <f t="shared" si="20"/>
        <v>Jamestown, ND</v>
      </c>
      <c r="I396" s="178" t="s">
        <v>1704</v>
      </c>
      <c r="J396" s="27" t="s">
        <v>251</v>
      </c>
      <c r="K396" s="27">
        <v>488</v>
      </c>
      <c r="L396" s="179">
        <v>8968</v>
      </c>
      <c r="M396" s="180" t="s">
        <v>1705</v>
      </c>
      <c r="N396" s="181" t="s">
        <v>251</v>
      </c>
      <c r="O396" s="182" t="s">
        <v>1706</v>
      </c>
    </row>
    <row r="397" spans="1:15" ht="12">
      <c r="A397" s="148"/>
      <c r="B397" s="174" t="s">
        <v>99</v>
      </c>
      <c r="C397" s="175" t="s">
        <v>407</v>
      </c>
      <c r="D397" s="176" t="s">
        <v>408</v>
      </c>
      <c r="E397" s="177" t="s">
        <v>98</v>
      </c>
      <c r="F397" s="175">
        <f t="shared" si="18"/>
        <v>11</v>
      </c>
      <c r="G397" s="175" t="str">
        <f t="shared" si="19"/>
        <v>Jamestown</v>
      </c>
      <c r="H397" s="175" t="str">
        <f t="shared" si="20"/>
        <v>Jamestown, NY</v>
      </c>
      <c r="I397" s="178" t="s">
        <v>632</v>
      </c>
      <c r="J397" s="27" t="s">
        <v>441</v>
      </c>
      <c r="K397" s="27">
        <v>550</v>
      </c>
      <c r="L397" s="179">
        <v>6279</v>
      </c>
      <c r="M397" s="180" t="s">
        <v>633</v>
      </c>
      <c r="N397" s="181" t="s">
        <v>441</v>
      </c>
      <c r="O397" s="182" t="s">
        <v>634</v>
      </c>
    </row>
    <row r="398" spans="1:15" ht="12">
      <c r="A398" s="148"/>
      <c r="B398" s="174" t="s">
        <v>100</v>
      </c>
      <c r="C398" s="175" t="s">
        <v>493</v>
      </c>
      <c r="D398" s="176" t="s">
        <v>494</v>
      </c>
      <c r="E398" s="177" t="s">
        <v>101</v>
      </c>
      <c r="F398" s="175">
        <f t="shared" si="18"/>
        <v>8</v>
      </c>
      <c r="G398" s="175" t="str">
        <f t="shared" si="19"/>
        <v>Jasper</v>
      </c>
      <c r="H398" s="175" t="str">
        <f t="shared" si="20"/>
        <v>Jasper, AL</v>
      </c>
      <c r="I398" s="178" t="s">
        <v>2459</v>
      </c>
      <c r="J398" s="27" t="s">
        <v>494</v>
      </c>
      <c r="K398" s="27">
        <v>1651</v>
      </c>
      <c r="L398" s="179">
        <v>3323</v>
      </c>
      <c r="M398" s="180" t="s">
        <v>1758</v>
      </c>
      <c r="N398" s="181" t="s">
        <v>494</v>
      </c>
      <c r="O398" s="182" t="s">
        <v>1759</v>
      </c>
    </row>
    <row r="399" spans="1:15" ht="12">
      <c r="A399" s="148"/>
      <c r="B399" s="174" t="s">
        <v>102</v>
      </c>
      <c r="C399" s="175" t="s">
        <v>1438</v>
      </c>
      <c r="D399" s="176" t="s">
        <v>1439</v>
      </c>
      <c r="E399" s="177" t="s">
        <v>103</v>
      </c>
      <c r="F399" s="175">
        <f t="shared" si="18"/>
        <v>16</v>
      </c>
      <c r="G399" s="175" t="str">
        <f t="shared" si="19"/>
        <v>Jefferson_City</v>
      </c>
      <c r="H399" s="175" t="str">
        <f t="shared" si="20"/>
        <v>Jefferson_City, MO</v>
      </c>
      <c r="I399" s="178" t="s">
        <v>1441</v>
      </c>
      <c r="J399" s="27" t="s">
        <v>1439</v>
      </c>
      <c r="K399" s="27">
        <v>1534</v>
      </c>
      <c r="L399" s="179">
        <v>4758</v>
      </c>
      <c r="M399" s="178" t="s">
        <v>1442</v>
      </c>
      <c r="N399" s="27" t="s">
        <v>1439</v>
      </c>
      <c r="O399" s="182" t="s">
        <v>1443</v>
      </c>
    </row>
    <row r="400" spans="1:15" ht="12">
      <c r="A400" s="148"/>
      <c r="B400" s="174" t="s">
        <v>104</v>
      </c>
      <c r="C400" s="175" t="s">
        <v>1438</v>
      </c>
      <c r="D400" s="176" t="s">
        <v>1439</v>
      </c>
      <c r="E400" s="177" t="s">
        <v>103</v>
      </c>
      <c r="F400" s="175">
        <f t="shared" si="18"/>
        <v>16</v>
      </c>
      <c r="G400" s="175" t="str">
        <f t="shared" si="19"/>
        <v>Jefferson_City</v>
      </c>
      <c r="H400" s="175" t="str">
        <f t="shared" si="20"/>
        <v>Jefferson_City, MO</v>
      </c>
      <c r="I400" s="178" t="s">
        <v>1579</v>
      </c>
      <c r="J400" s="27" t="s">
        <v>1439</v>
      </c>
      <c r="K400" s="27">
        <v>1189</v>
      </c>
      <c r="L400" s="179">
        <v>5212</v>
      </c>
      <c r="M400" s="178" t="s">
        <v>1442</v>
      </c>
      <c r="N400" s="27" t="s">
        <v>1439</v>
      </c>
      <c r="O400" s="182" t="s">
        <v>1443</v>
      </c>
    </row>
    <row r="401" spans="1:15" ht="12">
      <c r="A401" s="148"/>
      <c r="B401" s="186" t="s">
        <v>105</v>
      </c>
      <c r="C401" s="175" t="s">
        <v>1609</v>
      </c>
      <c r="D401" s="176" t="s">
        <v>1610</v>
      </c>
      <c r="E401" s="177" t="s">
        <v>106</v>
      </c>
      <c r="F401" s="175">
        <f t="shared" si="18"/>
        <v>13</v>
      </c>
      <c r="G401" s="175" t="str">
        <f t="shared" si="19"/>
        <v>Jersey_City</v>
      </c>
      <c r="H401" s="175" t="str">
        <f t="shared" si="20"/>
        <v>Jersey_City, NJ</v>
      </c>
      <c r="I401" s="178" t="s">
        <v>52</v>
      </c>
      <c r="J401" s="27" t="s">
        <v>1610</v>
      </c>
      <c r="K401" s="27">
        <v>1201</v>
      </c>
      <c r="L401" s="179">
        <v>4888</v>
      </c>
      <c r="M401" s="180" t="s">
        <v>53</v>
      </c>
      <c r="N401" s="181" t="s">
        <v>1610</v>
      </c>
      <c r="O401" s="182" t="s">
        <v>54</v>
      </c>
    </row>
    <row r="402" spans="1:15" ht="12">
      <c r="A402" s="148"/>
      <c r="B402" s="174" t="s">
        <v>107</v>
      </c>
      <c r="C402" s="175" t="s">
        <v>2457</v>
      </c>
      <c r="D402" s="176" t="s">
        <v>476</v>
      </c>
      <c r="E402" s="177" t="s">
        <v>108</v>
      </c>
      <c r="F402" s="175">
        <f t="shared" si="18"/>
        <v>14</v>
      </c>
      <c r="G402" s="175" t="str">
        <f t="shared" si="19"/>
        <v>Johnson City</v>
      </c>
      <c r="H402" s="175" t="str">
        <f t="shared" si="20"/>
        <v>Johnson City, TN</v>
      </c>
      <c r="I402" s="178" t="s">
        <v>510</v>
      </c>
      <c r="J402" s="27" t="s">
        <v>476</v>
      </c>
      <c r="K402" s="27">
        <v>972</v>
      </c>
      <c r="L402" s="179">
        <v>4406</v>
      </c>
      <c r="M402" s="180" t="s">
        <v>477</v>
      </c>
      <c r="N402" s="181" t="s">
        <v>476</v>
      </c>
      <c r="O402" s="182" t="s">
        <v>478</v>
      </c>
    </row>
    <row r="403" spans="1:15" ht="12">
      <c r="A403" s="148"/>
      <c r="B403" s="174" t="s">
        <v>109</v>
      </c>
      <c r="C403" s="175" t="s">
        <v>440</v>
      </c>
      <c r="D403" s="176" t="s">
        <v>441</v>
      </c>
      <c r="E403" s="177" t="s">
        <v>110</v>
      </c>
      <c r="F403" s="175">
        <f t="shared" si="18"/>
        <v>11</v>
      </c>
      <c r="G403" s="175" t="str">
        <f t="shared" si="19"/>
        <v>Johnstown</v>
      </c>
      <c r="H403" s="175" t="str">
        <f t="shared" si="20"/>
        <v>Johnstown, PA</v>
      </c>
      <c r="I403" s="178" t="s">
        <v>455</v>
      </c>
      <c r="J403" s="27" t="s">
        <v>441</v>
      </c>
      <c r="K403" s="27">
        <v>654</v>
      </c>
      <c r="L403" s="179">
        <v>5968</v>
      </c>
      <c r="M403" s="180" t="s">
        <v>456</v>
      </c>
      <c r="N403" s="181" t="s">
        <v>441</v>
      </c>
      <c r="O403" s="182" t="s">
        <v>457</v>
      </c>
    </row>
    <row r="404" spans="1:15" ht="12">
      <c r="A404" s="148"/>
      <c r="B404" s="174" t="s">
        <v>111</v>
      </c>
      <c r="C404" s="175" t="s">
        <v>1650</v>
      </c>
      <c r="D404" s="176" t="s">
        <v>1651</v>
      </c>
      <c r="E404" s="177" t="s">
        <v>112</v>
      </c>
      <c r="F404" s="175">
        <f t="shared" si="18"/>
        <v>11</v>
      </c>
      <c r="G404" s="175" t="str">
        <f t="shared" si="19"/>
        <v>Jonesboro</v>
      </c>
      <c r="H404" s="175" t="str">
        <f t="shared" si="20"/>
        <v>Jonesboro, AR</v>
      </c>
      <c r="I404" s="178" t="s">
        <v>1653</v>
      </c>
      <c r="J404" s="27" t="s">
        <v>1651</v>
      </c>
      <c r="K404" s="27">
        <v>1916</v>
      </c>
      <c r="L404" s="179">
        <v>3228</v>
      </c>
      <c r="M404" s="178" t="s">
        <v>1654</v>
      </c>
      <c r="N404" s="27" t="s">
        <v>1651</v>
      </c>
      <c r="O404" s="182" t="s">
        <v>1655</v>
      </c>
    </row>
    <row r="405" spans="1:15" ht="12">
      <c r="A405" s="148"/>
      <c r="B405" s="174" t="s">
        <v>113</v>
      </c>
      <c r="C405" s="175" t="s">
        <v>1438</v>
      </c>
      <c r="D405" s="176" t="s">
        <v>1439</v>
      </c>
      <c r="E405" s="177" t="s">
        <v>114</v>
      </c>
      <c r="F405" s="175">
        <f t="shared" si="18"/>
        <v>8</v>
      </c>
      <c r="G405" s="175" t="str">
        <f t="shared" si="19"/>
        <v>Joplin</v>
      </c>
      <c r="H405" s="175" t="str">
        <f t="shared" si="20"/>
        <v>Joplin, MO</v>
      </c>
      <c r="I405" s="178" t="s">
        <v>1985</v>
      </c>
      <c r="J405" s="27" t="s">
        <v>1439</v>
      </c>
      <c r="K405" s="27">
        <v>1320</v>
      </c>
      <c r="L405" s="179">
        <v>4638</v>
      </c>
      <c r="M405" s="180" t="s">
        <v>1712</v>
      </c>
      <c r="N405" s="181" t="s">
        <v>1439</v>
      </c>
      <c r="O405" s="182" t="s">
        <v>1986</v>
      </c>
    </row>
    <row r="406" spans="1:15" ht="12">
      <c r="A406" s="148"/>
      <c r="B406" s="174" t="s">
        <v>115</v>
      </c>
      <c r="C406" s="175" t="s">
        <v>464</v>
      </c>
      <c r="D406" s="176" t="s">
        <v>465</v>
      </c>
      <c r="E406" s="177" t="s">
        <v>116</v>
      </c>
      <c r="F406" s="175">
        <f t="shared" si="18"/>
        <v>8</v>
      </c>
      <c r="G406" s="175" t="str">
        <f t="shared" si="19"/>
        <v>Juneau</v>
      </c>
      <c r="H406" s="175" t="str">
        <f t="shared" si="20"/>
        <v>Juneau, AK</v>
      </c>
      <c r="I406" s="178" t="s">
        <v>117</v>
      </c>
      <c r="J406" s="27" t="s">
        <v>465</v>
      </c>
      <c r="K406" s="27">
        <v>0</v>
      </c>
      <c r="L406" s="179">
        <v>8897</v>
      </c>
      <c r="M406" s="178" t="s">
        <v>118</v>
      </c>
      <c r="N406" s="27" t="s">
        <v>465</v>
      </c>
      <c r="O406" s="182" t="s">
        <v>119</v>
      </c>
    </row>
    <row r="407" spans="1:15" ht="12">
      <c r="A407" s="148"/>
      <c r="B407" s="174" t="s">
        <v>120</v>
      </c>
      <c r="C407" s="175" t="s">
        <v>480</v>
      </c>
      <c r="D407" s="176" t="s">
        <v>481</v>
      </c>
      <c r="E407" s="177" t="s">
        <v>121</v>
      </c>
      <c r="F407" s="175">
        <f t="shared" si="18"/>
        <v>11</v>
      </c>
      <c r="G407" s="175" t="str">
        <f t="shared" si="19"/>
        <v>Kalamazoo</v>
      </c>
      <c r="H407" s="175" t="str">
        <f t="shared" si="20"/>
        <v>Kalamazoo, MI</v>
      </c>
      <c r="I407" s="178" t="s">
        <v>2031</v>
      </c>
      <c r="J407" s="27" t="s">
        <v>2364</v>
      </c>
      <c r="K407" s="27">
        <v>728</v>
      </c>
      <c r="L407" s="179">
        <v>6331</v>
      </c>
      <c r="M407" s="178" t="s">
        <v>2070</v>
      </c>
      <c r="N407" s="27" t="s">
        <v>2364</v>
      </c>
      <c r="O407" s="182" t="s">
        <v>2071</v>
      </c>
    </row>
    <row r="408" spans="1:15" ht="12">
      <c r="A408" s="148"/>
      <c r="B408" s="174" t="s">
        <v>122</v>
      </c>
      <c r="C408" s="175" t="s">
        <v>480</v>
      </c>
      <c r="D408" s="176" t="s">
        <v>481</v>
      </c>
      <c r="E408" s="177" t="s">
        <v>121</v>
      </c>
      <c r="F408" s="175">
        <f t="shared" si="18"/>
        <v>11</v>
      </c>
      <c r="G408" s="175" t="str">
        <f t="shared" si="19"/>
        <v>Kalamazoo</v>
      </c>
      <c r="H408" s="175" t="str">
        <f t="shared" si="20"/>
        <v>Kalamazoo, MI</v>
      </c>
      <c r="I408" s="178" t="s">
        <v>2031</v>
      </c>
      <c r="J408" s="27" t="s">
        <v>2364</v>
      </c>
      <c r="K408" s="27">
        <v>728</v>
      </c>
      <c r="L408" s="179">
        <v>6331</v>
      </c>
      <c r="M408" s="178" t="s">
        <v>2070</v>
      </c>
      <c r="N408" s="27" t="s">
        <v>2364</v>
      </c>
      <c r="O408" s="182" t="s">
        <v>2071</v>
      </c>
    </row>
    <row r="409" spans="1:15" ht="12">
      <c r="A409" s="148"/>
      <c r="B409" s="174" t="s">
        <v>123</v>
      </c>
      <c r="C409" s="175" t="s">
        <v>1487</v>
      </c>
      <c r="D409" s="176" t="s">
        <v>1488</v>
      </c>
      <c r="E409" s="177" t="s">
        <v>124</v>
      </c>
      <c r="F409" s="175">
        <f t="shared" si="18"/>
        <v>11</v>
      </c>
      <c r="G409" s="175" t="str">
        <f t="shared" si="19"/>
        <v>Kalispell</v>
      </c>
      <c r="H409" s="175" t="str">
        <f t="shared" si="20"/>
        <v>Kalispell, MT</v>
      </c>
      <c r="I409" s="178" t="s">
        <v>907</v>
      </c>
      <c r="J409" s="27" t="s">
        <v>1488</v>
      </c>
      <c r="K409" s="27">
        <v>149</v>
      </c>
      <c r="L409" s="179">
        <v>8378</v>
      </c>
      <c r="M409" s="180" t="s">
        <v>2108</v>
      </c>
      <c r="N409" s="181" t="s">
        <v>1488</v>
      </c>
      <c r="O409" s="182" t="s">
        <v>2109</v>
      </c>
    </row>
    <row r="410" spans="1:15" ht="12">
      <c r="A410" s="148"/>
      <c r="B410" s="174" t="s">
        <v>908</v>
      </c>
      <c r="C410" s="175" t="s">
        <v>1708</v>
      </c>
      <c r="D410" s="176" t="s">
        <v>1709</v>
      </c>
      <c r="E410" s="177" t="s">
        <v>909</v>
      </c>
      <c r="F410" s="175">
        <f t="shared" si="18"/>
        <v>10</v>
      </c>
      <c r="G410" s="175" t="str">
        <f t="shared" si="19"/>
        <v>Kankakee</v>
      </c>
      <c r="H410" s="175" t="str">
        <f t="shared" si="20"/>
        <v>Kankakee, IL</v>
      </c>
      <c r="I410" s="178" t="s">
        <v>910</v>
      </c>
      <c r="J410" s="27" t="s">
        <v>1709</v>
      </c>
      <c r="K410" s="27">
        <v>982</v>
      </c>
      <c r="L410" s="179">
        <v>6148</v>
      </c>
      <c r="M410" s="178" t="s">
        <v>2061</v>
      </c>
      <c r="N410" s="27" t="s">
        <v>1709</v>
      </c>
      <c r="O410" s="182" t="s">
        <v>2062</v>
      </c>
    </row>
    <row r="411" spans="1:15" ht="12">
      <c r="A411" s="148"/>
      <c r="B411" s="174" t="s">
        <v>911</v>
      </c>
      <c r="C411" s="175" t="s">
        <v>1567</v>
      </c>
      <c r="D411" s="176" t="s">
        <v>1568</v>
      </c>
      <c r="E411" s="177" t="s">
        <v>912</v>
      </c>
      <c r="F411" s="175">
        <f t="shared" si="18"/>
        <v>13</v>
      </c>
      <c r="G411" s="175" t="str">
        <f t="shared" si="19"/>
        <v>Kansas City</v>
      </c>
      <c r="H411" s="175" t="str">
        <f t="shared" si="20"/>
        <v>Kansas City, KS</v>
      </c>
      <c r="I411" s="178" t="s">
        <v>913</v>
      </c>
      <c r="J411" s="27" t="s">
        <v>1568</v>
      </c>
      <c r="K411" s="27">
        <v>1304</v>
      </c>
      <c r="L411" s="179">
        <v>5265</v>
      </c>
      <c r="M411" s="180" t="s">
        <v>2485</v>
      </c>
      <c r="N411" s="181" t="s">
        <v>1439</v>
      </c>
      <c r="O411" s="182" t="s">
        <v>2486</v>
      </c>
    </row>
    <row r="412" spans="1:15" ht="12">
      <c r="A412" s="148"/>
      <c r="B412" s="174" t="s">
        <v>914</v>
      </c>
      <c r="C412" s="175" t="s">
        <v>1567</v>
      </c>
      <c r="D412" s="176" t="s">
        <v>1568</v>
      </c>
      <c r="E412" s="177" t="s">
        <v>912</v>
      </c>
      <c r="F412" s="175">
        <f t="shared" si="18"/>
        <v>13</v>
      </c>
      <c r="G412" s="175" t="str">
        <f t="shared" si="19"/>
        <v>Kansas City</v>
      </c>
      <c r="H412" s="175" t="str">
        <f t="shared" si="20"/>
        <v>Kansas City, KS</v>
      </c>
      <c r="I412" s="178" t="s">
        <v>2484</v>
      </c>
      <c r="J412" s="27" t="s">
        <v>1439</v>
      </c>
      <c r="K412" s="27">
        <v>1288</v>
      </c>
      <c r="L412" s="179">
        <v>5393</v>
      </c>
      <c r="M412" s="180" t="s">
        <v>2485</v>
      </c>
      <c r="N412" s="181" t="s">
        <v>1439</v>
      </c>
      <c r="O412" s="182" t="s">
        <v>2486</v>
      </c>
    </row>
    <row r="413" spans="1:15" ht="12">
      <c r="A413" s="148"/>
      <c r="B413" s="174" t="s">
        <v>915</v>
      </c>
      <c r="C413" s="175" t="s">
        <v>1438</v>
      </c>
      <c r="D413" s="176" t="s">
        <v>1439</v>
      </c>
      <c r="E413" s="177" t="s">
        <v>912</v>
      </c>
      <c r="F413" s="175">
        <f t="shared" si="18"/>
        <v>13</v>
      </c>
      <c r="G413" s="175" t="str">
        <f t="shared" si="19"/>
        <v>Kansas City</v>
      </c>
      <c r="H413" s="175" t="str">
        <f t="shared" si="20"/>
        <v>Kansas City, MO</v>
      </c>
      <c r="I413" s="178" t="s">
        <v>2484</v>
      </c>
      <c r="J413" s="27" t="s">
        <v>1439</v>
      </c>
      <c r="K413" s="27">
        <v>1288</v>
      </c>
      <c r="L413" s="179">
        <v>5393</v>
      </c>
      <c r="M413" s="180" t="s">
        <v>2485</v>
      </c>
      <c r="N413" s="181" t="s">
        <v>1439</v>
      </c>
      <c r="O413" s="182" t="s">
        <v>2486</v>
      </c>
    </row>
    <row r="414" spans="1:15" ht="12">
      <c r="A414" s="148"/>
      <c r="B414" s="174" t="s">
        <v>916</v>
      </c>
      <c r="C414" s="175" t="s">
        <v>1438</v>
      </c>
      <c r="D414" s="176" t="s">
        <v>1439</v>
      </c>
      <c r="E414" s="177" t="s">
        <v>912</v>
      </c>
      <c r="F414" s="175">
        <f t="shared" si="18"/>
        <v>13</v>
      </c>
      <c r="G414" s="175" t="str">
        <f t="shared" si="19"/>
        <v>Kansas City</v>
      </c>
      <c r="H414" s="175" t="str">
        <f t="shared" si="20"/>
        <v>Kansas City, MO</v>
      </c>
      <c r="I414" s="178" t="s">
        <v>2484</v>
      </c>
      <c r="J414" s="27" t="s">
        <v>1439</v>
      </c>
      <c r="K414" s="27">
        <v>1288</v>
      </c>
      <c r="L414" s="179">
        <v>5393</v>
      </c>
      <c r="M414" s="180" t="s">
        <v>2485</v>
      </c>
      <c r="N414" s="181" t="s">
        <v>1439</v>
      </c>
      <c r="O414" s="182" t="s">
        <v>2486</v>
      </c>
    </row>
    <row r="415" spans="1:15" ht="12">
      <c r="A415" s="148"/>
      <c r="B415" s="186" t="s">
        <v>917</v>
      </c>
      <c r="C415" s="175" t="s">
        <v>262</v>
      </c>
      <c r="D415" s="176" t="s">
        <v>263</v>
      </c>
      <c r="E415" s="177" t="s">
        <v>918</v>
      </c>
      <c r="F415" s="175">
        <f t="shared" si="18"/>
        <v>7</v>
      </c>
      <c r="G415" s="175" t="str">
        <f t="shared" si="19"/>
        <v>Keene</v>
      </c>
      <c r="H415" s="175" t="str">
        <f t="shared" si="20"/>
        <v>Keene, NH</v>
      </c>
      <c r="I415" s="178" t="s">
        <v>603</v>
      </c>
      <c r="J415" s="27" t="s">
        <v>2383</v>
      </c>
      <c r="K415" s="27">
        <v>333</v>
      </c>
      <c r="L415" s="179">
        <v>6979</v>
      </c>
      <c r="M415" s="180" t="s">
        <v>266</v>
      </c>
      <c r="N415" s="181" t="s">
        <v>263</v>
      </c>
      <c r="O415" s="182" t="s">
        <v>267</v>
      </c>
    </row>
    <row r="416" spans="1:15" ht="12">
      <c r="A416" s="148"/>
      <c r="B416" s="174" t="s">
        <v>919</v>
      </c>
      <c r="C416" s="175" t="s">
        <v>1474</v>
      </c>
      <c r="D416" s="176" t="s">
        <v>1475</v>
      </c>
      <c r="E416" s="177" t="s">
        <v>920</v>
      </c>
      <c r="F416" s="175">
        <f t="shared" si="18"/>
        <v>10</v>
      </c>
      <c r="G416" s="175" t="str">
        <f t="shared" si="19"/>
        <v>Kemmerer</v>
      </c>
      <c r="H416" s="175" t="str">
        <f t="shared" si="20"/>
        <v>Kemmerer, WY</v>
      </c>
      <c r="I416" s="178" t="s">
        <v>89</v>
      </c>
      <c r="J416" s="27" t="s">
        <v>1475</v>
      </c>
      <c r="K416" s="27">
        <v>479</v>
      </c>
      <c r="L416" s="179">
        <v>7889</v>
      </c>
      <c r="M416" s="180" t="s">
        <v>1478</v>
      </c>
      <c r="N416" s="181" t="s">
        <v>1475</v>
      </c>
      <c r="O416" s="182" t="s">
        <v>2418</v>
      </c>
    </row>
    <row r="417" spans="1:15" ht="12">
      <c r="A417" s="148"/>
      <c r="B417" s="174" t="s">
        <v>921</v>
      </c>
      <c r="C417" s="175" t="s">
        <v>464</v>
      </c>
      <c r="D417" s="176" t="s">
        <v>465</v>
      </c>
      <c r="E417" s="177" t="s">
        <v>922</v>
      </c>
      <c r="F417" s="175">
        <f t="shared" si="18"/>
        <v>11</v>
      </c>
      <c r="G417" s="175" t="str">
        <f t="shared" si="19"/>
        <v>Ketchikan</v>
      </c>
      <c r="H417" s="175" t="str">
        <f t="shared" si="20"/>
        <v>Ketchikan, AK</v>
      </c>
      <c r="I417" s="178" t="s">
        <v>923</v>
      </c>
      <c r="J417" s="27" t="s">
        <v>465</v>
      </c>
      <c r="K417" s="27">
        <v>0</v>
      </c>
      <c r="L417" s="179">
        <v>11456</v>
      </c>
      <c r="M417" s="178" t="s">
        <v>118</v>
      </c>
      <c r="N417" s="27" t="s">
        <v>465</v>
      </c>
      <c r="O417" s="182" t="s">
        <v>119</v>
      </c>
    </row>
    <row r="418" spans="1:15" ht="12">
      <c r="A418" s="148"/>
      <c r="B418" s="174" t="s">
        <v>924</v>
      </c>
      <c r="C418" s="175" t="s">
        <v>1678</v>
      </c>
      <c r="D418" s="176" t="s">
        <v>1591</v>
      </c>
      <c r="E418" s="177" t="s">
        <v>925</v>
      </c>
      <c r="F418" s="175">
        <f t="shared" si="18"/>
        <v>8</v>
      </c>
      <c r="G418" s="175" t="str">
        <f t="shared" si="19"/>
        <v>Keyser</v>
      </c>
      <c r="H418" s="175" t="str">
        <f t="shared" si="20"/>
        <v>Keyser, WV</v>
      </c>
      <c r="I418" s="178" t="s">
        <v>2499</v>
      </c>
      <c r="J418" s="27" t="s">
        <v>1591</v>
      </c>
      <c r="K418" s="27">
        <v>346</v>
      </c>
      <c r="L418" s="179">
        <v>6120</v>
      </c>
      <c r="M418" s="180" t="s">
        <v>2500</v>
      </c>
      <c r="N418" s="181" t="s">
        <v>1591</v>
      </c>
      <c r="O418" s="182" t="s">
        <v>544</v>
      </c>
    </row>
    <row r="419" spans="1:15" ht="12">
      <c r="A419" s="148"/>
      <c r="B419" s="174" t="s">
        <v>926</v>
      </c>
      <c r="C419" s="175" t="s">
        <v>1372</v>
      </c>
      <c r="D419" s="176" t="s">
        <v>1373</v>
      </c>
      <c r="E419" s="177" t="s">
        <v>927</v>
      </c>
      <c r="F419" s="175">
        <f t="shared" si="18"/>
        <v>9</v>
      </c>
      <c r="G419" s="175" t="str">
        <f t="shared" si="19"/>
        <v>Kingman</v>
      </c>
      <c r="H419" s="175" t="str">
        <f t="shared" si="20"/>
        <v>Kingman, AZ</v>
      </c>
      <c r="I419" s="178" t="s">
        <v>928</v>
      </c>
      <c r="J419" s="27" t="s">
        <v>1463</v>
      </c>
      <c r="K419" s="27">
        <v>3201</v>
      </c>
      <c r="L419" s="179">
        <v>2407</v>
      </c>
      <c r="M419" s="180" t="s">
        <v>929</v>
      </c>
      <c r="N419" s="181" t="s">
        <v>1463</v>
      </c>
      <c r="O419" s="182" t="s">
        <v>930</v>
      </c>
    </row>
    <row r="420" spans="1:15" ht="12">
      <c r="A420" s="148"/>
      <c r="B420" s="174" t="s">
        <v>931</v>
      </c>
      <c r="C420" s="175" t="s">
        <v>407</v>
      </c>
      <c r="D420" s="176" t="s">
        <v>408</v>
      </c>
      <c r="E420" s="177" t="s">
        <v>932</v>
      </c>
      <c r="F420" s="175">
        <f t="shared" si="18"/>
        <v>10</v>
      </c>
      <c r="G420" s="175" t="str">
        <f t="shared" si="19"/>
        <v>Kingston</v>
      </c>
      <c r="H420" s="175" t="str">
        <f t="shared" si="20"/>
        <v>Kingston, NY</v>
      </c>
      <c r="I420" s="178" t="s">
        <v>409</v>
      </c>
      <c r="J420" s="27" t="s">
        <v>408</v>
      </c>
      <c r="K420" s="27">
        <v>507</v>
      </c>
      <c r="L420" s="179">
        <v>6894</v>
      </c>
      <c r="M420" s="180" t="s">
        <v>410</v>
      </c>
      <c r="N420" s="181" t="s">
        <v>408</v>
      </c>
      <c r="O420" s="182" t="s">
        <v>411</v>
      </c>
    </row>
    <row r="421" spans="1:15" ht="12">
      <c r="A421" s="148"/>
      <c r="B421" s="174" t="s">
        <v>933</v>
      </c>
      <c r="C421" s="175" t="s">
        <v>472</v>
      </c>
      <c r="D421" s="176" t="s">
        <v>473</v>
      </c>
      <c r="E421" s="177" t="s">
        <v>934</v>
      </c>
      <c r="F421" s="175">
        <f t="shared" si="18"/>
        <v>9</v>
      </c>
      <c r="G421" s="175" t="str">
        <f t="shared" si="19"/>
        <v>Kinston</v>
      </c>
      <c r="H421" s="175" t="str">
        <f t="shared" si="20"/>
        <v>Kinston, NC</v>
      </c>
      <c r="I421" s="178" t="s">
        <v>2004</v>
      </c>
      <c r="J421" s="27" t="s">
        <v>473</v>
      </c>
      <c r="K421" s="27">
        <v>1926</v>
      </c>
      <c r="L421" s="179">
        <v>2470</v>
      </c>
      <c r="M421" s="180" t="s">
        <v>2446</v>
      </c>
      <c r="N421" s="181" t="s">
        <v>473</v>
      </c>
      <c r="O421" s="182" t="s">
        <v>2447</v>
      </c>
    </row>
    <row r="422" spans="1:15" ht="12">
      <c r="A422" s="148"/>
      <c r="B422" s="174" t="s">
        <v>935</v>
      </c>
      <c r="C422" s="175" t="s">
        <v>1438</v>
      </c>
      <c r="D422" s="176" t="s">
        <v>1439</v>
      </c>
      <c r="E422" s="177" t="s">
        <v>936</v>
      </c>
      <c r="F422" s="175">
        <f t="shared" si="18"/>
        <v>12</v>
      </c>
      <c r="G422" s="175" t="str">
        <f t="shared" si="19"/>
        <v>Kirksville</v>
      </c>
      <c r="H422" s="175" t="str">
        <f t="shared" si="20"/>
        <v>Kirksville, MO</v>
      </c>
      <c r="I422" s="178" t="s">
        <v>1397</v>
      </c>
      <c r="J422" s="27" t="s">
        <v>1709</v>
      </c>
      <c r="K422" s="27">
        <v>911</v>
      </c>
      <c r="L422" s="179">
        <v>6474</v>
      </c>
      <c r="M422" s="178" t="s">
        <v>2061</v>
      </c>
      <c r="N422" s="27" t="s">
        <v>1709</v>
      </c>
      <c r="O422" s="182" t="s">
        <v>2062</v>
      </c>
    </row>
    <row r="423" spans="1:15" ht="12">
      <c r="A423" s="148"/>
      <c r="B423" s="174" t="s">
        <v>937</v>
      </c>
      <c r="C423" s="175" t="s">
        <v>440</v>
      </c>
      <c r="D423" s="176" t="s">
        <v>441</v>
      </c>
      <c r="E423" s="177" t="s">
        <v>938</v>
      </c>
      <c r="F423" s="175">
        <f t="shared" si="18"/>
        <v>12</v>
      </c>
      <c r="G423" s="175" t="str">
        <f t="shared" si="19"/>
        <v>Kittanning</v>
      </c>
      <c r="H423" s="175" t="str">
        <f t="shared" si="20"/>
        <v>Kittanning, PA</v>
      </c>
      <c r="I423" s="178" t="s">
        <v>1411</v>
      </c>
      <c r="J423" s="27" t="s">
        <v>386</v>
      </c>
      <c r="K423" s="27">
        <v>497</v>
      </c>
      <c r="L423" s="179">
        <v>6544</v>
      </c>
      <c r="M423" s="180" t="s">
        <v>1412</v>
      </c>
      <c r="N423" s="181" t="s">
        <v>386</v>
      </c>
      <c r="O423" s="182" t="s">
        <v>1413</v>
      </c>
    </row>
    <row r="424" spans="1:15" ht="12">
      <c r="A424" s="148"/>
      <c r="B424" s="186" t="s">
        <v>939</v>
      </c>
      <c r="C424" s="175" t="s">
        <v>1616</v>
      </c>
      <c r="D424" s="176" t="s">
        <v>1617</v>
      </c>
      <c r="E424" s="177" t="s">
        <v>940</v>
      </c>
      <c r="F424" s="175">
        <f t="shared" si="18"/>
        <v>9</v>
      </c>
      <c r="G424" s="175" t="str">
        <f t="shared" si="19"/>
        <v>Kittery</v>
      </c>
      <c r="H424" s="175" t="str">
        <f t="shared" si="20"/>
        <v>Kittery, ME</v>
      </c>
      <c r="I424" s="178" t="s">
        <v>1619</v>
      </c>
      <c r="J424" s="27" t="s">
        <v>1617</v>
      </c>
      <c r="K424" s="27">
        <v>268</v>
      </c>
      <c r="L424" s="179">
        <v>7378</v>
      </c>
      <c r="M424" s="180" t="s">
        <v>1620</v>
      </c>
      <c r="N424" s="181" t="s">
        <v>1617</v>
      </c>
      <c r="O424" s="182" t="s">
        <v>1621</v>
      </c>
    </row>
    <row r="425" spans="1:15" ht="12">
      <c r="A425" s="148"/>
      <c r="B425" s="174" t="s">
        <v>941</v>
      </c>
      <c r="C425" s="175" t="s">
        <v>1694</v>
      </c>
      <c r="D425" s="176" t="s">
        <v>1695</v>
      </c>
      <c r="E425" s="177" t="s">
        <v>942</v>
      </c>
      <c r="F425" s="175">
        <f t="shared" si="18"/>
        <v>15</v>
      </c>
      <c r="G425" s="175" t="str">
        <f t="shared" si="19"/>
        <v>Klamath Falls</v>
      </c>
      <c r="H425" s="175" t="str">
        <f t="shared" si="20"/>
        <v>Klamath Falls, OR</v>
      </c>
      <c r="I425" s="178" t="s">
        <v>943</v>
      </c>
      <c r="J425" s="27" t="s">
        <v>1695</v>
      </c>
      <c r="K425" s="27">
        <v>725</v>
      </c>
      <c r="L425" s="179">
        <v>4611</v>
      </c>
      <c r="M425" s="180" t="s">
        <v>539</v>
      </c>
      <c r="N425" s="181" t="s">
        <v>1695</v>
      </c>
      <c r="O425" s="182" t="s">
        <v>540</v>
      </c>
    </row>
    <row r="426" spans="1:15" ht="12">
      <c r="A426" s="148"/>
      <c r="B426" s="174" t="s">
        <v>944</v>
      </c>
      <c r="C426" s="175" t="s">
        <v>2457</v>
      </c>
      <c r="D426" s="176" t="s">
        <v>476</v>
      </c>
      <c r="E426" s="177" t="s">
        <v>945</v>
      </c>
      <c r="F426" s="175">
        <f t="shared" si="18"/>
        <v>11</v>
      </c>
      <c r="G426" s="175" t="str">
        <f t="shared" si="19"/>
        <v>Knoxville</v>
      </c>
      <c r="H426" s="175" t="str">
        <f t="shared" si="20"/>
        <v>Knoxville, TN</v>
      </c>
      <c r="I426" s="178" t="s">
        <v>475</v>
      </c>
      <c r="J426" s="27" t="s">
        <v>476</v>
      </c>
      <c r="K426" s="27">
        <v>1266</v>
      </c>
      <c r="L426" s="179">
        <v>3937</v>
      </c>
      <c r="M426" s="180" t="s">
        <v>477</v>
      </c>
      <c r="N426" s="181" t="s">
        <v>476</v>
      </c>
      <c r="O426" s="182" t="s">
        <v>478</v>
      </c>
    </row>
    <row r="427" spans="1:15" ht="12">
      <c r="A427" s="148"/>
      <c r="B427" s="174" t="s">
        <v>946</v>
      </c>
      <c r="C427" s="175" t="s">
        <v>2457</v>
      </c>
      <c r="D427" s="176" t="s">
        <v>476</v>
      </c>
      <c r="E427" s="177" t="s">
        <v>945</v>
      </c>
      <c r="F427" s="175">
        <f t="shared" si="18"/>
        <v>11</v>
      </c>
      <c r="G427" s="175" t="str">
        <f t="shared" si="19"/>
        <v>Knoxville</v>
      </c>
      <c r="H427" s="175" t="str">
        <f t="shared" si="20"/>
        <v>Knoxville, TN</v>
      </c>
      <c r="I427" s="178" t="s">
        <v>475</v>
      </c>
      <c r="J427" s="27" t="s">
        <v>476</v>
      </c>
      <c r="K427" s="27">
        <v>1266</v>
      </c>
      <c r="L427" s="179">
        <v>3937</v>
      </c>
      <c r="M427" s="180" t="s">
        <v>477</v>
      </c>
      <c r="N427" s="181" t="s">
        <v>476</v>
      </c>
      <c r="O427" s="182" t="s">
        <v>478</v>
      </c>
    </row>
    <row r="428" spans="1:15" ht="12">
      <c r="A428" s="148"/>
      <c r="B428" s="174" t="s">
        <v>947</v>
      </c>
      <c r="C428" s="175" t="s">
        <v>2457</v>
      </c>
      <c r="D428" s="176" t="s">
        <v>476</v>
      </c>
      <c r="E428" s="177" t="s">
        <v>945</v>
      </c>
      <c r="F428" s="175">
        <f t="shared" si="18"/>
        <v>11</v>
      </c>
      <c r="G428" s="175" t="str">
        <f t="shared" si="19"/>
        <v>Knoxville</v>
      </c>
      <c r="H428" s="175" t="str">
        <f t="shared" si="20"/>
        <v>Knoxville, TN</v>
      </c>
      <c r="I428" s="178" t="s">
        <v>475</v>
      </c>
      <c r="J428" s="27" t="s">
        <v>476</v>
      </c>
      <c r="K428" s="27">
        <v>1266</v>
      </c>
      <c r="L428" s="179">
        <v>3937</v>
      </c>
      <c r="M428" s="180" t="s">
        <v>477</v>
      </c>
      <c r="N428" s="181" t="s">
        <v>476</v>
      </c>
      <c r="O428" s="182" t="s">
        <v>478</v>
      </c>
    </row>
    <row r="429" spans="1:15" ht="12">
      <c r="A429" s="148"/>
      <c r="B429" s="174" t="s">
        <v>948</v>
      </c>
      <c r="C429" s="175" t="s">
        <v>2363</v>
      </c>
      <c r="D429" s="176" t="s">
        <v>2364</v>
      </c>
      <c r="E429" s="177" t="s">
        <v>949</v>
      </c>
      <c r="F429" s="175">
        <f t="shared" si="18"/>
        <v>8</v>
      </c>
      <c r="G429" s="175" t="str">
        <f t="shared" si="19"/>
        <v>Kokomo</v>
      </c>
      <c r="H429" s="175" t="str">
        <f t="shared" si="20"/>
        <v>Kokomo, IN</v>
      </c>
      <c r="I429" s="178" t="s">
        <v>2031</v>
      </c>
      <c r="J429" s="27" t="s">
        <v>2364</v>
      </c>
      <c r="K429" s="27">
        <v>728</v>
      </c>
      <c r="L429" s="179">
        <v>6331</v>
      </c>
      <c r="M429" s="178" t="s">
        <v>2070</v>
      </c>
      <c r="N429" s="27" t="s">
        <v>2364</v>
      </c>
      <c r="O429" s="182" t="s">
        <v>2071</v>
      </c>
    </row>
    <row r="430" spans="1:15" ht="12">
      <c r="A430" s="148"/>
      <c r="B430" s="174" t="s">
        <v>950</v>
      </c>
      <c r="C430" s="175" t="s">
        <v>33</v>
      </c>
      <c r="D430" s="176" t="s">
        <v>1763</v>
      </c>
      <c r="E430" s="177" t="s">
        <v>951</v>
      </c>
      <c r="F430" s="175">
        <f t="shared" si="18"/>
        <v>11</v>
      </c>
      <c r="G430" s="175" t="str">
        <f t="shared" si="19"/>
        <v>La Crosse</v>
      </c>
      <c r="H430" s="175" t="str">
        <f t="shared" si="20"/>
        <v>La Crosse, WI</v>
      </c>
      <c r="I430" s="178" t="s">
        <v>952</v>
      </c>
      <c r="J430" s="27" t="s">
        <v>1763</v>
      </c>
      <c r="K430" s="27">
        <v>485</v>
      </c>
      <c r="L430" s="179">
        <v>7673</v>
      </c>
      <c r="M430" s="180" t="s">
        <v>953</v>
      </c>
      <c r="N430" s="181" t="s">
        <v>1763</v>
      </c>
      <c r="O430" s="182" t="s">
        <v>954</v>
      </c>
    </row>
    <row r="431" spans="1:15" ht="12">
      <c r="A431" s="148"/>
      <c r="B431" s="174" t="s">
        <v>955</v>
      </c>
      <c r="C431" s="175" t="s">
        <v>1708</v>
      </c>
      <c r="D431" s="176" t="s">
        <v>1709</v>
      </c>
      <c r="E431" s="177" t="s">
        <v>956</v>
      </c>
      <c r="F431" s="175">
        <f t="shared" si="18"/>
        <v>10</v>
      </c>
      <c r="G431" s="175" t="str">
        <f t="shared" si="19"/>
        <v>La Salle</v>
      </c>
      <c r="H431" s="175" t="str">
        <f t="shared" si="20"/>
        <v>La Salle, IL</v>
      </c>
      <c r="I431" s="178" t="s">
        <v>1397</v>
      </c>
      <c r="J431" s="27" t="s">
        <v>1709</v>
      </c>
      <c r="K431" s="27">
        <v>911</v>
      </c>
      <c r="L431" s="179">
        <v>6474</v>
      </c>
      <c r="M431" s="178" t="s">
        <v>2061</v>
      </c>
      <c r="N431" s="27" t="s">
        <v>1709</v>
      </c>
      <c r="O431" s="182" t="s">
        <v>2062</v>
      </c>
    </row>
    <row r="432" spans="1:15" ht="12">
      <c r="A432" s="148"/>
      <c r="B432" s="174" t="s">
        <v>957</v>
      </c>
      <c r="C432" s="175" t="s">
        <v>2363</v>
      </c>
      <c r="D432" s="176" t="s">
        <v>2364</v>
      </c>
      <c r="E432" s="177" t="s">
        <v>958</v>
      </c>
      <c r="F432" s="175">
        <f t="shared" si="18"/>
        <v>11</v>
      </c>
      <c r="G432" s="175" t="str">
        <f t="shared" si="19"/>
        <v>Lafayette</v>
      </c>
      <c r="H432" s="175" t="str">
        <f t="shared" si="20"/>
        <v>Lafayette, IN</v>
      </c>
      <c r="I432" s="178" t="s">
        <v>2031</v>
      </c>
      <c r="J432" s="27" t="s">
        <v>2364</v>
      </c>
      <c r="K432" s="27">
        <v>728</v>
      </c>
      <c r="L432" s="179">
        <v>6331</v>
      </c>
      <c r="M432" s="178" t="s">
        <v>2070</v>
      </c>
      <c r="N432" s="27" t="s">
        <v>2364</v>
      </c>
      <c r="O432" s="182" t="s">
        <v>2071</v>
      </c>
    </row>
    <row r="433" spans="1:15" ht="12">
      <c r="A433" s="148"/>
      <c r="B433" s="174" t="s">
        <v>959</v>
      </c>
      <c r="C433" s="175" t="s">
        <v>281</v>
      </c>
      <c r="D433" s="176" t="s">
        <v>282</v>
      </c>
      <c r="E433" s="177" t="s">
        <v>958</v>
      </c>
      <c r="F433" s="175">
        <f t="shared" si="18"/>
        <v>11</v>
      </c>
      <c r="G433" s="175" t="str">
        <f t="shared" si="19"/>
        <v>Lafayette</v>
      </c>
      <c r="H433" s="175" t="str">
        <f t="shared" si="20"/>
        <v>Lafayette, LA</v>
      </c>
      <c r="I433" s="178" t="s">
        <v>1660</v>
      </c>
      <c r="J433" s="27" t="s">
        <v>282</v>
      </c>
      <c r="K433" s="27">
        <v>2690</v>
      </c>
      <c r="L433" s="179">
        <v>1669</v>
      </c>
      <c r="M433" s="180" t="s">
        <v>1661</v>
      </c>
      <c r="N433" s="181" t="s">
        <v>282</v>
      </c>
      <c r="O433" s="182" t="s">
        <v>1662</v>
      </c>
    </row>
    <row r="434" spans="1:15" ht="12">
      <c r="A434" s="148"/>
      <c r="B434" s="174" t="s">
        <v>960</v>
      </c>
      <c r="C434" s="175" t="s">
        <v>281</v>
      </c>
      <c r="D434" s="176" t="s">
        <v>282</v>
      </c>
      <c r="E434" s="177" t="s">
        <v>961</v>
      </c>
      <c r="F434" s="175">
        <f t="shared" si="18"/>
        <v>14</v>
      </c>
      <c r="G434" s="175" t="str">
        <f t="shared" si="19"/>
        <v>Lake Charles</v>
      </c>
      <c r="H434" s="175" t="str">
        <f t="shared" si="20"/>
        <v>Lake Charles, LA</v>
      </c>
      <c r="I434" s="178" t="s">
        <v>962</v>
      </c>
      <c r="J434" s="27" t="s">
        <v>282</v>
      </c>
      <c r="K434" s="27">
        <v>2650</v>
      </c>
      <c r="L434" s="179">
        <v>1616</v>
      </c>
      <c r="M434" s="180" t="s">
        <v>963</v>
      </c>
      <c r="N434" s="181" t="s">
        <v>282</v>
      </c>
      <c r="O434" s="182" t="s">
        <v>964</v>
      </c>
    </row>
    <row r="435" spans="1:15" ht="12">
      <c r="A435" s="148"/>
      <c r="B435" s="174" t="s">
        <v>965</v>
      </c>
      <c r="C435" s="175" t="s">
        <v>624</v>
      </c>
      <c r="D435" s="176" t="s">
        <v>625</v>
      </c>
      <c r="E435" s="177" t="s">
        <v>966</v>
      </c>
      <c r="F435" s="175">
        <f t="shared" si="18"/>
        <v>10</v>
      </c>
      <c r="G435" s="175" t="str">
        <f t="shared" si="19"/>
        <v>Lakeland</v>
      </c>
      <c r="H435" s="175" t="str">
        <f t="shared" si="20"/>
        <v>Lakeland, FL</v>
      </c>
      <c r="I435" s="178" t="s">
        <v>627</v>
      </c>
      <c r="J435" s="27" t="s">
        <v>625</v>
      </c>
      <c r="K435" s="27">
        <v>3427</v>
      </c>
      <c r="L435" s="179">
        <v>725</v>
      </c>
      <c r="M435" s="178" t="s">
        <v>628</v>
      </c>
      <c r="N435" s="27" t="s">
        <v>625</v>
      </c>
      <c r="O435" s="182" t="s">
        <v>629</v>
      </c>
    </row>
    <row r="436" spans="1:15" ht="12">
      <c r="A436" s="148"/>
      <c r="B436" s="186" t="s">
        <v>967</v>
      </c>
      <c r="C436" s="175" t="s">
        <v>1609</v>
      </c>
      <c r="D436" s="176" t="s">
        <v>1610</v>
      </c>
      <c r="E436" s="177" t="s">
        <v>968</v>
      </c>
      <c r="F436" s="175">
        <f t="shared" si="18"/>
        <v>10</v>
      </c>
      <c r="G436" s="175" t="str">
        <f t="shared" si="19"/>
        <v>Lakewood</v>
      </c>
      <c r="H436" s="175" t="str">
        <f t="shared" si="20"/>
        <v>Lakewood, NJ</v>
      </c>
      <c r="I436" s="178" t="s">
        <v>1612</v>
      </c>
      <c r="J436" s="27" t="s">
        <v>1610</v>
      </c>
      <c r="K436" s="27">
        <v>826</v>
      </c>
      <c r="L436" s="179">
        <v>5169</v>
      </c>
      <c r="M436" s="180" t="s">
        <v>1613</v>
      </c>
      <c r="N436" s="181" t="s">
        <v>1610</v>
      </c>
      <c r="O436" s="182" t="s">
        <v>1614</v>
      </c>
    </row>
    <row r="437" spans="1:15" ht="12">
      <c r="A437" s="148"/>
      <c r="B437" s="174" t="s">
        <v>969</v>
      </c>
      <c r="C437" s="175" t="s">
        <v>433</v>
      </c>
      <c r="D437" s="176" t="s">
        <v>434</v>
      </c>
      <c r="E437" s="177" t="s">
        <v>970</v>
      </c>
      <c r="F437" s="175">
        <f t="shared" si="18"/>
        <v>11</v>
      </c>
      <c r="G437" s="175" t="str">
        <f t="shared" si="19"/>
        <v>Lancaster</v>
      </c>
      <c r="H437" s="175" t="str">
        <f t="shared" si="20"/>
        <v>Lancaster, CA</v>
      </c>
      <c r="I437" s="178" t="s">
        <v>971</v>
      </c>
      <c r="J437" s="27" t="s">
        <v>434</v>
      </c>
      <c r="K437" s="27">
        <v>1039</v>
      </c>
      <c r="L437" s="179">
        <v>4310</v>
      </c>
      <c r="M437" s="180" t="s">
        <v>1466</v>
      </c>
      <c r="N437" s="181" t="s">
        <v>1463</v>
      </c>
      <c r="O437" s="182" t="s">
        <v>1467</v>
      </c>
    </row>
    <row r="438" spans="1:15" ht="12">
      <c r="A438" s="148"/>
      <c r="B438" s="174" t="s">
        <v>972</v>
      </c>
      <c r="C438" s="175" t="s">
        <v>440</v>
      </c>
      <c r="D438" s="176" t="s">
        <v>441</v>
      </c>
      <c r="E438" s="177" t="s">
        <v>970</v>
      </c>
      <c r="F438" s="175">
        <f t="shared" si="18"/>
        <v>11</v>
      </c>
      <c r="G438" s="175" t="str">
        <f t="shared" si="19"/>
        <v>Lancaster</v>
      </c>
      <c r="H438" s="175" t="str">
        <f t="shared" si="20"/>
        <v>Lancaster, PA</v>
      </c>
      <c r="I438" s="178" t="s">
        <v>2429</v>
      </c>
      <c r="J438" s="27" t="s">
        <v>441</v>
      </c>
      <c r="K438" s="27">
        <v>962</v>
      </c>
      <c r="L438" s="179">
        <v>5347</v>
      </c>
      <c r="M438" s="180" t="s">
        <v>2430</v>
      </c>
      <c r="N438" s="181" t="s">
        <v>441</v>
      </c>
      <c r="O438" s="182" t="s">
        <v>2431</v>
      </c>
    </row>
    <row r="439" spans="1:15" ht="12">
      <c r="A439" s="148"/>
      <c r="B439" s="174" t="s">
        <v>973</v>
      </c>
      <c r="C439" s="175" t="s">
        <v>440</v>
      </c>
      <c r="D439" s="176" t="s">
        <v>441</v>
      </c>
      <c r="E439" s="177" t="s">
        <v>970</v>
      </c>
      <c r="F439" s="175">
        <f t="shared" si="18"/>
        <v>11</v>
      </c>
      <c r="G439" s="175" t="str">
        <f t="shared" si="19"/>
        <v>Lancaster</v>
      </c>
      <c r="H439" s="175" t="str">
        <f t="shared" si="20"/>
        <v>Lancaster, PA</v>
      </c>
      <c r="I439" s="178" t="s">
        <v>2429</v>
      </c>
      <c r="J439" s="27" t="s">
        <v>441</v>
      </c>
      <c r="K439" s="27">
        <v>962</v>
      </c>
      <c r="L439" s="179">
        <v>5347</v>
      </c>
      <c r="M439" s="180" t="s">
        <v>2430</v>
      </c>
      <c r="N439" s="181" t="s">
        <v>441</v>
      </c>
      <c r="O439" s="182" t="s">
        <v>2431</v>
      </c>
    </row>
    <row r="440" spans="1:15" ht="12">
      <c r="A440" s="148"/>
      <c r="B440" s="174" t="s">
        <v>974</v>
      </c>
      <c r="C440" s="175" t="s">
        <v>480</v>
      </c>
      <c r="D440" s="176" t="s">
        <v>481</v>
      </c>
      <c r="E440" s="177" t="s">
        <v>975</v>
      </c>
      <c r="F440" s="175">
        <f t="shared" si="18"/>
        <v>9</v>
      </c>
      <c r="G440" s="175" t="str">
        <f t="shared" si="19"/>
        <v>Lansing</v>
      </c>
      <c r="H440" s="175" t="str">
        <f t="shared" si="20"/>
        <v>Lansing, MI</v>
      </c>
      <c r="I440" s="178" t="s">
        <v>2001</v>
      </c>
      <c r="J440" s="27" t="s">
        <v>481</v>
      </c>
      <c r="K440" s="27">
        <v>483</v>
      </c>
      <c r="L440" s="179">
        <v>6979</v>
      </c>
      <c r="M440" s="180" t="s">
        <v>976</v>
      </c>
      <c r="N440" s="181" t="s">
        <v>481</v>
      </c>
      <c r="O440" s="182" t="s">
        <v>977</v>
      </c>
    </row>
    <row r="441" spans="1:15" ht="12">
      <c r="A441" s="148"/>
      <c r="B441" s="174" t="s">
        <v>978</v>
      </c>
      <c r="C441" s="175" t="s">
        <v>480</v>
      </c>
      <c r="D441" s="176" t="s">
        <v>481</v>
      </c>
      <c r="E441" s="177" t="s">
        <v>975</v>
      </c>
      <c r="F441" s="175">
        <f t="shared" si="18"/>
        <v>9</v>
      </c>
      <c r="G441" s="175" t="str">
        <f t="shared" si="19"/>
        <v>Lansing</v>
      </c>
      <c r="H441" s="175" t="str">
        <f t="shared" si="20"/>
        <v>Lansing, MI</v>
      </c>
      <c r="I441" s="178" t="s">
        <v>1997</v>
      </c>
      <c r="J441" s="27" t="s">
        <v>481</v>
      </c>
      <c r="K441" s="27">
        <v>490</v>
      </c>
      <c r="L441" s="179">
        <v>7101</v>
      </c>
      <c r="M441" s="180" t="s">
        <v>976</v>
      </c>
      <c r="N441" s="181" t="s">
        <v>481</v>
      </c>
      <c r="O441" s="182" t="s">
        <v>977</v>
      </c>
    </row>
    <row r="442" spans="1:15" ht="12">
      <c r="A442" s="148"/>
      <c r="B442" s="174" t="s">
        <v>979</v>
      </c>
      <c r="C442" s="175" t="s">
        <v>254</v>
      </c>
      <c r="D442" s="176" t="s">
        <v>255</v>
      </c>
      <c r="E442" s="177" t="s">
        <v>980</v>
      </c>
      <c r="F442" s="175">
        <f t="shared" si="18"/>
        <v>17</v>
      </c>
      <c r="G442" s="175" t="str">
        <f t="shared" si="19"/>
        <v>Laredo/Pearsall</v>
      </c>
      <c r="H442" s="175" t="str">
        <f t="shared" si="20"/>
        <v>Laredo/Pearsall, TX</v>
      </c>
      <c r="I442" s="178" t="s">
        <v>981</v>
      </c>
      <c r="J442" s="27" t="s">
        <v>255</v>
      </c>
      <c r="K442" s="27">
        <v>3118</v>
      </c>
      <c r="L442" s="179">
        <v>1296</v>
      </c>
      <c r="M442" s="180" t="s">
        <v>982</v>
      </c>
      <c r="N442" s="181" t="s">
        <v>255</v>
      </c>
      <c r="O442" s="182" t="s">
        <v>983</v>
      </c>
    </row>
    <row r="443" spans="1:15" ht="12">
      <c r="A443" s="148"/>
      <c r="B443" s="174" t="s">
        <v>984</v>
      </c>
      <c r="C443" s="175" t="s">
        <v>415</v>
      </c>
      <c r="D443" s="176" t="s">
        <v>416</v>
      </c>
      <c r="E443" s="177" t="s">
        <v>985</v>
      </c>
      <c r="F443" s="175">
        <f t="shared" si="18"/>
        <v>12</v>
      </c>
      <c r="G443" s="175" t="str">
        <f t="shared" si="19"/>
        <v>Las Cruces</v>
      </c>
      <c r="H443" s="175" t="str">
        <f t="shared" si="20"/>
        <v>Las Cruces, NM</v>
      </c>
      <c r="I443" s="178" t="s">
        <v>44</v>
      </c>
      <c r="J443" s="27" t="s">
        <v>255</v>
      </c>
      <c r="K443" s="27">
        <v>2094</v>
      </c>
      <c r="L443" s="179">
        <v>2708</v>
      </c>
      <c r="M443" s="180" t="s">
        <v>41</v>
      </c>
      <c r="N443" s="181" t="s">
        <v>255</v>
      </c>
      <c r="O443" s="182" t="s">
        <v>42</v>
      </c>
    </row>
    <row r="444" spans="1:15" ht="12">
      <c r="A444" s="148"/>
      <c r="B444" s="174" t="s">
        <v>986</v>
      </c>
      <c r="C444" s="175" t="s">
        <v>415</v>
      </c>
      <c r="D444" s="176" t="s">
        <v>416</v>
      </c>
      <c r="E444" s="177" t="s">
        <v>987</v>
      </c>
      <c r="F444" s="175">
        <f t="shared" si="18"/>
        <v>11</v>
      </c>
      <c r="G444" s="175" t="str">
        <f t="shared" si="19"/>
        <v>Las Vegas</v>
      </c>
      <c r="H444" s="175" t="str">
        <f t="shared" si="20"/>
        <v>Las Vegas, NM</v>
      </c>
      <c r="I444" s="178" t="s">
        <v>2160</v>
      </c>
      <c r="J444" s="27" t="s">
        <v>394</v>
      </c>
      <c r="K444" s="27">
        <v>973</v>
      </c>
      <c r="L444" s="179">
        <v>5413</v>
      </c>
      <c r="M444" s="180" t="s">
        <v>2161</v>
      </c>
      <c r="N444" s="181" t="s">
        <v>394</v>
      </c>
      <c r="O444" s="182" t="s">
        <v>2162</v>
      </c>
    </row>
    <row r="445" spans="1:15" ht="12">
      <c r="A445" s="148"/>
      <c r="B445" s="174" t="s">
        <v>2163</v>
      </c>
      <c r="C445" s="175" t="s">
        <v>1462</v>
      </c>
      <c r="D445" s="176" t="s">
        <v>1463</v>
      </c>
      <c r="E445" s="177" t="s">
        <v>987</v>
      </c>
      <c r="F445" s="175">
        <f t="shared" si="18"/>
        <v>11</v>
      </c>
      <c r="G445" s="175" t="str">
        <f t="shared" si="19"/>
        <v>Las Vegas</v>
      </c>
      <c r="H445" s="175" t="str">
        <f t="shared" si="20"/>
        <v>Las Vegas, NV</v>
      </c>
      <c r="I445" s="178" t="s">
        <v>928</v>
      </c>
      <c r="J445" s="27" t="s">
        <v>1463</v>
      </c>
      <c r="K445" s="27">
        <v>3201</v>
      </c>
      <c r="L445" s="179">
        <v>2407</v>
      </c>
      <c r="M445" s="180" t="s">
        <v>929</v>
      </c>
      <c r="N445" s="181" t="s">
        <v>1463</v>
      </c>
      <c r="O445" s="182" t="s">
        <v>930</v>
      </c>
    </row>
    <row r="446" spans="1:15" ht="12">
      <c r="A446" s="148"/>
      <c r="B446" s="174" t="s">
        <v>2164</v>
      </c>
      <c r="C446" s="175" t="s">
        <v>487</v>
      </c>
      <c r="D446" s="176" t="s">
        <v>430</v>
      </c>
      <c r="E446" s="177" t="s">
        <v>2165</v>
      </c>
      <c r="F446" s="175">
        <f t="shared" si="18"/>
        <v>8</v>
      </c>
      <c r="G446" s="175" t="str">
        <f t="shared" si="19"/>
        <v>Laurel</v>
      </c>
      <c r="H446" s="175" t="str">
        <f t="shared" si="20"/>
        <v>Laurel, MD</v>
      </c>
      <c r="I446" s="178" t="s">
        <v>489</v>
      </c>
      <c r="J446" s="27" t="s">
        <v>430</v>
      </c>
      <c r="K446" s="27">
        <v>1137</v>
      </c>
      <c r="L446" s="179">
        <v>4707</v>
      </c>
      <c r="M446" s="180" t="s">
        <v>490</v>
      </c>
      <c r="N446" s="181" t="s">
        <v>430</v>
      </c>
      <c r="O446" s="182" t="s">
        <v>491</v>
      </c>
    </row>
    <row r="447" spans="1:15" ht="12">
      <c r="A447" s="148"/>
      <c r="B447" s="174" t="s">
        <v>2166</v>
      </c>
      <c r="C447" s="175" t="s">
        <v>2363</v>
      </c>
      <c r="D447" s="176" t="s">
        <v>2364</v>
      </c>
      <c r="E447" s="177" t="s">
        <v>2167</v>
      </c>
      <c r="F447" s="175">
        <f t="shared" si="18"/>
        <v>14</v>
      </c>
      <c r="G447" s="175" t="str">
        <f t="shared" si="19"/>
        <v>Lawrenceburg</v>
      </c>
      <c r="H447" s="175" t="str">
        <f t="shared" si="20"/>
        <v>Lawrenceburg, IN</v>
      </c>
      <c r="I447" s="178" t="s">
        <v>2488</v>
      </c>
      <c r="J447" s="27" t="s">
        <v>517</v>
      </c>
      <c r="K447" s="27">
        <v>996</v>
      </c>
      <c r="L447" s="179">
        <v>5248</v>
      </c>
      <c r="M447" s="180" t="s">
        <v>2489</v>
      </c>
      <c r="N447" s="181" t="s">
        <v>386</v>
      </c>
      <c r="O447" s="182" t="s">
        <v>2490</v>
      </c>
    </row>
    <row r="448" spans="1:15" ht="12">
      <c r="A448" s="148"/>
      <c r="B448" s="174" t="s">
        <v>2168</v>
      </c>
      <c r="C448" s="175" t="s">
        <v>500</v>
      </c>
      <c r="D448" s="176" t="s">
        <v>501</v>
      </c>
      <c r="E448" s="177" t="s">
        <v>2169</v>
      </c>
      <c r="F448" s="175">
        <f t="shared" si="18"/>
        <v>8</v>
      </c>
      <c r="G448" s="175" t="str">
        <f t="shared" si="19"/>
        <v>Lawton</v>
      </c>
      <c r="H448" s="175" t="str">
        <f t="shared" si="20"/>
        <v>Lawton, OK</v>
      </c>
      <c r="I448" s="178" t="s">
        <v>2170</v>
      </c>
      <c r="J448" s="27" t="s">
        <v>255</v>
      </c>
      <c r="K448" s="27">
        <v>2340</v>
      </c>
      <c r="L448" s="179">
        <v>3042</v>
      </c>
      <c r="M448" s="180" t="s">
        <v>2171</v>
      </c>
      <c r="N448" s="181" t="s">
        <v>255</v>
      </c>
      <c r="O448" s="182" t="s">
        <v>2172</v>
      </c>
    </row>
    <row r="449" spans="1:15" ht="12">
      <c r="A449" s="148"/>
      <c r="B449" s="174" t="s">
        <v>2173</v>
      </c>
      <c r="C449" s="175" t="s">
        <v>440</v>
      </c>
      <c r="D449" s="176" t="s">
        <v>441</v>
      </c>
      <c r="E449" s="177" t="s">
        <v>2174</v>
      </c>
      <c r="F449" s="175">
        <f t="shared" si="18"/>
        <v>15</v>
      </c>
      <c r="G449" s="175" t="str">
        <f t="shared" si="19"/>
        <v>Lehigh_Valley</v>
      </c>
      <c r="H449" s="175" t="str">
        <f t="shared" si="20"/>
        <v>Lehigh_Valley, PA</v>
      </c>
      <c r="I449" s="178" t="s">
        <v>443</v>
      </c>
      <c r="J449" s="27" t="s">
        <v>441</v>
      </c>
      <c r="K449" s="27">
        <v>773</v>
      </c>
      <c r="L449" s="179">
        <v>5785</v>
      </c>
      <c r="M449" s="178" t="s">
        <v>444</v>
      </c>
      <c r="N449" s="27" t="s">
        <v>441</v>
      </c>
      <c r="O449" s="182" t="s">
        <v>445</v>
      </c>
    </row>
    <row r="450" spans="1:15" ht="12">
      <c r="A450" s="148"/>
      <c r="B450" s="174" t="s">
        <v>2175</v>
      </c>
      <c r="C450" s="175" t="s">
        <v>1678</v>
      </c>
      <c r="D450" s="176" t="s">
        <v>1591</v>
      </c>
      <c r="E450" s="177" t="s">
        <v>2176</v>
      </c>
      <c r="F450" s="175">
        <f t="shared" si="18"/>
        <v>11</v>
      </c>
      <c r="G450" s="175" t="str">
        <f t="shared" si="19"/>
        <v>Lewisburg</v>
      </c>
      <c r="H450" s="175" t="str">
        <f t="shared" si="20"/>
        <v>Lewisburg, WV</v>
      </c>
      <c r="I450" s="178" t="s">
        <v>1380</v>
      </c>
      <c r="J450" s="27" t="s">
        <v>1591</v>
      </c>
      <c r="K450" s="27">
        <v>1031</v>
      </c>
      <c r="L450" s="179">
        <v>4646</v>
      </c>
      <c r="M450" s="180" t="s">
        <v>1592</v>
      </c>
      <c r="N450" s="181" t="s">
        <v>1591</v>
      </c>
      <c r="O450" s="182" t="s">
        <v>1593</v>
      </c>
    </row>
    <row r="451" spans="1:15" ht="12">
      <c r="A451" s="148"/>
      <c r="B451" s="174" t="s">
        <v>2177</v>
      </c>
      <c r="C451" s="175" t="s">
        <v>2374</v>
      </c>
      <c r="D451" s="176" t="s">
        <v>2375</v>
      </c>
      <c r="E451" s="177" t="s">
        <v>2178</v>
      </c>
      <c r="F451" s="175">
        <f t="shared" si="18"/>
        <v>10</v>
      </c>
      <c r="G451" s="175" t="str">
        <f t="shared" si="19"/>
        <v>Lewiston</v>
      </c>
      <c r="H451" s="175" t="str">
        <f t="shared" si="20"/>
        <v>Lewiston, ID</v>
      </c>
      <c r="I451" s="178" t="s">
        <v>2179</v>
      </c>
      <c r="J451" s="27" t="s">
        <v>2375</v>
      </c>
      <c r="K451" s="27">
        <v>814</v>
      </c>
      <c r="L451" s="179">
        <v>5270</v>
      </c>
      <c r="M451" s="180" t="s">
        <v>1564</v>
      </c>
      <c r="N451" s="181" t="s">
        <v>1699</v>
      </c>
      <c r="O451" s="182" t="s">
        <v>1565</v>
      </c>
    </row>
    <row r="452" spans="1:15" ht="12">
      <c r="A452" s="148"/>
      <c r="B452" s="174" t="s">
        <v>2180</v>
      </c>
      <c r="C452" s="175" t="s">
        <v>516</v>
      </c>
      <c r="D452" s="176" t="s">
        <v>517</v>
      </c>
      <c r="E452" s="177" t="s">
        <v>2181</v>
      </c>
      <c r="F452" s="175">
        <f t="shared" si="18"/>
        <v>11</v>
      </c>
      <c r="G452" s="175" t="str">
        <f t="shared" si="19"/>
        <v>Lexington</v>
      </c>
      <c r="H452" s="175" t="str">
        <f t="shared" si="20"/>
        <v>Lexington, KY</v>
      </c>
      <c r="I452" s="178" t="s">
        <v>1586</v>
      </c>
      <c r="J452" s="27" t="s">
        <v>517</v>
      </c>
      <c r="K452" s="27">
        <v>1140</v>
      </c>
      <c r="L452" s="179">
        <v>4783</v>
      </c>
      <c r="M452" s="180" t="s">
        <v>1587</v>
      </c>
      <c r="N452" s="181" t="s">
        <v>517</v>
      </c>
      <c r="O452" s="182" t="s">
        <v>1588</v>
      </c>
    </row>
    <row r="453" spans="1:15" ht="12">
      <c r="A453" s="148"/>
      <c r="B453" s="174" t="s">
        <v>2182</v>
      </c>
      <c r="C453" s="175" t="s">
        <v>516</v>
      </c>
      <c r="D453" s="176" t="s">
        <v>517</v>
      </c>
      <c r="E453" s="177" t="s">
        <v>2181</v>
      </c>
      <c r="F453" s="175">
        <f t="shared" si="18"/>
        <v>11</v>
      </c>
      <c r="G453" s="175" t="str">
        <f t="shared" si="19"/>
        <v>Lexington</v>
      </c>
      <c r="H453" s="175" t="str">
        <f t="shared" si="20"/>
        <v>Lexington, KY</v>
      </c>
      <c r="I453" s="178" t="s">
        <v>1586</v>
      </c>
      <c r="J453" s="27" t="s">
        <v>517</v>
      </c>
      <c r="K453" s="27">
        <v>1140</v>
      </c>
      <c r="L453" s="179">
        <v>4783</v>
      </c>
      <c r="M453" s="180" t="s">
        <v>1587</v>
      </c>
      <c r="N453" s="181" t="s">
        <v>517</v>
      </c>
      <c r="O453" s="182" t="s">
        <v>1588</v>
      </c>
    </row>
    <row r="454" spans="1:15" ht="12">
      <c r="A454" s="148"/>
      <c r="B454" s="174" t="s">
        <v>2183</v>
      </c>
      <c r="C454" s="175" t="s">
        <v>516</v>
      </c>
      <c r="D454" s="176" t="s">
        <v>517</v>
      </c>
      <c r="E454" s="177" t="s">
        <v>2181</v>
      </c>
      <c r="F454" s="175">
        <f t="shared" ref="F454:F517" si="21">LEN(E454)</f>
        <v>11</v>
      </c>
      <c r="G454" s="175" t="str">
        <f t="shared" ref="G454:G517" si="22">MID(E454,2,F454-2)</f>
        <v>Lexington</v>
      </c>
      <c r="H454" s="175" t="str">
        <f t="shared" ref="H454:H517" si="23">CONCATENATE(G454,", ",+D454)</f>
        <v>Lexington, KY</v>
      </c>
      <c r="I454" s="178" t="s">
        <v>1586</v>
      </c>
      <c r="J454" s="27" t="s">
        <v>517</v>
      </c>
      <c r="K454" s="27">
        <v>1140</v>
      </c>
      <c r="L454" s="179">
        <v>4783</v>
      </c>
      <c r="M454" s="180" t="s">
        <v>1587</v>
      </c>
      <c r="N454" s="181" t="s">
        <v>517</v>
      </c>
      <c r="O454" s="182" t="s">
        <v>1588</v>
      </c>
    </row>
    <row r="455" spans="1:15" ht="12">
      <c r="A455" s="148"/>
      <c r="B455" s="174" t="s">
        <v>2184</v>
      </c>
      <c r="C455" s="175" t="s">
        <v>1567</v>
      </c>
      <c r="D455" s="176" t="s">
        <v>1568</v>
      </c>
      <c r="E455" s="177" t="s">
        <v>2185</v>
      </c>
      <c r="F455" s="175">
        <f t="shared" si="21"/>
        <v>9</v>
      </c>
      <c r="G455" s="175" t="str">
        <f t="shared" si="22"/>
        <v>Liberal</v>
      </c>
      <c r="H455" s="175" t="str">
        <f t="shared" si="23"/>
        <v>Liberal, KS</v>
      </c>
      <c r="I455" s="178" t="s">
        <v>1787</v>
      </c>
      <c r="J455" s="27" t="s">
        <v>1568</v>
      </c>
      <c r="K455" s="27">
        <v>1465</v>
      </c>
      <c r="L455" s="179">
        <v>5001</v>
      </c>
      <c r="M455" s="180" t="s">
        <v>1788</v>
      </c>
      <c r="N455" s="181" t="s">
        <v>1568</v>
      </c>
      <c r="O455" s="182" t="s">
        <v>1789</v>
      </c>
    </row>
    <row r="456" spans="1:15" ht="12">
      <c r="A456" s="148"/>
      <c r="B456" s="174" t="s">
        <v>2186</v>
      </c>
      <c r="C456" s="175" t="s">
        <v>385</v>
      </c>
      <c r="D456" s="176" t="s">
        <v>386</v>
      </c>
      <c r="E456" s="177" t="s">
        <v>2187</v>
      </c>
      <c r="F456" s="175">
        <f t="shared" si="21"/>
        <v>6</v>
      </c>
      <c r="G456" s="175" t="str">
        <f t="shared" si="22"/>
        <v>Lima</v>
      </c>
      <c r="H456" s="175" t="str">
        <f t="shared" si="23"/>
        <v>Lima, OH</v>
      </c>
      <c r="I456" s="178" t="s">
        <v>1755</v>
      </c>
      <c r="J456" s="27" t="s">
        <v>386</v>
      </c>
      <c r="K456" s="27">
        <v>886</v>
      </c>
      <c r="L456" s="179">
        <v>5708</v>
      </c>
      <c r="M456" s="180" t="s">
        <v>1752</v>
      </c>
      <c r="N456" s="181" t="s">
        <v>386</v>
      </c>
      <c r="O456" s="182" t="s">
        <v>1753</v>
      </c>
    </row>
    <row r="457" spans="1:15" ht="12">
      <c r="A457" s="148"/>
      <c r="B457" s="174" t="s">
        <v>2188</v>
      </c>
      <c r="C457" s="175" t="s">
        <v>447</v>
      </c>
      <c r="D457" s="176" t="s">
        <v>448</v>
      </c>
      <c r="E457" s="177" t="s">
        <v>2189</v>
      </c>
      <c r="F457" s="175">
        <f t="shared" si="21"/>
        <v>9</v>
      </c>
      <c r="G457" s="175" t="str">
        <f t="shared" si="22"/>
        <v>Lincoln</v>
      </c>
      <c r="H457" s="175" t="str">
        <f t="shared" si="23"/>
        <v>Lincoln, NE</v>
      </c>
      <c r="I457" s="178" t="s">
        <v>2190</v>
      </c>
      <c r="J457" s="27" t="s">
        <v>448</v>
      </c>
      <c r="K457" s="27">
        <v>1134</v>
      </c>
      <c r="L457" s="179">
        <v>6278</v>
      </c>
      <c r="M457" s="180" t="s">
        <v>587</v>
      </c>
      <c r="N457" s="181" t="s">
        <v>448</v>
      </c>
      <c r="O457" s="182" t="s">
        <v>588</v>
      </c>
    </row>
    <row r="458" spans="1:15" ht="12">
      <c r="A458" s="148"/>
      <c r="B458" s="174" t="s">
        <v>2191</v>
      </c>
      <c r="C458" s="175" t="s">
        <v>447</v>
      </c>
      <c r="D458" s="176" t="s">
        <v>448</v>
      </c>
      <c r="E458" s="177" t="s">
        <v>2189</v>
      </c>
      <c r="F458" s="175">
        <f t="shared" si="21"/>
        <v>9</v>
      </c>
      <c r="G458" s="175" t="str">
        <f t="shared" si="22"/>
        <v>Lincoln</v>
      </c>
      <c r="H458" s="175" t="str">
        <f t="shared" si="23"/>
        <v>Lincoln, NE</v>
      </c>
      <c r="I458" s="178" t="s">
        <v>2190</v>
      </c>
      <c r="J458" s="27" t="s">
        <v>448</v>
      </c>
      <c r="K458" s="27">
        <v>1134</v>
      </c>
      <c r="L458" s="179">
        <v>6278</v>
      </c>
      <c r="M458" s="180" t="s">
        <v>587</v>
      </c>
      <c r="N458" s="181" t="s">
        <v>448</v>
      </c>
      <c r="O458" s="182" t="s">
        <v>588</v>
      </c>
    </row>
    <row r="459" spans="1:15" ht="12">
      <c r="A459" s="148"/>
      <c r="B459" s="174" t="s">
        <v>2192</v>
      </c>
      <c r="C459" s="175" t="s">
        <v>447</v>
      </c>
      <c r="D459" s="176" t="s">
        <v>448</v>
      </c>
      <c r="E459" s="177" t="s">
        <v>2189</v>
      </c>
      <c r="F459" s="175">
        <f t="shared" si="21"/>
        <v>9</v>
      </c>
      <c r="G459" s="175" t="str">
        <f t="shared" si="22"/>
        <v>Lincoln</v>
      </c>
      <c r="H459" s="175" t="str">
        <f t="shared" si="23"/>
        <v>Lincoln, NE</v>
      </c>
      <c r="I459" s="178" t="s">
        <v>2190</v>
      </c>
      <c r="J459" s="27" t="s">
        <v>448</v>
      </c>
      <c r="K459" s="27">
        <v>1134</v>
      </c>
      <c r="L459" s="179">
        <v>6278</v>
      </c>
      <c r="M459" s="180" t="s">
        <v>587</v>
      </c>
      <c r="N459" s="181" t="s">
        <v>448</v>
      </c>
      <c r="O459" s="182" t="s">
        <v>588</v>
      </c>
    </row>
    <row r="460" spans="1:15" ht="12">
      <c r="A460" s="148"/>
      <c r="B460" s="174" t="s">
        <v>2193</v>
      </c>
      <c r="C460" s="175" t="s">
        <v>1650</v>
      </c>
      <c r="D460" s="176" t="s">
        <v>1651</v>
      </c>
      <c r="E460" s="177" t="s">
        <v>2194</v>
      </c>
      <c r="F460" s="175">
        <f t="shared" si="21"/>
        <v>13</v>
      </c>
      <c r="G460" s="175" t="str">
        <f t="shared" si="22"/>
        <v>Little Rock</v>
      </c>
      <c r="H460" s="175" t="str">
        <f t="shared" si="23"/>
        <v>Little Rock, AR</v>
      </c>
      <c r="I460" s="178" t="s">
        <v>1423</v>
      </c>
      <c r="J460" s="27" t="s">
        <v>1651</v>
      </c>
      <c r="K460" s="27">
        <v>2005</v>
      </c>
      <c r="L460" s="179">
        <v>3155</v>
      </c>
      <c r="M460" s="178" t="s">
        <v>1654</v>
      </c>
      <c r="N460" s="27" t="s">
        <v>1651</v>
      </c>
      <c r="O460" s="182" t="s">
        <v>1655</v>
      </c>
    </row>
    <row r="461" spans="1:15" ht="12">
      <c r="A461" s="148"/>
      <c r="B461" s="174" t="s">
        <v>2195</v>
      </c>
      <c r="C461" s="175" t="s">
        <v>1650</v>
      </c>
      <c r="D461" s="176" t="s">
        <v>1651</v>
      </c>
      <c r="E461" s="177" t="s">
        <v>2194</v>
      </c>
      <c r="F461" s="175">
        <f t="shared" si="21"/>
        <v>13</v>
      </c>
      <c r="G461" s="175" t="str">
        <f t="shared" si="22"/>
        <v>Little Rock</v>
      </c>
      <c r="H461" s="175" t="str">
        <f t="shared" si="23"/>
        <v>Little Rock, AR</v>
      </c>
      <c r="I461" s="178" t="s">
        <v>1423</v>
      </c>
      <c r="J461" s="27" t="s">
        <v>1651</v>
      </c>
      <c r="K461" s="27">
        <v>2005</v>
      </c>
      <c r="L461" s="179">
        <v>3155</v>
      </c>
      <c r="M461" s="178" t="s">
        <v>1654</v>
      </c>
      <c r="N461" s="27" t="s">
        <v>1651</v>
      </c>
      <c r="O461" s="182" t="s">
        <v>1655</v>
      </c>
    </row>
    <row r="462" spans="1:15" ht="12">
      <c r="A462" s="148"/>
      <c r="B462" s="174" t="s">
        <v>2196</v>
      </c>
      <c r="C462" s="175" t="s">
        <v>1650</v>
      </c>
      <c r="D462" s="176" t="s">
        <v>1651</v>
      </c>
      <c r="E462" s="177" t="s">
        <v>2194</v>
      </c>
      <c r="F462" s="175">
        <f t="shared" si="21"/>
        <v>13</v>
      </c>
      <c r="G462" s="175" t="str">
        <f t="shared" si="22"/>
        <v>Little Rock</v>
      </c>
      <c r="H462" s="175" t="str">
        <f t="shared" si="23"/>
        <v>Little Rock, AR</v>
      </c>
      <c r="I462" s="178" t="s">
        <v>1423</v>
      </c>
      <c r="J462" s="27" t="s">
        <v>1651</v>
      </c>
      <c r="K462" s="27">
        <v>2005</v>
      </c>
      <c r="L462" s="179">
        <v>3155</v>
      </c>
      <c r="M462" s="178" t="s">
        <v>1654</v>
      </c>
      <c r="N462" s="27" t="s">
        <v>1651</v>
      </c>
      <c r="O462" s="182" t="s">
        <v>1655</v>
      </c>
    </row>
    <row r="463" spans="1:15" ht="12">
      <c r="A463" s="148"/>
      <c r="B463" s="186" t="s">
        <v>2197</v>
      </c>
      <c r="C463" s="175" t="s">
        <v>262</v>
      </c>
      <c r="D463" s="176" t="s">
        <v>263</v>
      </c>
      <c r="E463" s="177" t="s">
        <v>2198</v>
      </c>
      <c r="F463" s="175">
        <f t="shared" si="21"/>
        <v>11</v>
      </c>
      <c r="G463" s="175" t="str">
        <f t="shared" si="22"/>
        <v>Littleton</v>
      </c>
      <c r="H463" s="175" t="str">
        <f t="shared" si="23"/>
        <v>Littleton, NH</v>
      </c>
      <c r="I463" s="178" t="s">
        <v>1401</v>
      </c>
      <c r="J463" s="27" t="s">
        <v>1684</v>
      </c>
      <c r="K463" s="27">
        <v>388</v>
      </c>
      <c r="L463" s="179">
        <v>7771</v>
      </c>
      <c r="M463" s="180" t="s">
        <v>1402</v>
      </c>
      <c r="N463" s="181" t="s">
        <v>1684</v>
      </c>
      <c r="O463" s="182" t="s">
        <v>1403</v>
      </c>
    </row>
    <row r="464" spans="1:15" ht="12">
      <c r="A464" s="148"/>
      <c r="B464" s="174" t="s">
        <v>2199</v>
      </c>
      <c r="C464" s="175" t="s">
        <v>1678</v>
      </c>
      <c r="D464" s="176" t="s">
        <v>1591</v>
      </c>
      <c r="E464" s="177" t="s">
        <v>2200</v>
      </c>
      <c r="F464" s="175">
        <f t="shared" si="21"/>
        <v>7</v>
      </c>
      <c r="G464" s="175" t="str">
        <f t="shared" si="22"/>
        <v>Logan</v>
      </c>
      <c r="H464" s="175" t="str">
        <f t="shared" si="23"/>
        <v>Logan, WV</v>
      </c>
      <c r="I464" s="178" t="s">
        <v>1380</v>
      </c>
      <c r="J464" s="27" t="s">
        <v>1591</v>
      </c>
      <c r="K464" s="27">
        <v>1031</v>
      </c>
      <c r="L464" s="179">
        <v>4646</v>
      </c>
      <c r="M464" s="180" t="s">
        <v>1592</v>
      </c>
      <c r="N464" s="181" t="s">
        <v>1591</v>
      </c>
      <c r="O464" s="182" t="s">
        <v>1593</v>
      </c>
    </row>
    <row r="465" spans="1:15" ht="12">
      <c r="A465" s="148"/>
      <c r="B465" s="174" t="s">
        <v>2201</v>
      </c>
      <c r="C465" s="175" t="s">
        <v>433</v>
      </c>
      <c r="D465" s="176" t="s">
        <v>434</v>
      </c>
      <c r="E465" s="177" t="s">
        <v>2202</v>
      </c>
      <c r="F465" s="175">
        <f t="shared" si="21"/>
        <v>12</v>
      </c>
      <c r="G465" s="175" t="str">
        <f t="shared" si="22"/>
        <v>Long Beach</v>
      </c>
      <c r="H465" s="175" t="str">
        <f t="shared" si="23"/>
        <v>Long Beach, CA</v>
      </c>
      <c r="I465" s="178" t="s">
        <v>462</v>
      </c>
      <c r="J465" s="27" t="s">
        <v>434</v>
      </c>
      <c r="K465" s="27">
        <v>1201</v>
      </c>
      <c r="L465" s="179">
        <v>1430</v>
      </c>
      <c r="M465" s="178" t="s">
        <v>437</v>
      </c>
      <c r="N465" s="27" t="s">
        <v>434</v>
      </c>
      <c r="O465" s="182" t="s">
        <v>438</v>
      </c>
    </row>
    <row r="466" spans="1:15" ht="12">
      <c r="A466" s="148"/>
      <c r="B466" s="174" t="s">
        <v>2203</v>
      </c>
      <c r="C466" s="175" t="s">
        <v>393</v>
      </c>
      <c r="D466" s="176" t="s">
        <v>394</v>
      </c>
      <c r="E466" s="177" t="s">
        <v>2204</v>
      </c>
      <c r="F466" s="175">
        <f t="shared" si="21"/>
        <v>10</v>
      </c>
      <c r="G466" s="175" t="str">
        <f t="shared" si="22"/>
        <v>Longmont</v>
      </c>
      <c r="H466" s="175" t="str">
        <f t="shared" si="23"/>
        <v>Longmont, CO</v>
      </c>
      <c r="I466" s="178" t="s">
        <v>611</v>
      </c>
      <c r="J466" s="27" t="s">
        <v>394</v>
      </c>
      <c r="K466" s="27">
        <v>679</v>
      </c>
      <c r="L466" s="179">
        <v>6020</v>
      </c>
      <c r="M466" s="180" t="s">
        <v>612</v>
      </c>
      <c r="N466" s="181" t="s">
        <v>394</v>
      </c>
      <c r="O466" s="182" t="s">
        <v>613</v>
      </c>
    </row>
    <row r="467" spans="1:15" ht="12">
      <c r="A467" s="148"/>
      <c r="B467" s="174" t="s">
        <v>2205</v>
      </c>
      <c r="C467" s="175" t="s">
        <v>254</v>
      </c>
      <c r="D467" s="176" t="s">
        <v>255</v>
      </c>
      <c r="E467" s="177" t="s">
        <v>2206</v>
      </c>
      <c r="F467" s="175">
        <f t="shared" si="21"/>
        <v>10</v>
      </c>
      <c r="G467" s="175" t="str">
        <f t="shared" si="22"/>
        <v>Longview</v>
      </c>
      <c r="H467" s="175" t="str">
        <f t="shared" si="23"/>
        <v>Longview, TX</v>
      </c>
      <c r="I467" s="178" t="s">
        <v>381</v>
      </c>
      <c r="J467" s="27" t="s">
        <v>282</v>
      </c>
      <c r="K467" s="27">
        <v>2368</v>
      </c>
      <c r="L467" s="179">
        <v>2264</v>
      </c>
      <c r="M467" s="180" t="s">
        <v>382</v>
      </c>
      <c r="N467" s="181" t="s">
        <v>282</v>
      </c>
      <c r="O467" s="182" t="s">
        <v>383</v>
      </c>
    </row>
    <row r="468" spans="1:15" ht="12">
      <c r="A468" s="148"/>
      <c r="B468" s="174" t="s">
        <v>2207</v>
      </c>
      <c r="C468" s="175" t="s">
        <v>433</v>
      </c>
      <c r="D468" s="176" t="s">
        <v>434</v>
      </c>
      <c r="E468" s="177" t="s">
        <v>2208</v>
      </c>
      <c r="F468" s="175">
        <f t="shared" si="21"/>
        <v>13</v>
      </c>
      <c r="G468" s="175" t="str">
        <f t="shared" si="22"/>
        <v>Los Angeles</v>
      </c>
      <c r="H468" s="175" t="str">
        <f t="shared" si="23"/>
        <v>Los Angeles, CA</v>
      </c>
      <c r="I468" s="178" t="s">
        <v>75</v>
      </c>
      <c r="J468" s="27" t="s">
        <v>434</v>
      </c>
      <c r="K468" s="27">
        <v>727</v>
      </c>
      <c r="L468" s="179">
        <v>1458</v>
      </c>
      <c r="M468" s="178" t="s">
        <v>437</v>
      </c>
      <c r="N468" s="27" t="s">
        <v>434</v>
      </c>
      <c r="O468" s="182" t="s">
        <v>438</v>
      </c>
    </row>
    <row r="469" spans="1:15" ht="12">
      <c r="A469" s="148"/>
      <c r="B469" s="174" t="s">
        <v>2209</v>
      </c>
      <c r="C469" s="175" t="s">
        <v>433</v>
      </c>
      <c r="D469" s="176" t="s">
        <v>434</v>
      </c>
      <c r="E469" s="177" t="s">
        <v>2208</v>
      </c>
      <c r="F469" s="175">
        <f t="shared" si="21"/>
        <v>13</v>
      </c>
      <c r="G469" s="175" t="str">
        <f t="shared" si="22"/>
        <v>Los Angeles</v>
      </c>
      <c r="H469" s="175" t="str">
        <f t="shared" si="23"/>
        <v>Los Angeles, CA</v>
      </c>
      <c r="I469" s="178" t="s">
        <v>75</v>
      </c>
      <c r="J469" s="27" t="s">
        <v>434</v>
      </c>
      <c r="K469" s="27">
        <v>727</v>
      </c>
      <c r="L469" s="179">
        <v>1458</v>
      </c>
      <c r="M469" s="178" t="s">
        <v>437</v>
      </c>
      <c r="N469" s="27" t="s">
        <v>434</v>
      </c>
      <c r="O469" s="182" t="s">
        <v>438</v>
      </c>
    </row>
    <row r="470" spans="1:15" ht="12">
      <c r="A470" s="148"/>
      <c r="B470" s="174" t="s">
        <v>2210</v>
      </c>
      <c r="C470" s="175" t="s">
        <v>433</v>
      </c>
      <c r="D470" s="176" t="s">
        <v>434</v>
      </c>
      <c r="E470" s="177" t="s">
        <v>2208</v>
      </c>
      <c r="F470" s="175">
        <f t="shared" si="21"/>
        <v>13</v>
      </c>
      <c r="G470" s="175" t="str">
        <f t="shared" si="22"/>
        <v>Los Angeles</v>
      </c>
      <c r="H470" s="175" t="str">
        <f t="shared" si="23"/>
        <v>Los Angeles, CA</v>
      </c>
      <c r="I470" s="178" t="s">
        <v>75</v>
      </c>
      <c r="J470" s="27" t="s">
        <v>434</v>
      </c>
      <c r="K470" s="27">
        <v>727</v>
      </c>
      <c r="L470" s="179">
        <v>1458</v>
      </c>
      <c r="M470" s="178" t="s">
        <v>437</v>
      </c>
      <c r="N470" s="27" t="s">
        <v>434</v>
      </c>
      <c r="O470" s="182" t="s">
        <v>438</v>
      </c>
    </row>
    <row r="471" spans="1:15" ht="12">
      <c r="A471" s="148"/>
      <c r="B471" s="174" t="s">
        <v>2211</v>
      </c>
      <c r="C471" s="175" t="s">
        <v>516</v>
      </c>
      <c r="D471" s="176" t="s">
        <v>517</v>
      </c>
      <c r="E471" s="177" t="s">
        <v>2212</v>
      </c>
      <c r="F471" s="175">
        <f t="shared" si="21"/>
        <v>12</v>
      </c>
      <c r="G471" s="175" t="str">
        <f t="shared" si="22"/>
        <v>Louisville</v>
      </c>
      <c r="H471" s="175" t="str">
        <f t="shared" si="23"/>
        <v>Louisville, KY</v>
      </c>
      <c r="I471" s="178" t="s">
        <v>616</v>
      </c>
      <c r="J471" s="27" t="s">
        <v>517</v>
      </c>
      <c r="K471" s="27">
        <v>1288</v>
      </c>
      <c r="L471" s="179">
        <v>4514</v>
      </c>
      <c r="M471" s="180" t="s">
        <v>617</v>
      </c>
      <c r="N471" s="181" t="s">
        <v>517</v>
      </c>
      <c r="O471" s="182" t="s">
        <v>618</v>
      </c>
    </row>
    <row r="472" spans="1:15" ht="12">
      <c r="A472" s="148"/>
      <c r="B472" s="174" t="s">
        <v>2213</v>
      </c>
      <c r="C472" s="175" t="s">
        <v>516</v>
      </c>
      <c r="D472" s="176" t="s">
        <v>517</v>
      </c>
      <c r="E472" s="177" t="s">
        <v>2212</v>
      </c>
      <c r="F472" s="175">
        <f t="shared" si="21"/>
        <v>12</v>
      </c>
      <c r="G472" s="175" t="str">
        <f t="shared" si="22"/>
        <v>Louisville</v>
      </c>
      <c r="H472" s="175" t="str">
        <f t="shared" si="23"/>
        <v>Louisville, KY</v>
      </c>
      <c r="I472" s="178" t="s">
        <v>616</v>
      </c>
      <c r="J472" s="27" t="s">
        <v>517</v>
      </c>
      <c r="K472" s="27">
        <v>1288</v>
      </c>
      <c r="L472" s="179">
        <v>4514</v>
      </c>
      <c r="M472" s="180" t="s">
        <v>617</v>
      </c>
      <c r="N472" s="181" t="s">
        <v>517</v>
      </c>
      <c r="O472" s="182" t="s">
        <v>618</v>
      </c>
    </row>
    <row r="473" spans="1:15" ht="12">
      <c r="A473" s="148"/>
      <c r="B473" s="174" t="s">
        <v>2214</v>
      </c>
      <c r="C473" s="175" t="s">
        <v>516</v>
      </c>
      <c r="D473" s="176" t="s">
        <v>517</v>
      </c>
      <c r="E473" s="177" t="s">
        <v>2212</v>
      </c>
      <c r="F473" s="175">
        <f t="shared" si="21"/>
        <v>12</v>
      </c>
      <c r="G473" s="175" t="str">
        <f t="shared" si="22"/>
        <v>Louisville</v>
      </c>
      <c r="H473" s="175" t="str">
        <f t="shared" si="23"/>
        <v>Louisville, KY</v>
      </c>
      <c r="I473" s="178" t="s">
        <v>616</v>
      </c>
      <c r="J473" s="27" t="s">
        <v>517</v>
      </c>
      <c r="K473" s="27">
        <v>1288</v>
      </c>
      <c r="L473" s="179">
        <v>4514</v>
      </c>
      <c r="M473" s="180" t="s">
        <v>617</v>
      </c>
      <c r="N473" s="181" t="s">
        <v>517</v>
      </c>
      <c r="O473" s="182" t="s">
        <v>618</v>
      </c>
    </row>
    <row r="474" spans="1:15" ht="12">
      <c r="A474" s="148"/>
      <c r="B474" s="174" t="s">
        <v>2215</v>
      </c>
      <c r="C474" s="175" t="s">
        <v>254</v>
      </c>
      <c r="D474" s="176" t="s">
        <v>255</v>
      </c>
      <c r="E474" s="177" t="s">
        <v>2216</v>
      </c>
      <c r="F474" s="175">
        <f t="shared" si="21"/>
        <v>9</v>
      </c>
      <c r="G474" s="175" t="str">
        <f t="shared" si="22"/>
        <v>Lubbock</v>
      </c>
      <c r="H474" s="175" t="str">
        <f t="shared" si="23"/>
        <v>Lubbock, TX</v>
      </c>
      <c r="I474" s="178" t="s">
        <v>2479</v>
      </c>
      <c r="J474" s="27" t="s">
        <v>255</v>
      </c>
      <c r="K474" s="27">
        <v>1689</v>
      </c>
      <c r="L474" s="179">
        <v>3431</v>
      </c>
      <c r="M474" s="180" t="s">
        <v>2480</v>
      </c>
      <c r="N474" s="181" t="s">
        <v>255</v>
      </c>
      <c r="O474" s="182" t="s">
        <v>2481</v>
      </c>
    </row>
    <row r="475" spans="1:15" ht="12">
      <c r="A475" s="148"/>
      <c r="B475" s="174" t="s">
        <v>2217</v>
      </c>
      <c r="C475" s="175" t="s">
        <v>254</v>
      </c>
      <c r="D475" s="176" t="s">
        <v>255</v>
      </c>
      <c r="E475" s="177" t="s">
        <v>2216</v>
      </c>
      <c r="F475" s="175">
        <f t="shared" si="21"/>
        <v>9</v>
      </c>
      <c r="G475" s="175" t="str">
        <f t="shared" si="22"/>
        <v>Lubbock</v>
      </c>
      <c r="H475" s="175" t="str">
        <f t="shared" si="23"/>
        <v>Lubbock, TX</v>
      </c>
      <c r="I475" s="178" t="s">
        <v>2479</v>
      </c>
      <c r="J475" s="27" t="s">
        <v>255</v>
      </c>
      <c r="K475" s="27">
        <v>1689</v>
      </c>
      <c r="L475" s="179">
        <v>3431</v>
      </c>
      <c r="M475" s="180" t="s">
        <v>2480</v>
      </c>
      <c r="N475" s="181" t="s">
        <v>255</v>
      </c>
      <c r="O475" s="182" t="s">
        <v>2481</v>
      </c>
    </row>
    <row r="476" spans="1:15" ht="12">
      <c r="A476" s="148"/>
      <c r="B476" s="174" t="s">
        <v>2218</v>
      </c>
      <c r="C476" s="175" t="s">
        <v>254</v>
      </c>
      <c r="D476" s="176" t="s">
        <v>255</v>
      </c>
      <c r="E476" s="177" t="s">
        <v>2219</v>
      </c>
      <c r="F476" s="175">
        <f t="shared" si="21"/>
        <v>8</v>
      </c>
      <c r="G476" s="175" t="str">
        <f t="shared" si="22"/>
        <v>Lufkin</v>
      </c>
      <c r="H476" s="175" t="str">
        <f t="shared" si="23"/>
        <v>Lufkin, TX</v>
      </c>
      <c r="I476" s="178" t="s">
        <v>2220</v>
      </c>
      <c r="J476" s="27" t="s">
        <v>255</v>
      </c>
      <c r="K476" s="27">
        <v>2816</v>
      </c>
      <c r="L476" s="179">
        <v>2179</v>
      </c>
      <c r="M476" s="180" t="s">
        <v>2221</v>
      </c>
      <c r="N476" s="181" t="s">
        <v>255</v>
      </c>
      <c r="O476" s="182" t="s">
        <v>2222</v>
      </c>
    </row>
    <row r="477" spans="1:15" ht="12">
      <c r="A477" s="148"/>
      <c r="B477" s="174" t="s">
        <v>2223</v>
      </c>
      <c r="C477" s="175" t="s">
        <v>425</v>
      </c>
      <c r="D477" s="176" t="s">
        <v>426</v>
      </c>
      <c r="E477" s="177" t="s">
        <v>2224</v>
      </c>
      <c r="F477" s="175">
        <f t="shared" si="21"/>
        <v>11</v>
      </c>
      <c r="G477" s="175" t="str">
        <f t="shared" si="22"/>
        <v>Lynchburg</v>
      </c>
      <c r="H477" s="175" t="str">
        <f t="shared" si="23"/>
        <v>Lynchburg, VA</v>
      </c>
      <c r="I477" s="178" t="s">
        <v>2225</v>
      </c>
      <c r="J477" s="27" t="s">
        <v>426</v>
      </c>
      <c r="K477" s="27">
        <v>1048</v>
      </c>
      <c r="L477" s="179">
        <v>4340</v>
      </c>
      <c r="M477" s="180" t="s">
        <v>2371</v>
      </c>
      <c r="N477" s="181" t="s">
        <v>426</v>
      </c>
      <c r="O477" s="182" t="s">
        <v>2372</v>
      </c>
    </row>
    <row r="478" spans="1:15" ht="12">
      <c r="A478" s="148"/>
      <c r="B478" s="186" t="s">
        <v>2226</v>
      </c>
      <c r="C478" s="175" t="s">
        <v>2382</v>
      </c>
      <c r="D478" s="176" t="s">
        <v>2383</v>
      </c>
      <c r="E478" s="177" t="s">
        <v>2227</v>
      </c>
      <c r="F478" s="175">
        <f t="shared" si="21"/>
        <v>6</v>
      </c>
      <c r="G478" s="175" t="str">
        <f t="shared" si="22"/>
        <v>Lynn</v>
      </c>
      <c r="H478" s="175" t="str">
        <f t="shared" si="23"/>
        <v>Lynn, MA</v>
      </c>
      <c r="I478" s="178" t="s">
        <v>607</v>
      </c>
      <c r="J478" s="27" t="s">
        <v>2383</v>
      </c>
      <c r="K478" s="27">
        <v>678</v>
      </c>
      <c r="L478" s="179">
        <v>5641</v>
      </c>
      <c r="M478" s="180" t="s">
        <v>604</v>
      </c>
      <c r="N478" s="181" t="s">
        <v>2383</v>
      </c>
      <c r="O478" s="182" t="s">
        <v>605</v>
      </c>
    </row>
    <row r="479" spans="1:15" ht="12">
      <c r="A479" s="148"/>
      <c r="B479" s="174" t="s">
        <v>2228</v>
      </c>
      <c r="C479" s="175" t="s">
        <v>480</v>
      </c>
      <c r="D479" s="176" t="s">
        <v>481</v>
      </c>
      <c r="E479" s="177" t="s">
        <v>2229</v>
      </c>
      <c r="F479" s="175">
        <f t="shared" si="21"/>
        <v>15</v>
      </c>
      <c r="G479" s="175" t="str">
        <f t="shared" si="22"/>
        <v>Mackinaw City</v>
      </c>
      <c r="H479" s="175" t="str">
        <f t="shared" si="23"/>
        <v>Mackinaw City, MI</v>
      </c>
      <c r="I479" s="178" t="s">
        <v>2230</v>
      </c>
      <c r="J479" s="27" t="s">
        <v>481</v>
      </c>
      <c r="K479" s="27">
        <v>131</v>
      </c>
      <c r="L479" s="179">
        <v>9316</v>
      </c>
      <c r="M479" s="180" t="s">
        <v>763</v>
      </c>
      <c r="N479" s="181" t="s">
        <v>481</v>
      </c>
      <c r="O479" s="182" t="s">
        <v>764</v>
      </c>
    </row>
    <row r="480" spans="1:15" ht="12">
      <c r="A480" s="148"/>
      <c r="B480" s="174" t="s">
        <v>2231</v>
      </c>
      <c r="C480" s="175" t="s">
        <v>400</v>
      </c>
      <c r="D480" s="176" t="s">
        <v>401</v>
      </c>
      <c r="E480" s="177" t="s">
        <v>2232</v>
      </c>
      <c r="F480" s="175">
        <f t="shared" si="21"/>
        <v>7</v>
      </c>
      <c r="G480" s="175" t="str">
        <f t="shared" si="22"/>
        <v>Macon</v>
      </c>
      <c r="H480" s="175" t="str">
        <f t="shared" si="23"/>
        <v>Macon, GA</v>
      </c>
      <c r="I480" s="178" t="s">
        <v>403</v>
      </c>
      <c r="J480" s="27" t="s">
        <v>401</v>
      </c>
      <c r="K480" s="27">
        <v>2284</v>
      </c>
      <c r="L480" s="179">
        <v>2261</v>
      </c>
      <c r="M480" s="178" t="s">
        <v>2233</v>
      </c>
      <c r="N480" s="27" t="s">
        <v>401</v>
      </c>
      <c r="O480" s="182" t="s">
        <v>2234</v>
      </c>
    </row>
    <row r="481" spans="1:15" ht="12">
      <c r="A481" s="148"/>
      <c r="B481" s="174" t="s">
        <v>2235</v>
      </c>
      <c r="C481" s="175" t="s">
        <v>400</v>
      </c>
      <c r="D481" s="176" t="s">
        <v>401</v>
      </c>
      <c r="E481" s="177" t="s">
        <v>2232</v>
      </c>
      <c r="F481" s="175">
        <f t="shared" si="21"/>
        <v>7</v>
      </c>
      <c r="G481" s="175" t="str">
        <f t="shared" si="22"/>
        <v>Macon</v>
      </c>
      <c r="H481" s="175" t="str">
        <f t="shared" si="23"/>
        <v>Macon, GA</v>
      </c>
      <c r="I481" s="178" t="s">
        <v>403</v>
      </c>
      <c r="J481" s="27" t="s">
        <v>401</v>
      </c>
      <c r="K481" s="27">
        <v>2284</v>
      </c>
      <c r="L481" s="179">
        <v>2261</v>
      </c>
      <c r="M481" s="178" t="s">
        <v>2233</v>
      </c>
      <c r="N481" s="27" t="s">
        <v>401</v>
      </c>
      <c r="O481" s="182" t="s">
        <v>2234</v>
      </c>
    </row>
    <row r="482" spans="1:15" ht="12">
      <c r="A482" s="148"/>
      <c r="B482" s="174" t="s">
        <v>2236</v>
      </c>
      <c r="C482" s="175" t="s">
        <v>400</v>
      </c>
      <c r="D482" s="176" t="s">
        <v>401</v>
      </c>
      <c r="E482" s="177" t="s">
        <v>2232</v>
      </c>
      <c r="F482" s="175">
        <f t="shared" si="21"/>
        <v>7</v>
      </c>
      <c r="G482" s="175" t="str">
        <f t="shared" si="22"/>
        <v>Macon</v>
      </c>
      <c r="H482" s="175" t="str">
        <f t="shared" si="23"/>
        <v>Macon, GA</v>
      </c>
      <c r="I482" s="178" t="s">
        <v>580</v>
      </c>
      <c r="J482" s="27" t="s">
        <v>401</v>
      </c>
      <c r="K482" s="27">
        <v>2125</v>
      </c>
      <c r="L482" s="179">
        <v>2334</v>
      </c>
      <c r="M482" s="178" t="s">
        <v>2233</v>
      </c>
      <c r="N482" s="27" t="s">
        <v>401</v>
      </c>
      <c r="O482" s="182" t="s">
        <v>2234</v>
      </c>
    </row>
    <row r="483" spans="1:15" ht="12">
      <c r="A483" s="148"/>
      <c r="B483" s="174" t="s">
        <v>2237</v>
      </c>
      <c r="C483" s="175" t="s">
        <v>33</v>
      </c>
      <c r="D483" s="176" t="s">
        <v>1763</v>
      </c>
      <c r="E483" s="177" t="s">
        <v>2238</v>
      </c>
      <c r="F483" s="175">
        <f t="shared" si="21"/>
        <v>9</v>
      </c>
      <c r="G483" s="175" t="str">
        <f t="shared" si="22"/>
        <v>Madison</v>
      </c>
      <c r="H483" s="175" t="str">
        <f t="shared" si="23"/>
        <v>Madison, WI</v>
      </c>
      <c r="I483" s="178" t="s">
        <v>1762</v>
      </c>
      <c r="J483" s="27" t="s">
        <v>1763</v>
      </c>
      <c r="K483" s="27">
        <v>692</v>
      </c>
      <c r="L483" s="179">
        <v>7491</v>
      </c>
      <c r="M483" s="180" t="s">
        <v>953</v>
      </c>
      <c r="N483" s="181" t="s">
        <v>1763</v>
      </c>
      <c r="O483" s="182" t="s">
        <v>954</v>
      </c>
    </row>
    <row r="484" spans="1:15" ht="12">
      <c r="A484" s="148"/>
      <c r="B484" s="174" t="s">
        <v>2239</v>
      </c>
      <c r="C484" s="175" t="s">
        <v>33</v>
      </c>
      <c r="D484" s="176" t="s">
        <v>1763</v>
      </c>
      <c r="E484" s="177" t="s">
        <v>2238</v>
      </c>
      <c r="F484" s="175">
        <f t="shared" si="21"/>
        <v>9</v>
      </c>
      <c r="G484" s="175" t="str">
        <f t="shared" si="22"/>
        <v>Madison</v>
      </c>
      <c r="H484" s="175" t="str">
        <f t="shared" si="23"/>
        <v>Madison, WI</v>
      </c>
      <c r="I484" s="178" t="s">
        <v>1762</v>
      </c>
      <c r="J484" s="27" t="s">
        <v>1763</v>
      </c>
      <c r="K484" s="27">
        <v>692</v>
      </c>
      <c r="L484" s="179">
        <v>7491</v>
      </c>
      <c r="M484" s="180" t="s">
        <v>953</v>
      </c>
      <c r="N484" s="181" t="s">
        <v>1763</v>
      </c>
      <c r="O484" s="182" t="s">
        <v>954</v>
      </c>
    </row>
    <row r="485" spans="1:15" ht="12">
      <c r="A485" s="148"/>
      <c r="B485" s="174" t="s">
        <v>2240</v>
      </c>
      <c r="C485" s="175" t="s">
        <v>33</v>
      </c>
      <c r="D485" s="176" t="s">
        <v>1763</v>
      </c>
      <c r="E485" s="177" t="s">
        <v>2238</v>
      </c>
      <c r="F485" s="175">
        <f t="shared" si="21"/>
        <v>9</v>
      </c>
      <c r="G485" s="175" t="str">
        <f t="shared" si="22"/>
        <v>Madison</v>
      </c>
      <c r="H485" s="175" t="str">
        <f t="shared" si="23"/>
        <v>Madison, WI</v>
      </c>
      <c r="I485" s="178" t="s">
        <v>952</v>
      </c>
      <c r="J485" s="27" t="s">
        <v>1763</v>
      </c>
      <c r="K485" s="27">
        <v>485</v>
      </c>
      <c r="L485" s="179">
        <v>7673</v>
      </c>
      <c r="M485" s="180" t="s">
        <v>953</v>
      </c>
      <c r="N485" s="181" t="s">
        <v>1763</v>
      </c>
      <c r="O485" s="182" t="s">
        <v>954</v>
      </c>
    </row>
    <row r="486" spans="1:15" ht="12">
      <c r="A486" s="148"/>
      <c r="B486" s="186" t="s">
        <v>2241</v>
      </c>
      <c r="C486" s="175" t="s">
        <v>262</v>
      </c>
      <c r="D486" s="176" t="s">
        <v>263</v>
      </c>
      <c r="E486" s="177" t="s">
        <v>2242</v>
      </c>
      <c r="F486" s="175">
        <f t="shared" si="21"/>
        <v>12</v>
      </c>
      <c r="G486" s="175" t="str">
        <f t="shared" si="22"/>
        <v>Manchester</v>
      </c>
      <c r="H486" s="175" t="str">
        <f t="shared" si="23"/>
        <v>Manchester, NH</v>
      </c>
      <c r="I486" s="178" t="s">
        <v>603</v>
      </c>
      <c r="J486" s="27" t="s">
        <v>2383</v>
      </c>
      <c r="K486" s="27">
        <v>333</v>
      </c>
      <c r="L486" s="179">
        <v>6979</v>
      </c>
      <c r="M486" s="180" t="s">
        <v>266</v>
      </c>
      <c r="N486" s="181" t="s">
        <v>263</v>
      </c>
      <c r="O486" s="182" t="s">
        <v>267</v>
      </c>
    </row>
    <row r="487" spans="1:15" ht="12">
      <c r="A487" s="148"/>
      <c r="B487" s="186" t="s">
        <v>2243</v>
      </c>
      <c r="C487" s="175" t="s">
        <v>262</v>
      </c>
      <c r="D487" s="176" t="s">
        <v>263</v>
      </c>
      <c r="E487" s="177" t="s">
        <v>2242</v>
      </c>
      <c r="F487" s="175">
        <f t="shared" si="21"/>
        <v>12</v>
      </c>
      <c r="G487" s="175" t="str">
        <f t="shared" si="22"/>
        <v>Manchester</v>
      </c>
      <c r="H487" s="175" t="str">
        <f t="shared" si="23"/>
        <v>Manchester, NH</v>
      </c>
      <c r="I487" s="178" t="s">
        <v>265</v>
      </c>
      <c r="J487" s="27" t="s">
        <v>263</v>
      </c>
      <c r="K487" s="27">
        <v>328</v>
      </c>
      <c r="L487" s="179">
        <v>7554</v>
      </c>
      <c r="M487" s="180" t="s">
        <v>266</v>
      </c>
      <c r="N487" s="181" t="s">
        <v>263</v>
      </c>
      <c r="O487" s="182" t="s">
        <v>267</v>
      </c>
    </row>
    <row r="488" spans="1:15" ht="12">
      <c r="A488" s="148"/>
      <c r="B488" s="174">
        <v>969</v>
      </c>
      <c r="C488" s="175" t="s">
        <v>2244</v>
      </c>
      <c r="D488" s="176" t="s">
        <v>2245</v>
      </c>
      <c r="E488" s="177" t="s">
        <v>2246</v>
      </c>
      <c r="F488" s="175">
        <f t="shared" si="21"/>
        <v>10</v>
      </c>
      <c r="G488" s="175" t="str">
        <f t="shared" si="22"/>
        <v>Mangilao</v>
      </c>
      <c r="H488" s="175" t="str">
        <f t="shared" si="23"/>
        <v>Mangilao, GU</v>
      </c>
      <c r="I488" s="178" t="s">
        <v>1167</v>
      </c>
      <c r="J488" s="27" t="s">
        <v>1168</v>
      </c>
      <c r="K488" s="27">
        <v>5034</v>
      </c>
      <c r="L488" s="179">
        <v>0</v>
      </c>
      <c r="M488" s="178" t="s">
        <v>747</v>
      </c>
      <c r="N488" s="27" t="s">
        <v>744</v>
      </c>
      <c r="O488" s="182" t="s">
        <v>748</v>
      </c>
    </row>
    <row r="489" spans="1:15" ht="12">
      <c r="A489" s="148"/>
      <c r="B489" s="174" t="s">
        <v>1169</v>
      </c>
      <c r="C489" s="175" t="s">
        <v>1687</v>
      </c>
      <c r="D489" s="176" t="s">
        <v>1688</v>
      </c>
      <c r="E489" s="177" t="s">
        <v>1170</v>
      </c>
      <c r="F489" s="175">
        <f t="shared" si="21"/>
        <v>9</v>
      </c>
      <c r="G489" s="175" t="str">
        <f t="shared" si="22"/>
        <v>Mankato</v>
      </c>
      <c r="H489" s="175" t="str">
        <f t="shared" si="23"/>
        <v>Mankato, MN</v>
      </c>
      <c r="I489" s="178" t="s">
        <v>1171</v>
      </c>
      <c r="J489" s="27" t="s">
        <v>1688</v>
      </c>
      <c r="K489" s="27">
        <v>472</v>
      </c>
      <c r="L489" s="179">
        <v>8250</v>
      </c>
      <c r="M489" s="178" t="s">
        <v>638</v>
      </c>
      <c r="N489" s="27" t="s">
        <v>1688</v>
      </c>
      <c r="O489" s="182" t="s">
        <v>639</v>
      </c>
    </row>
    <row r="490" spans="1:15" ht="12">
      <c r="A490" s="148"/>
      <c r="B490" s="174" t="s">
        <v>1172</v>
      </c>
      <c r="C490" s="175" t="s">
        <v>385</v>
      </c>
      <c r="D490" s="176" t="s">
        <v>386</v>
      </c>
      <c r="E490" s="177" t="s">
        <v>1173</v>
      </c>
      <c r="F490" s="175">
        <f t="shared" si="21"/>
        <v>11</v>
      </c>
      <c r="G490" s="175" t="str">
        <f t="shared" si="22"/>
        <v>Mansfield</v>
      </c>
      <c r="H490" s="175" t="str">
        <f t="shared" si="23"/>
        <v>Mansfield, OH</v>
      </c>
      <c r="I490" s="178" t="s">
        <v>1174</v>
      </c>
      <c r="J490" s="27" t="s">
        <v>386</v>
      </c>
      <c r="K490" s="27">
        <v>666</v>
      </c>
      <c r="L490" s="179">
        <v>6258</v>
      </c>
      <c r="M490" s="180" t="s">
        <v>389</v>
      </c>
      <c r="N490" s="181" t="s">
        <v>386</v>
      </c>
      <c r="O490" s="182" t="s">
        <v>390</v>
      </c>
    </row>
    <row r="491" spans="1:15" ht="12">
      <c r="A491" s="148"/>
      <c r="B491" s="174" t="s">
        <v>1175</v>
      </c>
      <c r="C491" s="175" t="s">
        <v>385</v>
      </c>
      <c r="D491" s="176" t="s">
        <v>386</v>
      </c>
      <c r="E491" s="177" t="s">
        <v>1173</v>
      </c>
      <c r="F491" s="175">
        <f t="shared" si="21"/>
        <v>11</v>
      </c>
      <c r="G491" s="175" t="str">
        <f t="shared" si="22"/>
        <v>Mansfield</v>
      </c>
      <c r="H491" s="175" t="str">
        <f t="shared" si="23"/>
        <v>Mansfield, OH</v>
      </c>
      <c r="I491" s="178" t="s">
        <v>1174</v>
      </c>
      <c r="J491" s="27" t="s">
        <v>386</v>
      </c>
      <c r="K491" s="27">
        <v>666</v>
      </c>
      <c r="L491" s="179">
        <v>6258</v>
      </c>
      <c r="M491" s="180" t="s">
        <v>389</v>
      </c>
      <c r="N491" s="181" t="s">
        <v>386</v>
      </c>
      <c r="O491" s="182" t="s">
        <v>390</v>
      </c>
    </row>
    <row r="492" spans="1:15" ht="12">
      <c r="A492" s="148"/>
      <c r="B492" s="174" t="s">
        <v>1176</v>
      </c>
      <c r="C492" s="175" t="s">
        <v>385</v>
      </c>
      <c r="D492" s="176" t="s">
        <v>386</v>
      </c>
      <c r="E492" s="177" t="s">
        <v>1177</v>
      </c>
      <c r="F492" s="175">
        <f t="shared" si="21"/>
        <v>8</v>
      </c>
      <c r="G492" s="175" t="str">
        <f t="shared" si="22"/>
        <v>Marion</v>
      </c>
      <c r="H492" s="175" t="str">
        <f t="shared" si="23"/>
        <v>Marion, OH</v>
      </c>
      <c r="I492" s="178" t="s">
        <v>1755</v>
      </c>
      <c r="J492" s="27" t="s">
        <v>386</v>
      </c>
      <c r="K492" s="27">
        <v>886</v>
      </c>
      <c r="L492" s="179">
        <v>5708</v>
      </c>
      <c r="M492" s="180" t="s">
        <v>1752</v>
      </c>
      <c r="N492" s="181" t="s">
        <v>386</v>
      </c>
      <c r="O492" s="182" t="s">
        <v>1753</v>
      </c>
    </row>
    <row r="493" spans="1:15" ht="12">
      <c r="A493" s="148"/>
      <c r="B493" s="174" t="s">
        <v>1178</v>
      </c>
      <c r="C493" s="175" t="s">
        <v>1678</v>
      </c>
      <c r="D493" s="176" t="s">
        <v>1591</v>
      </c>
      <c r="E493" s="177" t="s">
        <v>1179</v>
      </c>
      <c r="F493" s="175">
        <f t="shared" si="21"/>
        <v>13</v>
      </c>
      <c r="G493" s="175" t="str">
        <f t="shared" si="22"/>
        <v>Martinsburg</v>
      </c>
      <c r="H493" s="175" t="str">
        <f t="shared" si="23"/>
        <v>Martinsburg, WV</v>
      </c>
      <c r="I493" s="178" t="s">
        <v>1737</v>
      </c>
      <c r="J493" s="27" t="s">
        <v>428</v>
      </c>
      <c r="K493" s="27">
        <v>973</v>
      </c>
      <c r="L493" s="179">
        <v>5006</v>
      </c>
      <c r="M493" s="180" t="s">
        <v>429</v>
      </c>
      <c r="N493" s="181" t="s">
        <v>430</v>
      </c>
      <c r="O493" s="182" t="s">
        <v>431</v>
      </c>
    </row>
    <row r="494" spans="1:15" ht="12">
      <c r="A494" s="148"/>
      <c r="B494" s="174" t="s">
        <v>1180</v>
      </c>
      <c r="C494" s="175" t="s">
        <v>433</v>
      </c>
      <c r="D494" s="176" t="s">
        <v>434</v>
      </c>
      <c r="E494" s="177" t="s">
        <v>1181</v>
      </c>
      <c r="F494" s="175">
        <f t="shared" si="21"/>
        <v>12</v>
      </c>
      <c r="G494" s="175" t="str">
        <f t="shared" si="22"/>
        <v>Marysville</v>
      </c>
      <c r="H494" s="175" t="str">
        <f t="shared" si="23"/>
        <v>Marysville, CA</v>
      </c>
      <c r="I494" s="178" t="s">
        <v>594</v>
      </c>
      <c r="J494" s="27" t="s">
        <v>434</v>
      </c>
      <c r="K494" s="27">
        <v>1237</v>
      </c>
      <c r="L494" s="179">
        <v>2749</v>
      </c>
      <c r="M494" s="178" t="s">
        <v>595</v>
      </c>
      <c r="N494" s="27" t="s">
        <v>434</v>
      </c>
      <c r="O494" s="182" t="s">
        <v>596</v>
      </c>
    </row>
    <row r="495" spans="1:15" ht="12">
      <c r="A495" s="148"/>
      <c r="B495" s="174" t="s">
        <v>1182</v>
      </c>
      <c r="C495" s="175" t="s">
        <v>1394</v>
      </c>
      <c r="D495" s="176" t="s">
        <v>1395</v>
      </c>
      <c r="E495" s="177" t="s">
        <v>1183</v>
      </c>
      <c r="F495" s="175">
        <f t="shared" si="21"/>
        <v>12</v>
      </c>
      <c r="G495" s="175" t="str">
        <f t="shared" si="22"/>
        <v>Mason City</v>
      </c>
      <c r="H495" s="175" t="str">
        <f t="shared" si="23"/>
        <v>Mason City, IA</v>
      </c>
      <c r="I495" s="178" t="s">
        <v>2424</v>
      </c>
      <c r="J495" s="27" t="s">
        <v>1395</v>
      </c>
      <c r="K495" s="27">
        <v>702</v>
      </c>
      <c r="L495" s="179">
        <v>7406</v>
      </c>
      <c r="M495" s="180" t="s">
        <v>1398</v>
      </c>
      <c r="N495" s="181" t="s">
        <v>1395</v>
      </c>
      <c r="O495" s="182" t="s">
        <v>1399</v>
      </c>
    </row>
    <row r="496" spans="1:15" ht="12">
      <c r="A496" s="148"/>
      <c r="B496" s="174" t="s">
        <v>1184</v>
      </c>
      <c r="C496" s="175" t="s">
        <v>2457</v>
      </c>
      <c r="D496" s="176" t="s">
        <v>476</v>
      </c>
      <c r="E496" s="177" t="s">
        <v>1185</v>
      </c>
      <c r="F496" s="175">
        <f t="shared" si="21"/>
        <v>11</v>
      </c>
      <c r="G496" s="175" t="str">
        <f t="shared" si="22"/>
        <v>Mc_Kenzie</v>
      </c>
      <c r="H496" s="175" t="str">
        <f t="shared" si="23"/>
        <v>Mc_Kenzie, TN</v>
      </c>
      <c r="I496" s="178" t="s">
        <v>1584</v>
      </c>
      <c r="J496" s="27" t="s">
        <v>476</v>
      </c>
      <c r="K496" s="27">
        <v>1616</v>
      </c>
      <c r="L496" s="179">
        <v>3729</v>
      </c>
      <c r="M496" s="180" t="s">
        <v>1585</v>
      </c>
      <c r="N496" s="181" t="s">
        <v>476</v>
      </c>
      <c r="O496" s="182" t="s">
        <v>577</v>
      </c>
    </row>
    <row r="497" spans="1:15" ht="12">
      <c r="A497" s="148"/>
      <c r="B497" s="174" t="s">
        <v>1186</v>
      </c>
      <c r="C497" s="175" t="s">
        <v>500</v>
      </c>
      <c r="D497" s="176" t="s">
        <v>501</v>
      </c>
      <c r="E497" s="177" t="s">
        <v>1187</v>
      </c>
      <c r="F497" s="175">
        <f t="shared" si="21"/>
        <v>11</v>
      </c>
      <c r="G497" s="175" t="str">
        <f t="shared" si="22"/>
        <v>McAlester</v>
      </c>
      <c r="H497" s="175" t="str">
        <f t="shared" si="23"/>
        <v>McAlester, OK</v>
      </c>
      <c r="I497" s="178" t="s">
        <v>2026</v>
      </c>
      <c r="J497" s="27" t="s">
        <v>1651</v>
      </c>
      <c r="K497" s="27">
        <v>1894</v>
      </c>
      <c r="L497" s="179">
        <v>3478</v>
      </c>
      <c r="M497" s="178" t="s">
        <v>2027</v>
      </c>
      <c r="N497" s="27" t="s">
        <v>1651</v>
      </c>
      <c r="O497" s="182" t="s">
        <v>2028</v>
      </c>
    </row>
    <row r="498" spans="1:15" ht="12">
      <c r="A498" s="148"/>
      <c r="B498" s="174" t="s">
        <v>1152</v>
      </c>
      <c r="C498" s="175" t="s">
        <v>584</v>
      </c>
      <c r="D498" s="176" t="s">
        <v>1407</v>
      </c>
      <c r="E498" s="177" t="s">
        <v>1153</v>
      </c>
      <c r="F498" s="175">
        <f t="shared" si="21"/>
        <v>8</v>
      </c>
      <c r="G498" s="175" t="str">
        <f t="shared" si="22"/>
        <v>McComb</v>
      </c>
      <c r="H498" s="175" t="str">
        <f t="shared" si="23"/>
        <v>McComb, MS</v>
      </c>
      <c r="I498" s="178" t="s">
        <v>2134</v>
      </c>
      <c r="J498" s="27" t="s">
        <v>1407</v>
      </c>
      <c r="K498" s="27">
        <v>2215</v>
      </c>
      <c r="L498" s="179">
        <v>2467</v>
      </c>
      <c r="M498" s="180" t="s">
        <v>1408</v>
      </c>
      <c r="N498" s="181" t="s">
        <v>1407</v>
      </c>
      <c r="O498" s="182" t="s">
        <v>1409</v>
      </c>
    </row>
    <row r="499" spans="1:15" ht="12">
      <c r="A499" s="148"/>
      <c r="B499" s="174" t="s">
        <v>1154</v>
      </c>
      <c r="C499" s="175" t="s">
        <v>447</v>
      </c>
      <c r="D499" s="176" t="s">
        <v>448</v>
      </c>
      <c r="E499" s="177" t="s">
        <v>1155</v>
      </c>
      <c r="F499" s="175">
        <f t="shared" si="21"/>
        <v>8</v>
      </c>
      <c r="G499" s="175" t="str">
        <f t="shared" si="22"/>
        <v>McCook</v>
      </c>
      <c r="H499" s="175" t="str">
        <f t="shared" si="23"/>
        <v>McCook, NE</v>
      </c>
      <c r="I499" s="178" t="s">
        <v>1570</v>
      </c>
      <c r="J499" s="27" t="s">
        <v>1568</v>
      </c>
      <c r="K499" s="27">
        <v>859</v>
      </c>
      <c r="L499" s="179">
        <v>5974</v>
      </c>
      <c r="M499" s="180" t="s">
        <v>1571</v>
      </c>
      <c r="N499" s="181" t="s">
        <v>1568</v>
      </c>
      <c r="O499" s="182" t="s">
        <v>1572</v>
      </c>
    </row>
    <row r="500" spans="1:15" ht="12">
      <c r="A500" s="148"/>
      <c r="B500" s="174" t="s">
        <v>1156</v>
      </c>
      <c r="C500" s="175" t="s">
        <v>1694</v>
      </c>
      <c r="D500" s="176" t="s">
        <v>1695</v>
      </c>
      <c r="E500" s="177" t="s">
        <v>1157</v>
      </c>
      <c r="F500" s="175">
        <f t="shared" si="21"/>
        <v>9</v>
      </c>
      <c r="G500" s="175" t="str">
        <f t="shared" si="22"/>
        <v>Medford</v>
      </c>
      <c r="H500" s="175" t="str">
        <f t="shared" si="23"/>
        <v>Medford, OR</v>
      </c>
      <c r="I500" s="178" t="s">
        <v>943</v>
      </c>
      <c r="J500" s="27" t="s">
        <v>1695</v>
      </c>
      <c r="K500" s="27">
        <v>725</v>
      </c>
      <c r="L500" s="179">
        <v>4611</v>
      </c>
      <c r="M500" s="180" t="s">
        <v>539</v>
      </c>
      <c r="N500" s="181" t="s">
        <v>1695</v>
      </c>
      <c r="O500" s="182" t="s">
        <v>540</v>
      </c>
    </row>
    <row r="501" spans="1:15" ht="12">
      <c r="A501" s="148"/>
      <c r="B501" s="174" t="s">
        <v>1158</v>
      </c>
      <c r="C501" s="175" t="s">
        <v>624</v>
      </c>
      <c r="D501" s="176" t="s">
        <v>625</v>
      </c>
      <c r="E501" s="177" t="s">
        <v>1159</v>
      </c>
      <c r="F501" s="175">
        <f t="shared" si="21"/>
        <v>11</v>
      </c>
      <c r="G501" s="175" t="str">
        <f t="shared" si="22"/>
        <v>Melbourne</v>
      </c>
      <c r="H501" s="175" t="str">
        <f t="shared" si="23"/>
        <v>Melbourne, FL</v>
      </c>
      <c r="I501" s="178" t="s">
        <v>1160</v>
      </c>
      <c r="J501" s="27" t="s">
        <v>625</v>
      </c>
      <c r="K501" s="27">
        <v>3278</v>
      </c>
      <c r="L501" s="179">
        <v>548</v>
      </c>
      <c r="M501" s="178" t="s">
        <v>1161</v>
      </c>
      <c r="N501" s="27" t="s">
        <v>625</v>
      </c>
      <c r="O501" s="182" t="s">
        <v>1162</v>
      </c>
    </row>
    <row r="502" spans="1:15" ht="12">
      <c r="A502" s="148"/>
      <c r="B502" s="174" t="s">
        <v>1163</v>
      </c>
      <c r="C502" s="175" t="s">
        <v>2457</v>
      </c>
      <c r="D502" s="176" t="s">
        <v>476</v>
      </c>
      <c r="E502" s="177" t="s">
        <v>1164</v>
      </c>
      <c r="F502" s="175">
        <f t="shared" si="21"/>
        <v>9</v>
      </c>
      <c r="G502" s="175" t="str">
        <f t="shared" si="22"/>
        <v>Memphis</v>
      </c>
      <c r="H502" s="175" t="str">
        <f t="shared" si="23"/>
        <v>Memphis, TN</v>
      </c>
      <c r="I502" s="178" t="s">
        <v>1165</v>
      </c>
      <c r="J502" s="27" t="s">
        <v>476</v>
      </c>
      <c r="K502" s="27">
        <v>2118</v>
      </c>
      <c r="L502" s="179">
        <v>3082</v>
      </c>
      <c r="M502" s="180" t="s">
        <v>1166</v>
      </c>
      <c r="N502" s="181" t="s">
        <v>476</v>
      </c>
      <c r="O502" s="182" t="s">
        <v>1254</v>
      </c>
    </row>
    <row r="503" spans="1:15" ht="12">
      <c r="A503" s="148"/>
      <c r="B503" s="174" t="s">
        <v>1255</v>
      </c>
      <c r="C503" s="175" t="s">
        <v>2457</v>
      </c>
      <c r="D503" s="176" t="s">
        <v>476</v>
      </c>
      <c r="E503" s="177" t="s">
        <v>1164</v>
      </c>
      <c r="F503" s="175">
        <f t="shared" si="21"/>
        <v>9</v>
      </c>
      <c r="G503" s="175" t="str">
        <f t="shared" si="22"/>
        <v>Memphis</v>
      </c>
      <c r="H503" s="175" t="str">
        <f t="shared" si="23"/>
        <v>Memphis, TN</v>
      </c>
      <c r="I503" s="178" t="s">
        <v>1165</v>
      </c>
      <c r="J503" s="27" t="s">
        <v>476</v>
      </c>
      <c r="K503" s="27">
        <v>2118</v>
      </c>
      <c r="L503" s="179">
        <v>3082</v>
      </c>
      <c r="M503" s="180" t="s">
        <v>1166</v>
      </c>
      <c r="N503" s="181" t="s">
        <v>476</v>
      </c>
      <c r="O503" s="182" t="s">
        <v>1254</v>
      </c>
    </row>
    <row r="504" spans="1:15" ht="12">
      <c r="A504" s="148"/>
      <c r="B504" s="174" t="s">
        <v>1256</v>
      </c>
      <c r="C504" s="175" t="s">
        <v>433</v>
      </c>
      <c r="D504" s="176" t="s">
        <v>434</v>
      </c>
      <c r="E504" s="177" t="s">
        <v>1257</v>
      </c>
      <c r="F504" s="175">
        <f t="shared" si="21"/>
        <v>8</v>
      </c>
      <c r="G504" s="175" t="str">
        <f t="shared" si="22"/>
        <v>Merced</v>
      </c>
      <c r="H504" s="175" t="str">
        <f t="shared" si="23"/>
        <v>Merced, CA</v>
      </c>
      <c r="I504" s="178" t="s">
        <v>594</v>
      </c>
      <c r="J504" s="27" t="s">
        <v>434</v>
      </c>
      <c r="K504" s="27">
        <v>1237</v>
      </c>
      <c r="L504" s="179">
        <v>2749</v>
      </c>
      <c r="M504" s="178" t="s">
        <v>595</v>
      </c>
      <c r="N504" s="27" t="s">
        <v>434</v>
      </c>
      <c r="O504" s="182" t="s">
        <v>596</v>
      </c>
    </row>
    <row r="505" spans="1:15" ht="12">
      <c r="A505" s="148"/>
      <c r="B505" s="174" t="s">
        <v>1258</v>
      </c>
      <c r="C505" s="175" t="s">
        <v>584</v>
      </c>
      <c r="D505" s="176" t="s">
        <v>1407</v>
      </c>
      <c r="E505" s="177" t="s">
        <v>143</v>
      </c>
      <c r="F505" s="175">
        <f t="shared" si="21"/>
        <v>10</v>
      </c>
      <c r="G505" s="175" t="str">
        <f t="shared" si="22"/>
        <v>Meridian</v>
      </c>
      <c r="H505" s="175" t="str">
        <f t="shared" si="23"/>
        <v>Meridian, MS</v>
      </c>
      <c r="I505" s="178" t="s">
        <v>1406</v>
      </c>
      <c r="J505" s="27" t="s">
        <v>1407</v>
      </c>
      <c r="K505" s="27">
        <v>2138</v>
      </c>
      <c r="L505" s="179">
        <v>2444</v>
      </c>
      <c r="M505" s="180" t="s">
        <v>1408</v>
      </c>
      <c r="N505" s="181" t="s">
        <v>1407</v>
      </c>
      <c r="O505" s="182" t="s">
        <v>1409</v>
      </c>
    </row>
    <row r="506" spans="1:15" ht="12">
      <c r="A506" s="148"/>
      <c r="B506" s="174" t="s">
        <v>144</v>
      </c>
      <c r="C506" s="175" t="s">
        <v>624</v>
      </c>
      <c r="D506" s="176" t="s">
        <v>625</v>
      </c>
      <c r="E506" s="177" t="s">
        <v>145</v>
      </c>
      <c r="F506" s="175">
        <f t="shared" si="21"/>
        <v>7</v>
      </c>
      <c r="G506" s="175" t="str">
        <f t="shared" si="22"/>
        <v>Miami</v>
      </c>
      <c r="H506" s="175" t="str">
        <f t="shared" si="23"/>
        <v>Miami, FL</v>
      </c>
      <c r="I506" s="178" t="s">
        <v>146</v>
      </c>
      <c r="J506" s="27" t="s">
        <v>625</v>
      </c>
      <c r="K506" s="27">
        <v>4798</v>
      </c>
      <c r="L506" s="179">
        <v>100</v>
      </c>
      <c r="M506" s="180" t="s">
        <v>2013</v>
      </c>
      <c r="N506" s="181" t="s">
        <v>625</v>
      </c>
      <c r="O506" s="182" t="s">
        <v>2014</v>
      </c>
    </row>
    <row r="507" spans="1:15" ht="12">
      <c r="A507" s="148"/>
      <c r="B507" s="174" t="s">
        <v>147</v>
      </c>
      <c r="C507" s="175" t="s">
        <v>624</v>
      </c>
      <c r="D507" s="176" t="s">
        <v>625</v>
      </c>
      <c r="E507" s="177" t="s">
        <v>145</v>
      </c>
      <c r="F507" s="175">
        <f t="shared" si="21"/>
        <v>7</v>
      </c>
      <c r="G507" s="175" t="str">
        <f t="shared" si="22"/>
        <v>Miami</v>
      </c>
      <c r="H507" s="175" t="str">
        <f t="shared" si="23"/>
        <v>Miami, FL</v>
      </c>
      <c r="I507" s="178" t="s">
        <v>2012</v>
      </c>
      <c r="J507" s="27" t="s">
        <v>625</v>
      </c>
      <c r="K507" s="27">
        <v>4198</v>
      </c>
      <c r="L507" s="179">
        <v>200</v>
      </c>
      <c r="M507" s="180" t="s">
        <v>2013</v>
      </c>
      <c r="N507" s="181" t="s">
        <v>625</v>
      </c>
      <c r="O507" s="182" t="s">
        <v>2014</v>
      </c>
    </row>
    <row r="508" spans="1:15" ht="12">
      <c r="A508" s="148"/>
      <c r="B508" s="174" t="s">
        <v>148</v>
      </c>
      <c r="C508" s="175" t="s">
        <v>624</v>
      </c>
      <c r="D508" s="176" t="s">
        <v>625</v>
      </c>
      <c r="E508" s="177" t="s">
        <v>145</v>
      </c>
      <c r="F508" s="175">
        <f t="shared" si="21"/>
        <v>7</v>
      </c>
      <c r="G508" s="175" t="str">
        <f t="shared" si="22"/>
        <v>Miami</v>
      </c>
      <c r="H508" s="175" t="str">
        <f t="shared" si="23"/>
        <v>Miami, FL</v>
      </c>
      <c r="I508" s="178" t="s">
        <v>2012</v>
      </c>
      <c r="J508" s="27" t="s">
        <v>625</v>
      </c>
      <c r="K508" s="27">
        <v>4198</v>
      </c>
      <c r="L508" s="179">
        <v>200</v>
      </c>
      <c r="M508" s="180" t="s">
        <v>2013</v>
      </c>
      <c r="N508" s="181" t="s">
        <v>625</v>
      </c>
      <c r="O508" s="182" t="s">
        <v>2014</v>
      </c>
    </row>
    <row r="509" spans="1:15" ht="12">
      <c r="A509" s="148"/>
      <c r="B509" s="174" t="s">
        <v>149</v>
      </c>
      <c r="C509" s="175" t="s">
        <v>516</v>
      </c>
      <c r="D509" s="176" t="s">
        <v>517</v>
      </c>
      <c r="E509" s="177" t="s">
        <v>150</v>
      </c>
      <c r="F509" s="175">
        <f t="shared" si="21"/>
        <v>13</v>
      </c>
      <c r="G509" s="175" t="str">
        <f t="shared" si="22"/>
        <v>Middlesboro</v>
      </c>
      <c r="H509" s="175" t="str">
        <f t="shared" si="23"/>
        <v>Middlesboro, KY</v>
      </c>
      <c r="I509" s="178" t="s">
        <v>510</v>
      </c>
      <c r="J509" s="27" t="s">
        <v>476</v>
      </c>
      <c r="K509" s="27">
        <v>972</v>
      </c>
      <c r="L509" s="179">
        <v>4406</v>
      </c>
      <c r="M509" s="180" t="s">
        <v>477</v>
      </c>
      <c r="N509" s="181" t="s">
        <v>476</v>
      </c>
      <c r="O509" s="182" t="s">
        <v>478</v>
      </c>
    </row>
    <row r="510" spans="1:15" ht="12">
      <c r="A510" s="148"/>
      <c r="B510" s="174" t="s">
        <v>151</v>
      </c>
      <c r="C510" s="175" t="s">
        <v>254</v>
      </c>
      <c r="D510" s="176" t="s">
        <v>255</v>
      </c>
      <c r="E510" s="177" t="s">
        <v>152</v>
      </c>
      <c r="F510" s="175">
        <f t="shared" si="21"/>
        <v>9</v>
      </c>
      <c r="G510" s="175" t="str">
        <f t="shared" si="22"/>
        <v>Midland</v>
      </c>
      <c r="H510" s="175" t="str">
        <f t="shared" si="23"/>
        <v>Midland, TX</v>
      </c>
      <c r="I510" s="178" t="s">
        <v>44</v>
      </c>
      <c r="J510" s="27" t="s">
        <v>255</v>
      </c>
      <c r="K510" s="27">
        <v>2094</v>
      </c>
      <c r="L510" s="179">
        <v>2708</v>
      </c>
      <c r="M510" s="180" t="s">
        <v>153</v>
      </c>
      <c r="N510" s="181" t="s">
        <v>255</v>
      </c>
      <c r="O510" s="182" t="s">
        <v>154</v>
      </c>
    </row>
    <row r="511" spans="1:15" ht="12">
      <c r="A511" s="148"/>
      <c r="B511" s="174" t="s">
        <v>155</v>
      </c>
      <c r="C511" s="175" t="s">
        <v>1487</v>
      </c>
      <c r="D511" s="176" t="s">
        <v>1488</v>
      </c>
      <c r="E511" s="177" t="s">
        <v>156</v>
      </c>
      <c r="F511" s="175">
        <f t="shared" si="21"/>
        <v>12</v>
      </c>
      <c r="G511" s="175" t="str">
        <f t="shared" si="22"/>
        <v>Miles City</v>
      </c>
      <c r="H511" s="175" t="str">
        <f t="shared" si="23"/>
        <v>Miles City, MT</v>
      </c>
      <c r="I511" s="178" t="s">
        <v>157</v>
      </c>
      <c r="J511" s="27" t="s">
        <v>1488</v>
      </c>
      <c r="K511" s="27">
        <v>558</v>
      </c>
      <c r="L511" s="179">
        <v>8745</v>
      </c>
      <c r="M511" s="180" t="s">
        <v>2108</v>
      </c>
      <c r="N511" s="181" t="s">
        <v>1488</v>
      </c>
      <c r="O511" s="182" t="s">
        <v>2109</v>
      </c>
    </row>
    <row r="512" spans="1:15" ht="12">
      <c r="A512" s="148"/>
      <c r="B512" s="174" t="s">
        <v>158</v>
      </c>
      <c r="C512" s="175" t="s">
        <v>33</v>
      </c>
      <c r="D512" s="176" t="s">
        <v>1763</v>
      </c>
      <c r="E512" s="177" t="s">
        <v>159</v>
      </c>
      <c r="F512" s="175">
        <f t="shared" si="21"/>
        <v>11</v>
      </c>
      <c r="G512" s="175" t="str">
        <f t="shared" si="22"/>
        <v>Milwaukee</v>
      </c>
      <c r="H512" s="175" t="str">
        <f t="shared" si="23"/>
        <v>Milwaukee, WI</v>
      </c>
      <c r="I512" s="178" t="s">
        <v>952</v>
      </c>
      <c r="J512" s="27" t="s">
        <v>1763</v>
      </c>
      <c r="K512" s="27">
        <v>485</v>
      </c>
      <c r="L512" s="179">
        <v>7673</v>
      </c>
      <c r="M512" s="180" t="s">
        <v>160</v>
      </c>
      <c r="N512" s="181" t="s">
        <v>1763</v>
      </c>
      <c r="O512" s="182" t="s">
        <v>161</v>
      </c>
    </row>
    <row r="513" spans="1:15" ht="12">
      <c r="A513" s="148"/>
      <c r="B513" s="174" t="s">
        <v>162</v>
      </c>
      <c r="C513" s="175" t="s">
        <v>33</v>
      </c>
      <c r="D513" s="176" t="s">
        <v>1763</v>
      </c>
      <c r="E513" s="177" t="s">
        <v>159</v>
      </c>
      <c r="F513" s="175">
        <f t="shared" si="21"/>
        <v>11</v>
      </c>
      <c r="G513" s="175" t="str">
        <f t="shared" si="22"/>
        <v>Milwaukee</v>
      </c>
      <c r="H513" s="175" t="str">
        <f t="shared" si="23"/>
        <v>Milwaukee, WI</v>
      </c>
      <c r="I513" s="178" t="s">
        <v>952</v>
      </c>
      <c r="J513" s="27" t="s">
        <v>1763</v>
      </c>
      <c r="K513" s="27">
        <v>485</v>
      </c>
      <c r="L513" s="179">
        <v>7673</v>
      </c>
      <c r="M513" s="180" t="s">
        <v>160</v>
      </c>
      <c r="N513" s="181" t="s">
        <v>1763</v>
      </c>
      <c r="O513" s="182" t="s">
        <v>161</v>
      </c>
    </row>
    <row r="514" spans="1:15" ht="12">
      <c r="A514" s="148"/>
      <c r="B514" s="174" t="s">
        <v>163</v>
      </c>
      <c r="C514" s="175" t="s">
        <v>33</v>
      </c>
      <c r="D514" s="176" t="s">
        <v>1763</v>
      </c>
      <c r="E514" s="177" t="s">
        <v>159</v>
      </c>
      <c r="F514" s="175">
        <f t="shared" si="21"/>
        <v>11</v>
      </c>
      <c r="G514" s="175" t="str">
        <f t="shared" si="22"/>
        <v>Milwaukee</v>
      </c>
      <c r="H514" s="175" t="str">
        <f t="shared" si="23"/>
        <v>Milwaukee, WI</v>
      </c>
      <c r="I514" s="178" t="s">
        <v>164</v>
      </c>
      <c r="J514" s="27" t="s">
        <v>1763</v>
      </c>
      <c r="K514" s="27">
        <v>479</v>
      </c>
      <c r="L514" s="179">
        <v>7324</v>
      </c>
      <c r="M514" s="180" t="s">
        <v>160</v>
      </c>
      <c r="N514" s="181" t="s">
        <v>1763</v>
      </c>
      <c r="O514" s="182" t="s">
        <v>161</v>
      </c>
    </row>
    <row r="515" spans="1:15" ht="12">
      <c r="A515" s="148"/>
      <c r="B515" s="174" t="s">
        <v>165</v>
      </c>
      <c r="C515" s="175" t="s">
        <v>33</v>
      </c>
      <c r="D515" s="176" t="s">
        <v>1763</v>
      </c>
      <c r="E515" s="177" t="s">
        <v>159</v>
      </c>
      <c r="F515" s="175">
        <f t="shared" si="21"/>
        <v>11</v>
      </c>
      <c r="G515" s="175" t="str">
        <f t="shared" si="22"/>
        <v>Milwaukee</v>
      </c>
      <c r="H515" s="175" t="str">
        <f t="shared" si="23"/>
        <v>Milwaukee, WI</v>
      </c>
      <c r="I515" s="178" t="s">
        <v>164</v>
      </c>
      <c r="J515" s="27" t="s">
        <v>1763</v>
      </c>
      <c r="K515" s="27">
        <v>479</v>
      </c>
      <c r="L515" s="179">
        <v>7324</v>
      </c>
      <c r="M515" s="180" t="s">
        <v>160</v>
      </c>
      <c r="N515" s="181" t="s">
        <v>1763</v>
      </c>
      <c r="O515" s="182" t="s">
        <v>161</v>
      </c>
    </row>
    <row r="516" spans="1:15" ht="12">
      <c r="A516" s="148"/>
      <c r="B516" s="174" t="s">
        <v>166</v>
      </c>
      <c r="C516" s="175" t="s">
        <v>1687</v>
      </c>
      <c r="D516" s="176" t="s">
        <v>1688</v>
      </c>
      <c r="E516" s="177" t="s">
        <v>167</v>
      </c>
      <c r="F516" s="175">
        <f t="shared" si="21"/>
        <v>13</v>
      </c>
      <c r="G516" s="175" t="str">
        <f t="shared" si="22"/>
        <v>Minneapolis</v>
      </c>
      <c r="H516" s="175" t="str">
        <f t="shared" si="23"/>
        <v>Minneapolis, MN</v>
      </c>
      <c r="I516" s="178" t="s">
        <v>35</v>
      </c>
      <c r="J516" s="27" t="s">
        <v>1688</v>
      </c>
      <c r="K516" s="27">
        <v>682</v>
      </c>
      <c r="L516" s="179">
        <v>7981</v>
      </c>
      <c r="M516" s="178" t="s">
        <v>638</v>
      </c>
      <c r="N516" s="27" t="s">
        <v>1688</v>
      </c>
      <c r="O516" s="182" t="s">
        <v>639</v>
      </c>
    </row>
    <row r="517" spans="1:15" ht="12">
      <c r="A517" s="148"/>
      <c r="B517" s="174" t="s">
        <v>168</v>
      </c>
      <c r="C517" s="175" t="s">
        <v>1687</v>
      </c>
      <c r="D517" s="176" t="s">
        <v>1688</v>
      </c>
      <c r="E517" s="177" t="s">
        <v>167</v>
      </c>
      <c r="F517" s="175">
        <f t="shared" si="21"/>
        <v>13</v>
      </c>
      <c r="G517" s="175" t="str">
        <f t="shared" si="22"/>
        <v>Minneapolis</v>
      </c>
      <c r="H517" s="175" t="str">
        <f t="shared" si="23"/>
        <v>Minneapolis, MN</v>
      </c>
      <c r="I517" s="178" t="s">
        <v>35</v>
      </c>
      <c r="J517" s="27" t="s">
        <v>1688</v>
      </c>
      <c r="K517" s="27">
        <v>682</v>
      </c>
      <c r="L517" s="179">
        <v>7981</v>
      </c>
      <c r="M517" s="178" t="s">
        <v>638</v>
      </c>
      <c r="N517" s="27" t="s">
        <v>1688</v>
      </c>
      <c r="O517" s="182" t="s">
        <v>639</v>
      </c>
    </row>
    <row r="518" spans="1:15" ht="12">
      <c r="A518" s="148"/>
      <c r="B518" s="174" t="s">
        <v>169</v>
      </c>
      <c r="C518" s="175" t="s">
        <v>407</v>
      </c>
      <c r="D518" s="176" t="s">
        <v>408</v>
      </c>
      <c r="E518" s="177" t="s">
        <v>170</v>
      </c>
      <c r="F518" s="175">
        <f t="shared" ref="F518:F581" si="24">LEN(E518)</f>
        <v>10</v>
      </c>
      <c r="G518" s="175" t="str">
        <f t="shared" ref="G518:G581" si="25">MID(E518,2,F518-2)</f>
        <v>Minneola</v>
      </c>
      <c r="H518" s="175" t="str">
        <f t="shared" ref="H518:H581" si="26">CONCATENATE(G518,", ",+D518)</f>
        <v>Minneola, NY</v>
      </c>
      <c r="I518" s="178" t="s">
        <v>2007</v>
      </c>
      <c r="J518" s="27" t="s">
        <v>408</v>
      </c>
      <c r="K518" s="27">
        <v>921</v>
      </c>
      <c r="L518" s="179">
        <v>5027</v>
      </c>
      <c r="M518" s="180" t="s">
        <v>2360</v>
      </c>
      <c r="N518" s="181" t="s">
        <v>408</v>
      </c>
      <c r="O518" s="182" t="s">
        <v>1359</v>
      </c>
    </row>
    <row r="519" spans="1:15" ht="12">
      <c r="A519" s="148"/>
      <c r="B519" s="174" t="s">
        <v>171</v>
      </c>
      <c r="C519" s="175" t="s">
        <v>1506</v>
      </c>
      <c r="D519" s="176" t="s">
        <v>251</v>
      </c>
      <c r="E519" s="177" t="s">
        <v>172</v>
      </c>
      <c r="F519" s="175">
        <f t="shared" si="24"/>
        <v>7</v>
      </c>
      <c r="G519" s="175" t="str">
        <f t="shared" si="25"/>
        <v>Minot</v>
      </c>
      <c r="H519" s="175" t="str">
        <f t="shared" si="26"/>
        <v>Minot, ND</v>
      </c>
      <c r="I519" s="178" t="s">
        <v>173</v>
      </c>
      <c r="J519" s="27" t="s">
        <v>251</v>
      </c>
      <c r="K519" s="27">
        <v>548</v>
      </c>
      <c r="L519" s="179">
        <v>9090</v>
      </c>
      <c r="M519" s="180" t="s">
        <v>1705</v>
      </c>
      <c r="N519" s="181" t="s">
        <v>251</v>
      </c>
      <c r="O519" s="182" t="s">
        <v>1706</v>
      </c>
    </row>
    <row r="520" spans="1:15" ht="12">
      <c r="A520" s="148"/>
      <c r="B520" s="174" t="s">
        <v>174</v>
      </c>
      <c r="C520" s="175" t="s">
        <v>1487</v>
      </c>
      <c r="D520" s="176" t="s">
        <v>1488</v>
      </c>
      <c r="E520" s="177" t="s">
        <v>175</v>
      </c>
      <c r="F520" s="175">
        <f t="shared" si="24"/>
        <v>10</v>
      </c>
      <c r="G520" s="175" t="str">
        <f t="shared" si="25"/>
        <v>Missoula</v>
      </c>
      <c r="H520" s="175" t="str">
        <f t="shared" si="26"/>
        <v>Missoula, MT</v>
      </c>
      <c r="I520" s="178" t="s">
        <v>1416</v>
      </c>
      <c r="J520" s="27" t="s">
        <v>1488</v>
      </c>
      <c r="K520" s="27">
        <v>280</v>
      </c>
      <c r="L520" s="179">
        <v>7792</v>
      </c>
      <c r="M520" s="180" t="s">
        <v>1417</v>
      </c>
      <c r="N520" s="181" t="s">
        <v>1488</v>
      </c>
      <c r="O520" s="182" t="s">
        <v>1418</v>
      </c>
    </row>
    <row r="521" spans="1:15" ht="12">
      <c r="A521" s="148"/>
      <c r="B521" s="174" t="s">
        <v>176</v>
      </c>
      <c r="C521" s="175" t="s">
        <v>246</v>
      </c>
      <c r="D521" s="176" t="s">
        <v>247</v>
      </c>
      <c r="E521" s="177" t="s">
        <v>177</v>
      </c>
      <c r="F521" s="175">
        <f t="shared" si="24"/>
        <v>10</v>
      </c>
      <c r="G521" s="175" t="str">
        <f t="shared" si="25"/>
        <v>Mitchell</v>
      </c>
      <c r="H521" s="175" t="str">
        <f t="shared" si="26"/>
        <v>Mitchell, SD</v>
      </c>
      <c r="I521" s="178" t="s">
        <v>450</v>
      </c>
      <c r="J521" s="27" t="s">
        <v>247</v>
      </c>
      <c r="K521" s="27">
        <v>611</v>
      </c>
      <c r="L521" s="179">
        <v>7301</v>
      </c>
      <c r="M521" s="180" t="s">
        <v>451</v>
      </c>
      <c r="N521" s="181" t="s">
        <v>247</v>
      </c>
      <c r="O521" s="182" t="s">
        <v>452</v>
      </c>
    </row>
    <row r="522" spans="1:15" ht="12">
      <c r="A522" s="148"/>
      <c r="B522" s="174" t="s">
        <v>178</v>
      </c>
      <c r="C522" s="175" t="s">
        <v>493</v>
      </c>
      <c r="D522" s="176" t="s">
        <v>494</v>
      </c>
      <c r="E522" s="177" t="s">
        <v>179</v>
      </c>
      <c r="F522" s="175">
        <f t="shared" si="24"/>
        <v>8</v>
      </c>
      <c r="G522" s="175" t="str">
        <f t="shared" si="25"/>
        <v>Mobile</v>
      </c>
      <c r="H522" s="175" t="str">
        <f t="shared" si="26"/>
        <v>Mobile, AL</v>
      </c>
      <c r="I522" s="178" t="s">
        <v>719</v>
      </c>
      <c r="J522" s="27" t="s">
        <v>494</v>
      </c>
      <c r="K522" s="27">
        <v>2627</v>
      </c>
      <c r="L522" s="179">
        <v>1702</v>
      </c>
      <c r="M522" s="180" t="s">
        <v>720</v>
      </c>
      <c r="N522" s="181" t="s">
        <v>494</v>
      </c>
      <c r="O522" s="182" t="s">
        <v>721</v>
      </c>
    </row>
    <row r="523" spans="1:15" ht="12">
      <c r="A523" s="148"/>
      <c r="B523" s="174" t="s">
        <v>180</v>
      </c>
      <c r="C523" s="175" t="s">
        <v>493</v>
      </c>
      <c r="D523" s="176" t="s">
        <v>494</v>
      </c>
      <c r="E523" s="177" t="s">
        <v>179</v>
      </c>
      <c r="F523" s="175">
        <f t="shared" si="24"/>
        <v>8</v>
      </c>
      <c r="G523" s="175" t="str">
        <f t="shared" si="25"/>
        <v>Mobile</v>
      </c>
      <c r="H523" s="175" t="str">
        <f t="shared" si="26"/>
        <v>Mobile, AL</v>
      </c>
      <c r="I523" s="178" t="s">
        <v>719</v>
      </c>
      <c r="J523" s="27" t="s">
        <v>494</v>
      </c>
      <c r="K523" s="27">
        <v>2627</v>
      </c>
      <c r="L523" s="179">
        <v>1702</v>
      </c>
      <c r="M523" s="180" t="s">
        <v>720</v>
      </c>
      <c r="N523" s="181" t="s">
        <v>494</v>
      </c>
      <c r="O523" s="182" t="s">
        <v>721</v>
      </c>
    </row>
    <row r="524" spans="1:15" ht="12">
      <c r="A524" s="148"/>
      <c r="B524" s="174" t="s">
        <v>181</v>
      </c>
      <c r="C524" s="175" t="s">
        <v>246</v>
      </c>
      <c r="D524" s="176" t="s">
        <v>247</v>
      </c>
      <c r="E524" s="177" t="s">
        <v>182</v>
      </c>
      <c r="F524" s="175">
        <f t="shared" si="24"/>
        <v>10</v>
      </c>
      <c r="G524" s="175" t="str">
        <f t="shared" si="25"/>
        <v>Mobridge</v>
      </c>
      <c r="H524" s="175" t="str">
        <f t="shared" si="26"/>
        <v>Mobridge, SD</v>
      </c>
      <c r="I524" s="178" t="s">
        <v>1704</v>
      </c>
      <c r="J524" s="27" t="s">
        <v>251</v>
      </c>
      <c r="K524" s="27">
        <v>488</v>
      </c>
      <c r="L524" s="179">
        <v>8968</v>
      </c>
      <c r="M524" s="180" t="s">
        <v>1705</v>
      </c>
      <c r="N524" s="181" t="s">
        <v>251</v>
      </c>
      <c r="O524" s="182" t="s">
        <v>1706</v>
      </c>
    </row>
    <row r="525" spans="1:15" ht="12">
      <c r="A525" s="148"/>
      <c r="B525" s="174" t="s">
        <v>183</v>
      </c>
      <c r="C525" s="175" t="s">
        <v>281</v>
      </c>
      <c r="D525" s="176" t="s">
        <v>282</v>
      </c>
      <c r="E525" s="177" t="s">
        <v>184</v>
      </c>
      <c r="F525" s="175">
        <f t="shared" si="24"/>
        <v>8</v>
      </c>
      <c r="G525" s="175" t="str">
        <f t="shared" si="25"/>
        <v>Monroe</v>
      </c>
      <c r="H525" s="175" t="str">
        <f t="shared" si="26"/>
        <v>Monroe, LA</v>
      </c>
      <c r="I525" s="178" t="s">
        <v>2134</v>
      </c>
      <c r="J525" s="27" t="s">
        <v>1407</v>
      </c>
      <c r="K525" s="27">
        <v>2215</v>
      </c>
      <c r="L525" s="179">
        <v>2467</v>
      </c>
      <c r="M525" s="180" t="s">
        <v>1408</v>
      </c>
      <c r="N525" s="181" t="s">
        <v>1407</v>
      </c>
      <c r="O525" s="182" t="s">
        <v>1409</v>
      </c>
    </row>
    <row r="526" spans="1:15" ht="12">
      <c r="A526" s="148"/>
      <c r="B526" s="174" t="s">
        <v>185</v>
      </c>
      <c r="C526" s="175" t="s">
        <v>433</v>
      </c>
      <c r="D526" s="176" t="s">
        <v>434</v>
      </c>
      <c r="E526" s="177" t="s">
        <v>186</v>
      </c>
      <c r="F526" s="175">
        <f t="shared" si="24"/>
        <v>10</v>
      </c>
      <c r="G526" s="175" t="str">
        <f t="shared" si="25"/>
        <v>Monterey</v>
      </c>
      <c r="H526" s="175" t="str">
        <f t="shared" si="26"/>
        <v>Monterey, CA</v>
      </c>
      <c r="I526" s="178" t="s">
        <v>187</v>
      </c>
      <c r="J526" s="27" t="s">
        <v>434</v>
      </c>
      <c r="K526" s="27">
        <v>65</v>
      </c>
      <c r="L526" s="179">
        <v>3005</v>
      </c>
      <c r="M526" s="178" t="s">
        <v>188</v>
      </c>
      <c r="N526" s="27" t="s">
        <v>434</v>
      </c>
      <c r="O526" s="182" t="s">
        <v>189</v>
      </c>
    </row>
    <row r="527" spans="1:15" ht="12">
      <c r="A527" s="148"/>
      <c r="B527" s="174" t="s">
        <v>190</v>
      </c>
      <c r="C527" s="175" t="s">
        <v>493</v>
      </c>
      <c r="D527" s="176" t="s">
        <v>494</v>
      </c>
      <c r="E527" s="177" t="s">
        <v>191</v>
      </c>
      <c r="F527" s="175">
        <f t="shared" si="24"/>
        <v>12</v>
      </c>
      <c r="G527" s="175" t="str">
        <f t="shared" si="25"/>
        <v>Montgomery</v>
      </c>
      <c r="H527" s="175" t="str">
        <f t="shared" si="26"/>
        <v>Montgomery, AL</v>
      </c>
      <c r="I527" s="178" t="s">
        <v>403</v>
      </c>
      <c r="J527" s="27" t="s">
        <v>401</v>
      </c>
      <c r="K527" s="27">
        <v>2284</v>
      </c>
      <c r="L527" s="179">
        <v>2261</v>
      </c>
      <c r="M527" s="178" t="s">
        <v>1793</v>
      </c>
      <c r="N527" s="27" t="s">
        <v>494</v>
      </c>
      <c r="O527" s="187" t="s">
        <v>1794</v>
      </c>
    </row>
    <row r="528" spans="1:15" ht="12">
      <c r="A528" s="148"/>
      <c r="B528" s="174" t="s">
        <v>192</v>
      </c>
      <c r="C528" s="175" t="s">
        <v>493</v>
      </c>
      <c r="D528" s="176" t="s">
        <v>494</v>
      </c>
      <c r="E528" s="177" t="s">
        <v>191</v>
      </c>
      <c r="F528" s="175">
        <f t="shared" si="24"/>
        <v>12</v>
      </c>
      <c r="G528" s="175" t="str">
        <f t="shared" si="25"/>
        <v>Montgomery</v>
      </c>
      <c r="H528" s="175" t="str">
        <f t="shared" si="26"/>
        <v>Montgomery, AL</v>
      </c>
      <c r="I528" s="178" t="s">
        <v>1792</v>
      </c>
      <c r="J528" s="27" t="s">
        <v>494</v>
      </c>
      <c r="K528" s="27">
        <v>2212</v>
      </c>
      <c r="L528" s="179">
        <v>2224</v>
      </c>
      <c r="M528" s="178" t="s">
        <v>1793</v>
      </c>
      <c r="N528" s="27" t="s">
        <v>494</v>
      </c>
      <c r="O528" s="187" t="s">
        <v>1794</v>
      </c>
    </row>
    <row r="529" spans="1:15" ht="12">
      <c r="A529" s="148"/>
      <c r="B529" s="174" t="s">
        <v>1096</v>
      </c>
      <c r="C529" s="175" t="s">
        <v>407</v>
      </c>
      <c r="D529" s="176" t="s">
        <v>408</v>
      </c>
      <c r="E529" s="177" t="s">
        <v>1097</v>
      </c>
      <c r="F529" s="175">
        <f t="shared" si="24"/>
        <v>12</v>
      </c>
      <c r="G529" s="175" t="str">
        <f t="shared" si="25"/>
        <v>Monticello</v>
      </c>
      <c r="H529" s="175" t="str">
        <f t="shared" si="26"/>
        <v>Monticello, NY</v>
      </c>
      <c r="I529" s="178" t="s">
        <v>1498</v>
      </c>
      <c r="J529" s="27" t="s">
        <v>408</v>
      </c>
      <c r="K529" s="27">
        <v>337</v>
      </c>
      <c r="L529" s="179">
        <v>7273</v>
      </c>
      <c r="M529" s="180" t="s">
        <v>1499</v>
      </c>
      <c r="N529" s="181" t="s">
        <v>441</v>
      </c>
      <c r="O529" s="182" t="s">
        <v>1500</v>
      </c>
    </row>
    <row r="530" spans="1:15" ht="12">
      <c r="A530" s="148"/>
      <c r="B530" s="186" t="s">
        <v>1098</v>
      </c>
      <c r="C530" s="175" t="s">
        <v>1683</v>
      </c>
      <c r="D530" s="176" t="s">
        <v>1684</v>
      </c>
      <c r="E530" s="177" t="s">
        <v>1099</v>
      </c>
      <c r="F530" s="175">
        <f t="shared" si="24"/>
        <v>12</v>
      </c>
      <c r="G530" s="175" t="str">
        <f t="shared" si="25"/>
        <v>Montpelier</v>
      </c>
      <c r="H530" s="175" t="str">
        <f t="shared" si="26"/>
        <v>Montpelier, VT</v>
      </c>
      <c r="I530" s="178" t="s">
        <v>1401</v>
      </c>
      <c r="J530" s="27" t="s">
        <v>1684</v>
      </c>
      <c r="K530" s="27">
        <v>388</v>
      </c>
      <c r="L530" s="179">
        <v>7771</v>
      </c>
      <c r="M530" s="180" t="s">
        <v>1402</v>
      </c>
      <c r="N530" s="181" t="s">
        <v>1684</v>
      </c>
      <c r="O530" s="182" t="s">
        <v>1403</v>
      </c>
    </row>
    <row r="531" spans="1:15" ht="12">
      <c r="A531" s="148"/>
      <c r="B531" s="174" t="s">
        <v>1100</v>
      </c>
      <c r="C531" s="175" t="s">
        <v>393</v>
      </c>
      <c r="D531" s="176" t="s">
        <v>394</v>
      </c>
      <c r="E531" s="177" t="s">
        <v>1101</v>
      </c>
      <c r="F531" s="175">
        <f t="shared" si="24"/>
        <v>10</v>
      </c>
      <c r="G531" s="175" t="str">
        <f t="shared" si="25"/>
        <v>Montrose</v>
      </c>
      <c r="H531" s="175" t="str">
        <f t="shared" si="26"/>
        <v>Montrose, CO</v>
      </c>
      <c r="I531" s="178" t="s">
        <v>1815</v>
      </c>
      <c r="J531" s="27" t="s">
        <v>394</v>
      </c>
      <c r="K531" s="27">
        <v>1183</v>
      </c>
      <c r="L531" s="179">
        <v>5548</v>
      </c>
      <c r="M531" s="178" t="s">
        <v>1816</v>
      </c>
      <c r="N531" s="27" t="s">
        <v>394</v>
      </c>
      <c r="O531" s="182" t="s">
        <v>1817</v>
      </c>
    </row>
    <row r="532" spans="1:15" ht="12">
      <c r="A532" s="148"/>
      <c r="B532" s="174" t="s">
        <v>1102</v>
      </c>
      <c r="C532" s="175" t="s">
        <v>440</v>
      </c>
      <c r="D532" s="176" t="s">
        <v>441</v>
      </c>
      <c r="E532" s="177" t="s">
        <v>1101</v>
      </c>
      <c r="F532" s="175">
        <f t="shared" si="24"/>
        <v>10</v>
      </c>
      <c r="G532" s="175" t="str">
        <f t="shared" si="25"/>
        <v>Montrose</v>
      </c>
      <c r="H532" s="175" t="str">
        <f t="shared" si="26"/>
        <v>Montrose, PA</v>
      </c>
      <c r="I532" s="178" t="s">
        <v>1498</v>
      </c>
      <c r="J532" s="27" t="s">
        <v>408</v>
      </c>
      <c r="K532" s="27">
        <v>337</v>
      </c>
      <c r="L532" s="179">
        <v>7273</v>
      </c>
      <c r="M532" s="180" t="s">
        <v>1499</v>
      </c>
      <c r="N532" s="181" t="s">
        <v>441</v>
      </c>
      <c r="O532" s="182" t="s">
        <v>1500</v>
      </c>
    </row>
    <row r="533" spans="1:15" ht="12">
      <c r="A533" s="148"/>
      <c r="B533" s="174" t="s">
        <v>1103</v>
      </c>
      <c r="C533" s="175" t="s">
        <v>1678</v>
      </c>
      <c r="D533" s="176" t="s">
        <v>1591</v>
      </c>
      <c r="E533" s="177" t="s">
        <v>1104</v>
      </c>
      <c r="F533" s="175">
        <f t="shared" si="24"/>
        <v>12</v>
      </c>
      <c r="G533" s="175" t="str">
        <f t="shared" si="25"/>
        <v>Morgantown</v>
      </c>
      <c r="H533" s="175" t="str">
        <f t="shared" si="26"/>
        <v>Morgantown, WV</v>
      </c>
      <c r="I533" s="178" t="s">
        <v>455</v>
      </c>
      <c r="J533" s="27" t="s">
        <v>441</v>
      </c>
      <c r="K533" s="27">
        <v>654</v>
      </c>
      <c r="L533" s="179">
        <v>5968</v>
      </c>
      <c r="M533" s="180" t="s">
        <v>456</v>
      </c>
      <c r="N533" s="181" t="s">
        <v>441</v>
      </c>
      <c r="O533" s="182" t="s">
        <v>457</v>
      </c>
    </row>
    <row r="534" spans="1:15" ht="12">
      <c r="A534" s="148"/>
      <c r="B534" s="174" t="s">
        <v>1105</v>
      </c>
      <c r="C534" s="175" t="s">
        <v>2363</v>
      </c>
      <c r="D534" s="176" t="s">
        <v>2364</v>
      </c>
      <c r="E534" s="177" t="s">
        <v>1106</v>
      </c>
      <c r="F534" s="175">
        <f t="shared" si="24"/>
        <v>8</v>
      </c>
      <c r="G534" s="175" t="str">
        <f t="shared" si="25"/>
        <v>Muncie</v>
      </c>
      <c r="H534" s="175" t="str">
        <f t="shared" si="26"/>
        <v>Muncie, IN</v>
      </c>
      <c r="I534" s="178" t="s">
        <v>1755</v>
      </c>
      <c r="J534" s="27" t="s">
        <v>386</v>
      </c>
      <c r="K534" s="27">
        <v>886</v>
      </c>
      <c r="L534" s="179">
        <v>5708</v>
      </c>
      <c r="M534" s="180" t="s">
        <v>1752</v>
      </c>
      <c r="N534" s="181" t="s">
        <v>386</v>
      </c>
      <c r="O534" s="182" t="s">
        <v>1753</v>
      </c>
    </row>
    <row r="535" spans="1:15" ht="12">
      <c r="A535" s="148"/>
      <c r="B535" s="174" t="s">
        <v>1107</v>
      </c>
      <c r="C535" s="175" t="s">
        <v>480</v>
      </c>
      <c r="D535" s="176" t="s">
        <v>481</v>
      </c>
      <c r="E535" s="177" t="s">
        <v>1108</v>
      </c>
      <c r="F535" s="175">
        <f t="shared" si="24"/>
        <v>10</v>
      </c>
      <c r="G535" s="175" t="str">
        <f t="shared" si="25"/>
        <v>Muskegon</v>
      </c>
      <c r="H535" s="175" t="str">
        <f t="shared" si="26"/>
        <v>Muskegon, MI</v>
      </c>
      <c r="I535" s="178" t="s">
        <v>2100</v>
      </c>
      <c r="J535" s="27" t="s">
        <v>481</v>
      </c>
      <c r="K535" s="27">
        <v>431</v>
      </c>
      <c r="L535" s="179">
        <v>6924</v>
      </c>
      <c r="M535" s="180" t="s">
        <v>2101</v>
      </c>
      <c r="N535" s="181" t="s">
        <v>481</v>
      </c>
      <c r="O535" s="182" t="s">
        <v>2102</v>
      </c>
    </row>
    <row r="536" spans="1:15" ht="12">
      <c r="A536" s="148"/>
      <c r="B536" s="174" t="s">
        <v>1109</v>
      </c>
      <c r="C536" s="175" t="s">
        <v>500</v>
      </c>
      <c r="D536" s="176" t="s">
        <v>501</v>
      </c>
      <c r="E536" s="177" t="s">
        <v>1110</v>
      </c>
      <c r="F536" s="175">
        <f t="shared" si="24"/>
        <v>10</v>
      </c>
      <c r="G536" s="175" t="str">
        <f t="shared" si="25"/>
        <v>Muskogee</v>
      </c>
      <c r="H536" s="175" t="str">
        <f t="shared" si="26"/>
        <v>Muskogee, OK</v>
      </c>
      <c r="I536" s="178" t="s">
        <v>2026</v>
      </c>
      <c r="J536" s="27" t="s">
        <v>1651</v>
      </c>
      <c r="K536" s="27">
        <v>1894</v>
      </c>
      <c r="L536" s="179">
        <v>3478</v>
      </c>
      <c r="M536" s="178" t="s">
        <v>2027</v>
      </c>
      <c r="N536" s="27" t="s">
        <v>1651</v>
      </c>
      <c r="O536" s="182" t="s">
        <v>2028</v>
      </c>
    </row>
    <row r="537" spans="1:15" ht="12">
      <c r="A537" s="148"/>
      <c r="B537" s="174" t="s">
        <v>1111</v>
      </c>
      <c r="C537" s="175" t="s">
        <v>385</v>
      </c>
      <c r="D537" s="176" t="s">
        <v>386</v>
      </c>
      <c r="E537" s="177" t="s">
        <v>1112</v>
      </c>
      <c r="F537" s="175">
        <f t="shared" si="24"/>
        <v>10</v>
      </c>
      <c r="G537" s="175" t="str">
        <f t="shared" si="25"/>
        <v>Napoleon</v>
      </c>
      <c r="H537" s="175" t="str">
        <f t="shared" si="26"/>
        <v>Napoleon, OH</v>
      </c>
      <c r="I537" s="178" t="s">
        <v>2035</v>
      </c>
      <c r="J537" s="27" t="s">
        <v>2364</v>
      </c>
      <c r="K537" s="27">
        <v>824</v>
      </c>
      <c r="L537" s="179">
        <v>6273</v>
      </c>
      <c r="M537" s="178" t="s">
        <v>2032</v>
      </c>
      <c r="N537" s="27" t="s">
        <v>2364</v>
      </c>
      <c r="O537" s="182" t="s">
        <v>2033</v>
      </c>
    </row>
    <row r="538" spans="1:15" ht="12">
      <c r="A538" s="148"/>
      <c r="B538" s="174" t="s">
        <v>1113</v>
      </c>
      <c r="C538" s="175" t="s">
        <v>2457</v>
      </c>
      <c r="D538" s="176" t="s">
        <v>476</v>
      </c>
      <c r="E538" s="177" t="s">
        <v>1114</v>
      </c>
      <c r="F538" s="175">
        <f t="shared" si="24"/>
        <v>11</v>
      </c>
      <c r="G538" s="175" t="str">
        <f t="shared" si="25"/>
        <v>Nashville</v>
      </c>
      <c r="H538" s="175" t="str">
        <f t="shared" si="26"/>
        <v>Nashville, TN</v>
      </c>
      <c r="I538" s="178" t="s">
        <v>1584</v>
      </c>
      <c r="J538" s="27" t="s">
        <v>476</v>
      </c>
      <c r="K538" s="27">
        <v>1616</v>
      </c>
      <c r="L538" s="179">
        <v>3729</v>
      </c>
      <c r="M538" s="180" t="s">
        <v>1585</v>
      </c>
      <c r="N538" s="181" t="s">
        <v>476</v>
      </c>
      <c r="O538" s="182" t="s">
        <v>577</v>
      </c>
    </row>
    <row r="539" spans="1:15" ht="12">
      <c r="A539" s="148"/>
      <c r="B539" s="174" t="s">
        <v>1115</v>
      </c>
      <c r="C539" s="175" t="s">
        <v>2457</v>
      </c>
      <c r="D539" s="176" t="s">
        <v>476</v>
      </c>
      <c r="E539" s="177" t="s">
        <v>1114</v>
      </c>
      <c r="F539" s="175">
        <f t="shared" si="24"/>
        <v>11</v>
      </c>
      <c r="G539" s="175" t="str">
        <f t="shared" si="25"/>
        <v>Nashville</v>
      </c>
      <c r="H539" s="175" t="str">
        <f t="shared" si="26"/>
        <v>Nashville, TN</v>
      </c>
      <c r="I539" s="178" t="s">
        <v>1584</v>
      </c>
      <c r="J539" s="27" t="s">
        <v>476</v>
      </c>
      <c r="K539" s="27">
        <v>1616</v>
      </c>
      <c r="L539" s="179">
        <v>3729</v>
      </c>
      <c r="M539" s="180" t="s">
        <v>1585</v>
      </c>
      <c r="N539" s="181" t="s">
        <v>476</v>
      </c>
      <c r="O539" s="182" t="s">
        <v>577</v>
      </c>
    </row>
    <row r="540" spans="1:15" ht="12">
      <c r="A540" s="148"/>
      <c r="B540" s="174" t="s">
        <v>1116</v>
      </c>
      <c r="C540" s="175" t="s">
        <v>2457</v>
      </c>
      <c r="D540" s="176" t="s">
        <v>476</v>
      </c>
      <c r="E540" s="177" t="s">
        <v>1114</v>
      </c>
      <c r="F540" s="175">
        <f t="shared" si="24"/>
        <v>11</v>
      </c>
      <c r="G540" s="175" t="str">
        <f t="shared" si="25"/>
        <v>Nashville</v>
      </c>
      <c r="H540" s="175" t="str">
        <f t="shared" si="26"/>
        <v>Nashville, TN</v>
      </c>
      <c r="I540" s="178" t="s">
        <v>1584</v>
      </c>
      <c r="J540" s="27" t="s">
        <v>476</v>
      </c>
      <c r="K540" s="27">
        <v>1616</v>
      </c>
      <c r="L540" s="179">
        <v>3729</v>
      </c>
      <c r="M540" s="180" t="s">
        <v>1585</v>
      </c>
      <c r="N540" s="181" t="s">
        <v>476</v>
      </c>
      <c r="O540" s="182" t="s">
        <v>577</v>
      </c>
    </row>
    <row r="541" spans="1:15" ht="12">
      <c r="A541" s="148"/>
      <c r="B541" s="174" t="s">
        <v>1117</v>
      </c>
      <c r="C541" s="175" t="s">
        <v>2363</v>
      </c>
      <c r="D541" s="176" t="s">
        <v>2364</v>
      </c>
      <c r="E541" s="177" t="s">
        <v>1118</v>
      </c>
      <c r="F541" s="175">
        <f t="shared" si="24"/>
        <v>12</v>
      </c>
      <c r="G541" s="175" t="str">
        <f t="shared" si="25"/>
        <v>New Albany</v>
      </c>
      <c r="H541" s="175" t="str">
        <f t="shared" si="26"/>
        <v>New Albany, IN</v>
      </c>
      <c r="I541" s="178" t="s">
        <v>616</v>
      </c>
      <c r="J541" s="27" t="s">
        <v>517</v>
      </c>
      <c r="K541" s="27">
        <v>1288</v>
      </c>
      <c r="L541" s="179">
        <v>4514</v>
      </c>
      <c r="M541" s="180" t="s">
        <v>617</v>
      </c>
      <c r="N541" s="181" t="s">
        <v>517</v>
      </c>
      <c r="O541" s="182" t="s">
        <v>618</v>
      </c>
    </row>
    <row r="542" spans="1:15" ht="12">
      <c r="A542" s="148"/>
      <c r="B542" s="186" t="s">
        <v>1119</v>
      </c>
      <c r="C542" s="175" t="s">
        <v>2382</v>
      </c>
      <c r="D542" s="176" t="s">
        <v>2383</v>
      </c>
      <c r="E542" s="177" t="s">
        <v>1120</v>
      </c>
      <c r="F542" s="175">
        <f t="shared" si="24"/>
        <v>13</v>
      </c>
      <c r="G542" s="175" t="str">
        <f t="shared" si="25"/>
        <v>New Bedford</v>
      </c>
      <c r="H542" s="175" t="str">
        <f t="shared" si="26"/>
        <v>New Bedford, MA</v>
      </c>
      <c r="I542" s="178" t="s">
        <v>2352</v>
      </c>
      <c r="J542" s="27" t="s">
        <v>2353</v>
      </c>
      <c r="K542" s="27">
        <v>606</v>
      </c>
      <c r="L542" s="179">
        <v>5884</v>
      </c>
      <c r="M542" s="180" t="s">
        <v>2354</v>
      </c>
      <c r="N542" s="181" t="s">
        <v>2353</v>
      </c>
      <c r="O542" s="182" t="s">
        <v>2355</v>
      </c>
    </row>
    <row r="543" spans="1:15" ht="12">
      <c r="A543" s="148"/>
      <c r="B543" s="186" t="s">
        <v>1121</v>
      </c>
      <c r="C543" s="175" t="s">
        <v>1609</v>
      </c>
      <c r="D543" s="176" t="s">
        <v>1610</v>
      </c>
      <c r="E543" s="177" t="s">
        <v>1122</v>
      </c>
      <c r="F543" s="175">
        <f t="shared" si="24"/>
        <v>15</v>
      </c>
      <c r="G543" s="175" t="str">
        <f t="shared" si="25"/>
        <v>New Brunswick</v>
      </c>
      <c r="H543" s="175" t="str">
        <f t="shared" si="26"/>
        <v>New Brunswick, NJ</v>
      </c>
      <c r="I543" s="178" t="s">
        <v>52</v>
      </c>
      <c r="J543" s="27" t="s">
        <v>1610</v>
      </c>
      <c r="K543" s="27">
        <v>1201</v>
      </c>
      <c r="L543" s="179">
        <v>4888</v>
      </c>
      <c r="M543" s="180" t="s">
        <v>53</v>
      </c>
      <c r="N543" s="181" t="s">
        <v>1610</v>
      </c>
      <c r="O543" s="182" t="s">
        <v>54</v>
      </c>
    </row>
    <row r="544" spans="1:15" ht="12">
      <c r="A544" s="148"/>
      <c r="B544" s="186" t="s">
        <v>1123</v>
      </c>
      <c r="C544" s="175" t="s">
        <v>1609</v>
      </c>
      <c r="D544" s="176" t="s">
        <v>1610</v>
      </c>
      <c r="E544" s="177" t="s">
        <v>1122</v>
      </c>
      <c r="F544" s="175">
        <f t="shared" si="24"/>
        <v>15</v>
      </c>
      <c r="G544" s="175" t="str">
        <f t="shared" si="25"/>
        <v>New Brunswick</v>
      </c>
      <c r="H544" s="175" t="str">
        <f t="shared" si="26"/>
        <v>New Brunswick, NJ</v>
      </c>
      <c r="I544" s="178" t="s">
        <v>52</v>
      </c>
      <c r="J544" s="27" t="s">
        <v>1610</v>
      </c>
      <c r="K544" s="27">
        <v>1201</v>
      </c>
      <c r="L544" s="179">
        <v>4888</v>
      </c>
      <c r="M544" s="180" t="s">
        <v>53</v>
      </c>
      <c r="N544" s="181" t="s">
        <v>1610</v>
      </c>
      <c r="O544" s="182" t="s">
        <v>54</v>
      </c>
    </row>
    <row r="545" spans="1:15" ht="12">
      <c r="A545" s="148"/>
      <c r="B545" s="174" t="s">
        <v>1124</v>
      </c>
      <c r="C545" s="175" t="s">
        <v>440</v>
      </c>
      <c r="D545" s="176" t="s">
        <v>441</v>
      </c>
      <c r="E545" s="177" t="s">
        <v>1125</v>
      </c>
      <c r="F545" s="175">
        <f t="shared" si="24"/>
        <v>12</v>
      </c>
      <c r="G545" s="175" t="str">
        <f t="shared" si="25"/>
        <v>New Castle</v>
      </c>
      <c r="H545" s="175" t="str">
        <f t="shared" si="26"/>
        <v>New Castle, PA</v>
      </c>
      <c r="I545" s="178" t="s">
        <v>455</v>
      </c>
      <c r="J545" s="27" t="s">
        <v>441</v>
      </c>
      <c r="K545" s="27">
        <v>654</v>
      </c>
      <c r="L545" s="179">
        <v>5968</v>
      </c>
      <c r="M545" s="180" t="s">
        <v>456</v>
      </c>
      <c r="N545" s="181" t="s">
        <v>441</v>
      </c>
      <c r="O545" s="182" t="s">
        <v>457</v>
      </c>
    </row>
    <row r="546" spans="1:15" ht="12">
      <c r="A546" s="148"/>
      <c r="B546" s="186" t="s">
        <v>1126</v>
      </c>
      <c r="C546" s="175" t="s">
        <v>643</v>
      </c>
      <c r="D546" s="176" t="s">
        <v>644</v>
      </c>
      <c r="E546" s="177" t="s">
        <v>1127</v>
      </c>
      <c r="F546" s="175">
        <f t="shared" si="24"/>
        <v>11</v>
      </c>
      <c r="G546" s="175" t="str">
        <f t="shared" si="25"/>
        <v>New Haven</v>
      </c>
      <c r="H546" s="175" t="str">
        <f t="shared" si="26"/>
        <v>New Haven, CT</v>
      </c>
      <c r="I546" s="178" t="s">
        <v>714</v>
      </c>
      <c r="J546" s="27" t="s">
        <v>644</v>
      </c>
      <c r="K546" s="27">
        <v>677</v>
      </c>
      <c r="L546" s="179">
        <v>6151</v>
      </c>
      <c r="M546" s="178" t="s">
        <v>711</v>
      </c>
      <c r="N546" s="27" t="s">
        <v>644</v>
      </c>
      <c r="O546" s="182" t="s">
        <v>712</v>
      </c>
    </row>
    <row r="547" spans="1:15" ht="12">
      <c r="A547" s="148"/>
      <c r="B547" s="186" t="s">
        <v>1128</v>
      </c>
      <c r="C547" s="175" t="s">
        <v>643</v>
      </c>
      <c r="D547" s="176" t="s">
        <v>644</v>
      </c>
      <c r="E547" s="177" t="s">
        <v>1127</v>
      </c>
      <c r="F547" s="175">
        <f t="shared" si="24"/>
        <v>11</v>
      </c>
      <c r="G547" s="175" t="str">
        <f t="shared" si="25"/>
        <v>New Haven</v>
      </c>
      <c r="H547" s="175" t="str">
        <f t="shared" si="26"/>
        <v>New Haven, CT</v>
      </c>
      <c r="I547" s="178" t="s">
        <v>714</v>
      </c>
      <c r="J547" s="27" t="s">
        <v>644</v>
      </c>
      <c r="K547" s="27">
        <v>677</v>
      </c>
      <c r="L547" s="179">
        <v>6151</v>
      </c>
      <c r="M547" s="178" t="s">
        <v>711</v>
      </c>
      <c r="N547" s="27" t="s">
        <v>644</v>
      </c>
      <c r="O547" s="182" t="s">
        <v>712</v>
      </c>
    </row>
    <row r="548" spans="1:15" ht="12">
      <c r="A548" s="148"/>
      <c r="B548" s="186" t="s">
        <v>1129</v>
      </c>
      <c r="C548" s="175" t="s">
        <v>643</v>
      </c>
      <c r="D548" s="176" t="s">
        <v>644</v>
      </c>
      <c r="E548" s="177" t="s">
        <v>1130</v>
      </c>
      <c r="F548" s="175">
        <f t="shared" si="24"/>
        <v>12</v>
      </c>
      <c r="G548" s="175" t="str">
        <f t="shared" si="25"/>
        <v>New London</v>
      </c>
      <c r="H548" s="175" t="str">
        <f t="shared" si="26"/>
        <v>New London, CT</v>
      </c>
      <c r="I548" s="178" t="s">
        <v>2352</v>
      </c>
      <c r="J548" s="27" t="s">
        <v>2353</v>
      </c>
      <c r="K548" s="27">
        <v>606</v>
      </c>
      <c r="L548" s="179">
        <v>5884</v>
      </c>
      <c r="M548" s="180" t="s">
        <v>2354</v>
      </c>
      <c r="N548" s="181" t="s">
        <v>2353</v>
      </c>
      <c r="O548" s="182" t="s">
        <v>2355</v>
      </c>
    </row>
    <row r="549" spans="1:15" ht="12">
      <c r="A549" s="148"/>
      <c r="B549" s="174" t="s">
        <v>1131</v>
      </c>
      <c r="C549" s="175" t="s">
        <v>281</v>
      </c>
      <c r="D549" s="176" t="s">
        <v>282</v>
      </c>
      <c r="E549" s="177" t="s">
        <v>1132</v>
      </c>
      <c r="F549" s="175">
        <f t="shared" si="24"/>
        <v>13</v>
      </c>
      <c r="G549" s="175" t="str">
        <f t="shared" si="25"/>
        <v>New Orleans</v>
      </c>
      <c r="H549" s="175" t="str">
        <f t="shared" si="26"/>
        <v>New Orleans, LA</v>
      </c>
      <c r="I549" s="178" t="s">
        <v>2143</v>
      </c>
      <c r="J549" s="27" t="s">
        <v>282</v>
      </c>
      <c r="K549" s="27">
        <v>2655</v>
      </c>
      <c r="L549" s="179">
        <v>1513</v>
      </c>
      <c r="M549" s="180" t="s">
        <v>2144</v>
      </c>
      <c r="N549" s="181" t="s">
        <v>282</v>
      </c>
      <c r="O549" s="182" t="s">
        <v>2145</v>
      </c>
    </row>
    <row r="550" spans="1:15" ht="12">
      <c r="A550" s="148"/>
      <c r="B550" s="174" t="s">
        <v>1133</v>
      </c>
      <c r="C550" s="175" t="s">
        <v>281</v>
      </c>
      <c r="D550" s="176" t="s">
        <v>282</v>
      </c>
      <c r="E550" s="177" t="s">
        <v>1132</v>
      </c>
      <c r="F550" s="175">
        <f t="shared" si="24"/>
        <v>13</v>
      </c>
      <c r="G550" s="175" t="str">
        <f t="shared" si="25"/>
        <v>New Orleans</v>
      </c>
      <c r="H550" s="175" t="str">
        <f t="shared" si="26"/>
        <v>New Orleans, LA</v>
      </c>
      <c r="I550" s="178" t="s">
        <v>2143</v>
      </c>
      <c r="J550" s="27" t="s">
        <v>282</v>
      </c>
      <c r="K550" s="27">
        <v>2655</v>
      </c>
      <c r="L550" s="179">
        <v>1513</v>
      </c>
      <c r="M550" s="180" t="s">
        <v>2144</v>
      </c>
      <c r="N550" s="181" t="s">
        <v>282</v>
      </c>
      <c r="O550" s="182" t="s">
        <v>2145</v>
      </c>
    </row>
    <row r="551" spans="1:15" ht="12">
      <c r="A551" s="148"/>
      <c r="B551" s="174" t="s">
        <v>1134</v>
      </c>
      <c r="C551" s="175" t="s">
        <v>407</v>
      </c>
      <c r="D551" s="176" t="s">
        <v>408</v>
      </c>
      <c r="E551" s="177" t="s">
        <v>1135</v>
      </c>
      <c r="F551" s="175">
        <f t="shared" si="24"/>
        <v>14</v>
      </c>
      <c r="G551" s="175" t="str">
        <f t="shared" si="25"/>
        <v>New Rochelle</v>
      </c>
      <c r="H551" s="175" t="str">
        <f t="shared" si="26"/>
        <v>New Rochelle, NY</v>
      </c>
      <c r="I551" s="178" t="s">
        <v>2359</v>
      </c>
      <c r="J551" s="27" t="s">
        <v>408</v>
      </c>
      <c r="K551" s="27">
        <v>1052</v>
      </c>
      <c r="L551" s="179">
        <v>4910</v>
      </c>
      <c r="M551" s="180" t="s">
        <v>2360</v>
      </c>
      <c r="N551" s="181" t="s">
        <v>408</v>
      </c>
      <c r="O551" s="182" t="s">
        <v>1359</v>
      </c>
    </row>
    <row r="552" spans="1:15" ht="12">
      <c r="A552" s="148"/>
      <c r="B552" s="174" t="s">
        <v>1136</v>
      </c>
      <c r="C552" s="175" t="s">
        <v>407</v>
      </c>
      <c r="D552" s="176" t="s">
        <v>408</v>
      </c>
      <c r="E552" s="177" t="s">
        <v>1137</v>
      </c>
      <c r="F552" s="175">
        <f t="shared" si="24"/>
        <v>10</v>
      </c>
      <c r="G552" s="175" t="str">
        <f t="shared" si="25"/>
        <v>New York</v>
      </c>
      <c r="H552" s="175" t="str">
        <f t="shared" si="26"/>
        <v>New York, NY</v>
      </c>
      <c r="I552" s="178" t="s">
        <v>1138</v>
      </c>
      <c r="J552" s="27" t="s">
        <v>408</v>
      </c>
      <c r="K552" s="27">
        <v>1096</v>
      </c>
      <c r="L552" s="179">
        <v>4805</v>
      </c>
      <c r="M552" s="180" t="s">
        <v>2360</v>
      </c>
      <c r="N552" s="181" t="s">
        <v>408</v>
      </c>
      <c r="O552" s="182" t="s">
        <v>1359</v>
      </c>
    </row>
    <row r="553" spans="1:15" ht="12">
      <c r="A553" s="148"/>
      <c r="B553" s="174" t="s">
        <v>1139</v>
      </c>
      <c r="C553" s="175" t="s">
        <v>407</v>
      </c>
      <c r="D553" s="176" t="s">
        <v>408</v>
      </c>
      <c r="E553" s="177" t="s">
        <v>1137</v>
      </c>
      <c r="F553" s="175">
        <f t="shared" si="24"/>
        <v>10</v>
      </c>
      <c r="G553" s="175" t="str">
        <f t="shared" si="25"/>
        <v>New York</v>
      </c>
      <c r="H553" s="175" t="str">
        <f t="shared" si="26"/>
        <v>New York, NY</v>
      </c>
      <c r="I553" s="178" t="s">
        <v>1138</v>
      </c>
      <c r="J553" s="27" t="s">
        <v>408</v>
      </c>
      <c r="K553" s="27">
        <v>1096</v>
      </c>
      <c r="L553" s="179">
        <v>4805</v>
      </c>
      <c r="M553" s="180" t="s">
        <v>2360</v>
      </c>
      <c r="N553" s="181" t="s">
        <v>408</v>
      </c>
      <c r="O553" s="182" t="s">
        <v>1359</v>
      </c>
    </row>
    <row r="554" spans="1:15" ht="12">
      <c r="A554" s="148"/>
      <c r="B554" s="174" t="s">
        <v>1140</v>
      </c>
      <c r="C554" s="175" t="s">
        <v>407</v>
      </c>
      <c r="D554" s="176" t="s">
        <v>408</v>
      </c>
      <c r="E554" s="177" t="s">
        <v>1137</v>
      </c>
      <c r="F554" s="175">
        <f t="shared" si="24"/>
        <v>10</v>
      </c>
      <c r="G554" s="175" t="str">
        <f t="shared" si="25"/>
        <v>New York</v>
      </c>
      <c r="H554" s="175" t="str">
        <f t="shared" si="26"/>
        <v>New York, NY</v>
      </c>
      <c r="I554" s="178" t="s">
        <v>1138</v>
      </c>
      <c r="J554" s="27" t="s">
        <v>408</v>
      </c>
      <c r="K554" s="27">
        <v>1096</v>
      </c>
      <c r="L554" s="179">
        <v>4805</v>
      </c>
      <c r="M554" s="180" t="s">
        <v>2360</v>
      </c>
      <c r="N554" s="181" t="s">
        <v>408</v>
      </c>
      <c r="O554" s="182" t="s">
        <v>1359</v>
      </c>
    </row>
    <row r="555" spans="1:15" ht="12">
      <c r="A555" s="148"/>
      <c r="B555" s="186" t="s">
        <v>1141</v>
      </c>
      <c r="C555" s="175" t="s">
        <v>1609</v>
      </c>
      <c r="D555" s="176" t="s">
        <v>1610</v>
      </c>
      <c r="E555" s="177" t="s">
        <v>1142</v>
      </c>
      <c r="F555" s="175">
        <f t="shared" si="24"/>
        <v>8</v>
      </c>
      <c r="G555" s="175" t="str">
        <f t="shared" si="25"/>
        <v>Newark</v>
      </c>
      <c r="H555" s="175" t="str">
        <f t="shared" si="26"/>
        <v>Newark, NJ</v>
      </c>
      <c r="I555" s="178" t="s">
        <v>2359</v>
      </c>
      <c r="J555" s="27" t="s">
        <v>408</v>
      </c>
      <c r="K555" s="27">
        <v>1052</v>
      </c>
      <c r="L555" s="179">
        <v>4910</v>
      </c>
      <c r="M555" s="180" t="s">
        <v>53</v>
      </c>
      <c r="N555" s="181" t="s">
        <v>1610</v>
      </c>
      <c r="O555" s="182" t="s">
        <v>54</v>
      </c>
    </row>
    <row r="556" spans="1:15" ht="12">
      <c r="A556" s="148"/>
      <c r="B556" s="186" t="s">
        <v>1143</v>
      </c>
      <c r="C556" s="175" t="s">
        <v>1609</v>
      </c>
      <c r="D556" s="176" t="s">
        <v>1610</v>
      </c>
      <c r="E556" s="177" t="s">
        <v>1142</v>
      </c>
      <c r="F556" s="175">
        <f t="shared" si="24"/>
        <v>8</v>
      </c>
      <c r="G556" s="175" t="str">
        <f t="shared" si="25"/>
        <v>Newark</v>
      </c>
      <c r="H556" s="175" t="str">
        <f t="shared" si="26"/>
        <v>Newark, NJ</v>
      </c>
      <c r="I556" s="178" t="s">
        <v>52</v>
      </c>
      <c r="J556" s="27" t="s">
        <v>1610</v>
      </c>
      <c r="K556" s="27">
        <v>1201</v>
      </c>
      <c r="L556" s="179">
        <v>4888</v>
      </c>
      <c r="M556" s="180" t="s">
        <v>53</v>
      </c>
      <c r="N556" s="181" t="s">
        <v>1610</v>
      </c>
      <c r="O556" s="182" t="s">
        <v>54</v>
      </c>
    </row>
    <row r="557" spans="1:15" ht="12">
      <c r="A557" s="148"/>
      <c r="B557" s="174" t="s">
        <v>1144</v>
      </c>
      <c r="C557" s="175" t="s">
        <v>516</v>
      </c>
      <c r="D557" s="176" t="s">
        <v>517</v>
      </c>
      <c r="E557" s="177" t="s">
        <v>132</v>
      </c>
      <c r="F557" s="175">
        <f t="shared" si="24"/>
        <v>9</v>
      </c>
      <c r="G557" s="175" t="str">
        <f t="shared" si="25"/>
        <v>Newport</v>
      </c>
      <c r="H557" s="175" t="str">
        <f t="shared" si="26"/>
        <v>Newport, KY</v>
      </c>
      <c r="I557" s="178" t="s">
        <v>2488</v>
      </c>
      <c r="J557" s="27" t="s">
        <v>517</v>
      </c>
      <c r="K557" s="27">
        <v>996</v>
      </c>
      <c r="L557" s="179">
        <v>5248</v>
      </c>
      <c r="M557" s="180" t="s">
        <v>2489</v>
      </c>
      <c r="N557" s="181" t="s">
        <v>386</v>
      </c>
      <c r="O557" s="182" t="s">
        <v>2490</v>
      </c>
    </row>
    <row r="558" spans="1:15" ht="12">
      <c r="A558" s="148"/>
      <c r="B558" s="174" t="s">
        <v>133</v>
      </c>
      <c r="C558" s="175" t="s">
        <v>407</v>
      </c>
      <c r="D558" s="176" t="s">
        <v>408</v>
      </c>
      <c r="E558" s="177" t="s">
        <v>134</v>
      </c>
      <c r="F558" s="175">
        <f t="shared" si="24"/>
        <v>15</v>
      </c>
      <c r="G558" s="175" t="str">
        <f t="shared" si="25"/>
        <v>Niagara Falls</v>
      </c>
      <c r="H558" s="175" t="str">
        <f t="shared" si="26"/>
        <v>Niagara Falls, NY</v>
      </c>
      <c r="I558" s="178" t="s">
        <v>1388</v>
      </c>
      <c r="J558" s="27" t="s">
        <v>408</v>
      </c>
      <c r="K558" s="27">
        <v>477</v>
      </c>
      <c r="L558" s="179">
        <v>6747</v>
      </c>
      <c r="M558" s="180" t="s">
        <v>1389</v>
      </c>
      <c r="N558" s="181" t="s">
        <v>408</v>
      </c>
      <c r="O558" s="182" t="s">
        <v>1390</v>
      </c>
    </row>
    <row r="559" spans="1:15" ht="12">
      <c r="A559" s="148"/>
      <c r="B559" s="174" t="s">
        <v>135</v>
      </c>
      <c r="C559" s="175" t="s">
        <v>447</v>
      </c>
      <c r="D559" s="176" t="s">
        <v>448</v>
      </c>
      <c r="E559" s="177" t="s">
        <v>136</v>
      </c>
      <c r="F559" s="175">
        <f t="shared" si="24"/>
        <v>9</v>
      </c>
      <c r="G559" s="175" t="str">
        <f t="shared" si="25"/>
        <v>Norfolk</v>
      </c>
      <c r="H559" s="175" t="str">
        <f t="shared" si="26"/>
        <v>Norfolk, NE</v>
      </c>
      <c r="I559" s="178" t="s">
        <v>1189</v>
      </c>
      <c r="J559" s="27" t="s">
        <v>448</v>
      </c>
      <c r="K559" s="27">
        <v>877</v>
      </c>
      <c r="L559" s="179">
        <v>6873</v>
      </c>
      <c r="M559" s="178" t="s">
        <v>1459</v>
      </c>
      <c r="N559" s="27" t="s">
        <v>1395</v>
      </c>
      <c r="O559" s="182" t="s">
        <v>1460</v>
      </c>
    </row>
    <row r="560" spans="1:15" ht="12">
      <c r="A560" s="148"/>
      <c r="B560" s="174" t="s">
        <v>1190</v>
      </c>
      <c r="C560" s="175" t="s">
        <v>425</v>
      </c>
      <c r="D560" s="176" t="s">
        <v>426</v>
      </c>
      <c r="E560" s="177" t="s">
        <v>136</v>
      </c>
      <c r="F560" s="175">
        <f t="shared" si="24"/>
        <v>9</v>
      </c>
      <c r="G560" s="175" t="str">
        <f t="shared" si="25"/>
        <v>Norfolk</v>
      </c>
      <c r="H560" s="175" t="str">
        <f t="shared" si="26"/>
        <v>Norfolk, VA</v>
      </c>
      <c r="I560" s="178" t="s">
        <v>47</v>
      </c>
      <c r="J560" s="27" t="s">
        <v>426</v>
      </c>
      <c r="K560" s="27">
        <v>1422</v>
      </c>
      <c r="L560" s="179">
        <v>3495</v>
      </c>
      <c r="M560" s="180" t="s">
        <v>48</v>
      </c>
      <c r="N560" s="181" t="s">
        <v>426</v>
      </c>
      <c r="O560" s="182" t="s">
        <v>49</v>
      </c>
    </row>
    <row r="561" spans="1:15" ht="12">
      <c r="A561" s="148"/>
      <c r="B561" s="174" t="s">
        <v>1191</v>
      </c>
      <c r="C561" s="175" t="s">
        <v>425</v>
      </c>
      <c r="D561" s="176" t="s">
        <v>426</v>
      </c>
      <c r="E561" s="177" t="s">
        <v>136</v>
      </c>
      <c r="F561" s="175">
        <f t="shared" si="24"/>
        <v>9</v>
      </c>
      <c r="G561" s="175" t="str">
        <f t="shared" si="25"/>
        <v>Norfolk</v>
      </c>
      <c r="H561" s="175" t="str">
        <f t="shared" si="26"/>
        <v>Norfolk, VA</v>
      </c>
      <c r="I561" s="178" t="s">
        <v>47</v>
      </c>
      <c r="J561" s="27" t="s">
        <v>426</v>
      </c>
      <c r="K561" s="27">
        <v>1422</v>
      </c>
      <c r="L561" s="179">
        <v>3495</v>
      </c>
      <c r="M561" s="180" t="s">
        <v>48</v>
      </c>
      <c r="N561" s="181" t="s">
        <v>426</v>
      </c>
      <c r="O561" s="182" t="s">
        <v>49</v>
      </c>
    </row>
    <row r="562" spans="1:15" ht="12">
      <c r="A562" s="148"/>
      <c r="B562" s="174" t="s">
        <v>1192</v>
      </c>
      <c r="C562" s="175" t="s">
        <v>425</v>
      </c>
      <c r="D562" s="176" t="s">
        <v>426</v>
      </c>
      <c r="E562" s="177" t="s">
        <v>136</v>
      </c>
      <c r="F562" s="175">
        <f t="shared" si="24"/>
        <v>9</v>
      </c>
      <c r="G562" s="175" t="str">
        <f t="shared" si="25"/>
        <v>Norfolk</v>
      </c>
      <c r="H562" s="175" t="str">
        <f t="shared" si="26"/>
        <v>Norfolk, VA</v>
      </c>
      <c r="I562" s="178" t="s">
        <v>47</v>
      </c>
      <c r="J562" s="27" t="s">
        <v>426</v>
      </c>
      <c r="K562" s="27">
        <v>1422</v>
      </c>
      <c r="L562" s="179">
        <v>3495</v>
      </c>
      <c r="M562" s="180" t="s">
        <v>48</v>
      </c>
      <c r="N562" s="181" t="s">
        <v>426</v>
      </c>
      <c r="O562" s="182" t="s">
        <v>49</v>
      </c>
    </row>
    <row r="563" spans="1:15" ht="12">
      <c r="A563" s="148"/>
      <c r="B563" s="174" t="s">
        <v>1193</v>
      </c>
      <c r="C563" s="175" t="s">
        <v>425</v>
      </c>
      <c r="D563" s="176" t="s">
        <v>426</v>
      </c>
      <c r="E563" s="177" t="s">
        <v>136</v>
      </c>
      <c r="F563" s="175">
        <f t="shared" si="24"/>
        <v>9</v>
      </c>
      <c r="G563" s="175" t="str">
        <f t="shared" si="25"/>
        <v>Norfolk</v>
      </c>
      <c r="H563" s="175" t="str">
        <f t="shared" si="26"/>
        <v>Norfolk, VA</v>
      </c>
      <c r="I563" s="178" t="s">
        <v>47</v>
      </c>
      <c r="J563" s="27" t="s">
        <v>426</v>
      </c>
      <c r="K563" s="27">
        <v>1422</v>
      </c>
      <c r="L563" s="179">
        <v>3495</v>
      </c>
      <c r="M563" s="180" t="s">
        <v>48</v>
      </c>
      <c r="N563" s="181" t="s">
        <v>426</v>
      </c>
      <c r="O563" s="182" t="s">
        <v>49</v>
      </c>
    </row>
    <row r="564" spans="1:15" ht="12">
      <c r="A564" s="148"/>
      <c r="B564" s="174" t="s">
        <v>1194</v>
      </c>
      <c r="C564" s="175" t="s">
        <v>1708</v>
      </c>
      <c r="D564" s="176" t="s">
        <v>1709</v>
      </c>
      <c r="E564" s="177" t="s">
        <v>1195</v>
      </c>
      <c r="F564" s="175">
        <f t="shared" si="24"/>
        <v>20</v>
      </c>
      <c r="G564" s="175" t="str">
        <f t="shared" si="25"/>
        <v>North Chicago Sub.</v>
      </c>
      <c r="H564" s="175" t="str">
        <f t="shared" si="26"/>
        <v>North Chicago Sub., IL</v>
      </c>
      <c r="I564" s="178" t="s">
        <v>1196</v>
      </c>
      <c r="J564" s="27" t="s">
        <v>1709</v>
      </c>
      <c r="K564" s="27">
        <v>702</v>
      </c>
      <c r="L564" s="179">
        <v>6969</v>
      </c>
      <c r="M564" s="178" t="s">
        <v>1197</v>
      </c>
      <c r="N564" s="27" t="s">
        <v>1709</v>
      </c>
      <c r="O564" s="182" t="s">
        <v>1198</v>
      </c>
    </row>
    <row r="565" spans="1:15" ht="12">
      <c r="A565" s="148"/>
      <c r="B565" s="174" t="s">
        <v>1199</v>
      </c>
      <c r="C565" s="175" t="s">
        <v>1708</v>
      </c>
      <c r="D565" s="176" t="s">
        <v>1709</v>
      </c>
      <c r="E565" s="177" t="s">
        <v>1195</v>
      </c>
      <c r="F565" s="175">
        <f t="shared" si="24"/>
        <v>20</v>
      </c>
      <c r="G565" s="175" t="str">
        <f t="shared" si="25"/>
        <v>North Chicago Sub.</v>
      </c>
      <c r="H565" s="175" t="str">
        <f t="shared" si="26"/>
        <v>North Chicago Sub., IL</v>
      </c>
      <c r="I565" s="178" t="s">
        <v>1196</v>
      </c>
      <c r="J565" s="27" t="s">
        <v>1709</v>
      </c>
      <c r="K565" s="27">
        <v>702</v>
      </c>
      <c r="L565" s="179">
        <v>6969</v>
      </c>
      <c r="M565" s="178" t="s">
        <v>1197</v>
      </c>
      <c r="N565" s="27" t="s">
        <v>1709</v>
      </c>
      <c r="O565" s="182" t="s">
        <v>1198</v>
      </c>
    </row>
    <row r="566" spans="1:15" ht="12">
      <c r="A566" s="148"/>
      <c r="B566" s="174" t="s">
        <v>1200</v>
      </c>
      <c r="C566" s="175" t="s">
        <v>433</v>
      </c>
      <c r="D566" s="176" t="s">
        <v>434</v>
      </c>
      <c r="E566" s="177" t="s">
        <v>1201</v>
      </c>
      <c r="F566" s="175">
        <f t="shared" si="24"/>
        <v>17</v>
      </c>
      <c r="G566" s="175" t="str">
        <f t="shared" si="25"/>
        <v>North Hollywood</v>
      </c>
      <c r="H566" s="175" t="str">
        <f t="shared" si="26"/>
        <v>North Hollywood, CA</v>
      </c>
      <c r="I566" s="178" t="s">
        <v>436</v>
      </c>
      <c r="J566" s="27" t="s">
        <v>434</v>
      </c>
      <c r="K566" s="27">
        <v>1537</v>
      </c>
      <c r="L566" s="179">
        <v>1154</v>
      </c>
      <c r="M566" s="178" t="s">
        <v>437</v>
      </c>
      <c r="N566" s="27" t="s">
        <v>434</v>
      </c>
      <c r="O566" s="182" t="s">
        <v>438</v>
      </c>
    </row>
    <row r="567" spans="1:15" ht="12">
      <c r="A567" s="148"/>
      <c r="B567" s="174" t="s">
        <v>1202</v>
      </c>
      <c r="C567" s="175" t="s">
        <v>447</v>
      </c>
      <c r="D567" s="176" t="s">
        <v>448</v>
      </c>
      <c r="E567" s="177" t="s">
        <v>1203</v>
      </c>
      <c r="F567" s="175">
        <f t="shared" si="24"/>
        <v>14</v>
      </c>
      <c r="G567" s="175" t="str">
        <f t="shared" si="25"/>
        <v>North_Platte</v>
      </c>
      <c r="H567" s="175" t="str">
        <f t="shared" si="26"/>
        <v>North_Platte, NE</v>
      </c>
      <c r="I567" s="178" t="s">
        <v>1204</v>
      </c>
      <c r="J567" s="27" t="s">
        <v>448</v>
      </c>
      <c r="K567" s="27">
        <v>713</v>
      </c>
      <c r="L567" s="179">
        <v>6859</v>
      </c>
      <c r="M567" s="180" t="s">
        <v>1205</v>
      </c>
      <c r="N567" s="181" t="s">
        <v>448</v>
      </c>
      <c r="O567" s="182" t="s">
        <v>1206</v>
      </c>
    </row>
    <row r="568" spans="1:15" ht="12">
      <c r="A568" s="148"/>
      <c r="B568" s="174" t="s">
        <v>1207</v>
      </c>
      <c r="C568" s="175" t="s">
        <v>425</v>
      </c>
      <c r="D568" s="176" t="s">
        <v>426</v>
      </c>
      <c r="E568" s="177" t="s">
        <v>1208</v>
      </c>
      <c r="F568" s="175">
        <f t="shared" si="24"/>
        <v>13</v>
      </c>
      <c r="G568" s="175" t="str">
        <f t="shared" si="25"/>
        <v>Northern VA</v>
      </c>
      <c r="H568" s="175" t="str">
        <f t="shared" si="26"/>
        <v>Northern VA, VA</v>
      </c>
      <c r="I568" s="178" t="s">
        <v>1737</v>
      </c>
      <c r="J568" s="27" t="s">
        <v>428</v>
      </c>
      <c r="K568" s="27">
        <v>973</v>
      </c>
      <c r="L568" s="179">
        <v>5006</v>
      </c>
      <c r="M568" s="180" t="s">
        <v>429</v>
      </c>
      <c r="N568" s="181" t="s">
        <v>430</v>
      </c>
      <c r="O568" s="182" t="s">
        <v>431</v>
      </c>
    </row>
    <row r="569" spans="1:15" ht="12">
      <c r="A569" s="148"/>
      <c r="B569" s="174" t="s">
        <v>1209</v>
      </c>
      <c r="C569" s="175" t="s">
        <v>425</v>
      </c>
      <c r="D569" s="176" t="s">
        <v>426</v>
      </c>
      <c r="E569" s="177" t="s">
        <v>1208</v>
      </c>
      <c r="F569" s="175">
        <f t="shared" si="24"/>
        <v>13</v>
      </c>
      <c r="G569" s="175" t="str">
        <f t="shared" si="25"/>
        <v>Northern VA</v>
      </c>
      <c r="H569" s="175" t="str">
        <f t="shared" si="26"/>
        <v>Northern VA, VA</v>
      </c>
      <c r="I569" s="178" t="s">
        <v>1737</v>
      </c>
      <c r="J569" s="27" t="s">
        <v>428</v>
      </c>
      <c r="K569" s="27">
        <v>973</v>
      </c>
      <c r="L569" s="179">
        <v>5006</v>
      </c>
      <c r="M569" s="180" t="s">
        <v>429</v>
      </c>
      <c r="N569" s="181" t="s">
        <v>430</v>
      </c>
      <c r="O569" s="182" t="s">
        <v>431</v>
      </c>
    </row>
    <row r="570" spans="1:15" ht="12">
      <c r="A570" s="148"/>
      <c r="B570" s="174" t="s">
        <v>1210</v>
      </c>
      <c r="C570" s="175" t="s">
        <v>1708</v>
      </c>
      <c r="D570" s="176" t="s">
        <v>1709</v>
      </c>
      <c r="E570" s="177" t="s">
        <v>1211</v>
      </c>
      <c r="F570" s="175">
        <f t="shared" si="24"/>
        <v>10</v>
      </c>
      <c r="G570" s="175" t="str">
        <f t="shared" si="25"/>
        <v>Oak Park</v>
      </c>
      <c r="H570" s="175" t="str">
        <f t="shared" si="26"/>
        <v>Oak Park, IL</v>
      </c>
      <c r="I570" s="178" t="s">
        <v>2473</v>
      </c>
      <c r="J570" s="27" t="s">
        <v>1709</v>
      </c>
      <c r="K570" s="27">
        <v>752</v>
      </c>
      <c r="L570" s="179">
        <v>6536</v>
      </c>
      <c r="M570" s="178" t="s">
        <v>2474</v>
      </c>
      <c r="N570" s="27" t="s">
        <v>1709</v>
      </c>
      <c r="O570" s="182" t="s">
        <v>2475</v>
      </c>
    </row>
    <row r="571" spans="1:15" ht="12">
      <c r="A571" s="148"/>
      <c r="B571" s="174" t="s">
        <v>1212</v>
      </c>
      <c r="C571" s="175" t="s">
        <v>433</v>
      </c>
      <c r="D571" s="176" t="s">
        <v>434</v>
      </c>
      <c r="E571" s="177" t="s">
        <v>1213</v>
      </c>
      <c r="F571" s="175">
        <f t="shared" si="24"/>
        <v>9</v>
      </c>
      <c r="G571" s="175" t="str">
        <f t="shared" si="25"/>
        <v>Oakland</v>
      </c>
      <c r="H571" s="175" t="str">
        <f t="shared" si="26"/>
        <v>Oakland, CA</v>
      </c>
      <c r="I571" s="178" t="s">
        <v>1481</v>
      </c>
      <c r="J571" s="27" t="s">
        <v>434</v>
      </c>
      <c r="K571" s="27">
        <v>145</v>
      </c>
      <c r="L571" s="179">
        <v>3016</v>
      </c>
      <c r="M571" s="178" t="s">
        <v>1482</v>
      </c>
      <c r="N571" s="27" t="s">
        <v>434</v>
      </c>
      <c r="O571" s="182" t="s">
        <v>1483</v>
      </c>
    </row>
    <row r="572" spans="1:15" ht="12">
      <c r="A572" s="148"/>
      <c r="B572" s="174" t="s">
        <v>1214</v>
      </c>
      <c r="C572" s="175" t="s">
        <v>624</v>
      </c>
      <c r="D572" s="176" t="s">
        <v>625</v>
      </c>
      <c r="E572" s="177" t="s">
        <v>1215</v>
      </c>
      <c r="F572" s="175">
        <f t="shared" si="24"/>
        <v>7</v>
      </c>
      <c r="G572" s="175" t="str">
        <f t="shared" si="25"/>
        <v>Ocala</v>
      </c>
      <c r="H572" s="175" t="str">
        <f t="shared" si="26"/>
        <v>Ocala, FL</v>
      </c>
      <c r="I572" s="178" t="s">
        <v>1216</v>
      </c>
      <c r="J572" s="27" t="s">
        <v>625</v>
      </c>
      <c r="K572" s="27">
        <v>2919</v>
      </c>
      <c r="L572" s="179">
        <v>909</v>
      </c>
      <c r="M572" s="178" t="s">
        <v>1217</v>
      </c>
      <c r="N572" s="27" t="s">
        <v>625</v>
      </c>
      <c r="O572" s="182" t="s">
        <v>1218</v>
      </c>
    </row>
    <row r="573" spans="1:15" ht="12">
      <c r="A573" s="148"/>
      <c r="B573" s="174" t="s">
        <v>1219</v>
      </c>
      <c r="C573" s="175" t="s">
        <v>1220</v>
      </c>
      <c r="D573" s="176" t="s">
        <v>1221</v>
      </c>
      <c r="E573" s="177" t="s">
        <v>1222</v>
      </c>
      <c r="F573" s="175">
        <f t="shared" si="24"/>
        <v>7</v>
      </c>
      <c r="G573" s="175" t="str">
        <f t="shared" si="25"/>
        <v>Ogden</v>
      </c>
      <c r="H573" s="175" t="str">
        <f t="shared" si="26"/>
        <v>Ogden, UT</v>
      </c>
      <c r="I573" s="178" t="s">
        <v>1223</v>
      </c>
      <c r="J573" s="27" t="s">
        <v>1221</v>
      </c>
      <c r="K573" s="27">
        <v>1047</v>
      </c>
      <c r="L573" s="179">
        <v>5765</v>
      </c>
      <c r="M573" s="180" t="s">
        <v>1224</v>
      </c>
      <c r="N573" s="181" t="s">
        <v>1221</v>
      </c>
      <c r="O573" s="182" t="s">
        <v>1225</v>
      </c>
    </row>
    <row r="574" spans="1:15" ht="12">
      <c r="A574" s="148"/>
      <c r="B574" s="174" t="s">
        <v>1226</v>
      </c>
      <c r="C574" s="175" t="s">
        <v>1220</v>
      </c>
      <c r="D574" s="176" t="s">
        <v>1221</v>
      </c>
      <c r="E574" s="177" t="s">
        <v>1508</v>
      </c>
      <c r="F574" s="175">
        <f t="shared" si="24"/>
        <v>13</v>
      </c>
      <c r="G574" s="175" t="str">
        <f t="shared" si="25"/>
        <v>Ogden/Logan</v>
      </c>
      <c r="H574" s="175" t="str">
        <f t="shared" si="26"/>
        <v>Ogden/Logan, UT</v>
      </c>
      <c r="I574" s="178" t="s">
        <v>1223</v>
      </c>
      <c r="J574" s="27" t="s">
        <v>1221</v>
      </c>
      <c r="K574" s="27">
        <v>1047</v>
      </c>
      <c r="L574" s="179">
        <v>5765</v>
      </c>
      <c r="M574" s="180" t="s">
        <v>1224</v>
      </c>
      <c r="N574" s="181" t="s">
        <v>1221</v>
      </c>
      <c r="O574" s="182" t="s">
        <v>1225</v>
      </c>
    </row>
    <row r="575" spans="1:15" ht="12">
      <c r="A575" s="148"/>
      <c r="B575" s="174" t="s">
        <v>1509</v>
      </c>
      <c r="C575" s="175" t="s">
        <v>440</v>
      </c>
      <c r="D575" s="176" t="s">
        <v>441</v>
      </c>
      <c r="E575" s="177" t="s">
        <v>1510</v>
      </c>
      <c r="F575" s="175">
        <f t="shared" si="24"/>
        <v>10</v>
      </c>
      <c r="G575" s="175" t="str">
        <f t="shared" si="25"/>
        <v>Oil City</v>
      </c>
      <c r="H575" s="175" t="str">
        <f t="shared" si="26"/>
        <v>Oil City, PA</v>
      </c>
      <c r="I575" s="178" t="s">
        <v>1411</v>
      </c>
      <c r="J575" s="27" t="s">
        <v>386</v>
      </c>
      <c r="K575" s="27">
        <v>497</v>
      </c>
      <c r="L575" s="179">
        <v>6544</v>
      </c>
      <c r="M575" s="180" t="s">
        <v>1412</v>
      </c>
      <c r="N575" s="181" t="s">
        <v>386</v>
      </c>
      <c r="O575" s="182" t="s">
        <v>1413</v>
      </c>
    </row>
    <row r="576" spans="1:15" ht="12">
      <c r="A576" s="148"/>
      <c r="B576" s="174" t="s">
        <v>1511</v>
      </c>
      <c r="C576" s="175" t="s">
        <v>500</v>
      </c>
      <c r="D576" s="176" t="s">
        <v>501</v>
      </c>
      <c r="E576" s="177" t="s">
        <v>1512</v>
      </c>
      <c r="F576" s="175">
        <f t="shared" si="24"/>
        <v>15</v>
      </c>
      <c r="G576" s="175" t="str">
        <f t="shared" si="25"/>
        <v>Oklahoma City</v>
      </c>
      <c r="H576" s="175" t="str">
        <f t="shared" si="26"/>
        <v>Oklahoma City, OK</v>
      </c>
      <c r="I576" s="178" t="s">
        <v>560</v>
      </c>
      <c r="J576" s="27" t="s">
        <v>501</v>
      </c>
      <c r="K576" s="27">
        <v>1859</v>
      </c>
      <c r="L576" s="179">
        <v>3659</v>
      </c>
      <c r="M576" s="180" t="s">
        <v>652</v>
      </c>
      <c r="N576" s="181" t="s">
        <v>501</v>
      </c>
      <c r="O576" s="182" t="s">
        <v>653</v>
      </c>
    </row>
    <row r="577" spans="1:15" ht="12">
      <c r="A577" s="148"/>
      <c r="B577" s="174" t="s">
        <v>1513</v>
      </c>
      <c r="C577" s="175" t="s">
        <v>500</v>
      </c>
      <c r="D577" s="176" t="s">
        <v>501</v>
      </c>
      <c r="E577" s="177" t="s">
        <v>1512</v>
      </c>
      <c r="F577" s="175">
        <f t="shared" si="24"/>
        <v>15</v>
      </c>
      <c r="G577" s="175" t="str">
        <f t="shared" si="25"/>
        <v>Oklahoma City</v>
      </c>
      <c r="H577" s="175" t="str">
        <f t="shared" si="26"/>
        <v>Oklahoma City, OK</v>
      </c>
      <c r="I577" s="178" t="s">
        <v>560</v>
      </c>
      <c r="J577" s="27" t="s">
        <v>501</v>
      </c>
      <c r="K577" s="27">
        <v>1859</v>
      </c>
      <c r="L577" s="179">
        <v>3659</v>
      </c>
      <c r="M577" s="180" t="s">
        <v>652</v>
      </c>
      <c r="N577" s="181" t="s">
        <v>501</v>
      </c>
      <c r="O577" s="182" t="s">
        <v>653</v>
      </c>
    </row>
    <row r="578" spans="1:15" ht="12">
      <c r="A578" s="148"/>
      <c r="B578" s="174" t="s">
        <v>1514</v>
      </c>
      <c r="C578" s="175" t="s">
        <v>547</v>
      </c>
      <c r="D578" s="176" t="s">
        <v>1699</v>
      </c>
      <c r="E578" s="177" t="s">
        <v>1515</v>
      </c>
      <c r="F578" s="175">
        <f t="shared" si="24"/>
        <v>9</v>
      </c>
      <c r="G578" s="175" t="str">
        <f t="shared" si="25"/>
        <v>Olympia</v>
      </c>
      <c r="H578" s="175" t="str">
        <f t="shared" si="26"/>
        <v>Olympia, WA</v>
      </c>
      <c r="I578" s="178" t="s">
        <v>1516</v>
      </c>
      <c r="J578" s="27" t="s">
        <v>1699</v>
      </c>
      <c r="K578" s="27">
        <v>101</v>
      </c>
      <c r="L578" s="179">
        <v>5655</v>
      </c>
      <c r="M578" s="180" t="s">
        <v>2506</v>
      </c>
      <c r="N578" s="181" t="s">
        <v>1699</v>
      </c>
      <c r="O578" s="182" t="s">
        <v>2507</v>
      </c>
    </row>
    <row r="579" spans="1:15" ht="12">
      <c r="A579" s="148"/>
      <c r="B579" s="174" t="s">
        <v>1517</v>
      </c>
      <c r="C579" s="175" t="s">
        <v>447</v>
      </c>
      <c r="D579" s="176" t="s">
        <v>448</v>
      </c>
      <c r="E579" s="177" t="s">
        <v>1518</v>
      </c>
      <c r="F579" s="175">
        <f t="shared" si="24"/>
        <v>7</v>
      </c>
      <c r="G579" s="175" t="str">
        <f t="shared" si="25"/>
        <v>Omaha</v>
      </c>
      <c r="H579" s="175" t="str">
        <f t="shared" si="26"/>
        <v>Omaha, NE</v>
      </c>
      <c r="I579" s="178" t="s">
        <v>1519</v>
      </c>
      <c r="J579" s="27" t="s">
        <v>448</v>
      </c>
      <c r="K579" s="27">
        <v>1072</v>
      </c>
      <c r="L579" s="179">
        <v>6300</v>
      </c>
      <c r="M579" s="180" t="s">
        <v>1729</v>
      </c>
      <c r="N579" s="181" t="s">
        <v>448</v>
      </c>
      <c r="O579" s="182" t="s">
        <v>1730</v>
      </c>
    </row>
    <row r="580" spans="1:15" ht="12">
      <c r="A580" s="148"/>
      <c r="B580" s="174" t="s">
        <v>1520</v>
      </c>
      <c r="C580" s="175" t="s">
        <v>447</v>
      </c>
      <c r="D580" s="176" t="s">
        <v>448</v>
      </c>
      <c r="E580" s="177" t="s">
        <v>1518</v>
      </c>
      <c r="F580" s="175">
        <f t="shared" si="24"/>
        <v>7</v>
      </c>
      <c r="G580" s="175" t="str">
        <f t="shared" si="25"/>
        <v>Omaha</v>
      </c>
      <c r="H580" s="175" t="str">
        <f t="shared" si="26"/>
        <v>Omaha, NE</v>
      </c>
      <c r="I580" s="178" t="s">
        <v>1519</v>
      </c>
      <c r="J580" s="27" t="s">
        <v>448</v>
      </c>
      <c r="K580" s="27">
        <v>1072</v>
      </c>
      <c r="L580" s="179">
        <v>6300</v>
      </c>
      <c r="M580" s="180" t="s">
        <v>1729</v>
      </c>
      <c r="N580" s="181" t="s">
        <v>448</v>
      </c>
      <c r="O580" s="182" t="s">
        <v>1730</v>
      </c>
    </row>
    <row r="581" spans="1:15" ht="12">
      <c r="A581" s="148"/>
      <c r="B581" s="174" t="s">
        <v>1521</v>
      </c>
      <c r="C581" s="175" t="s">
        <v>1694</v>
      </c>
      <c r="D581" s="176" t="s">
        <v>1695</v>
      </c>
      <c r="E581" s="177" t="s">
        <v>1522</v>
      </c>
      <c r="F581" s="175">
        <f t="shared" si="24"/>
        <v>9</v>
      </c>
      <c r="G581" s="175" t="str">
        <f t="shared" si="25"/>
        <v>Ontario</v>
      </c>
      <c r="H581" s="175" t="str">
        <f t="shared" si="26"/>
        <v>Ontario, OR</v>
      </c>
      <c r="I581" s="178" t="s">
        <v>2377</v>
      </c>
      <c r="J581" s="27" t="s">
        <v>2375</v>
      </c>
      <c r="K581" s="27">
        <v>754</v>
      </c>
      <c r="L581" s="179">
        <v>5861</v>
      </c>
      <c r="M581" s="180" t="s">
        <v>2378</v>
      </c>
      <c r="N581" s="181" t="s">
        <v>2375</v>
      </c>
      <c r="O581" s="182" t="s">
        <v>2379</v>
      </c>
    </row>
    <row r="582" spans="1:15" ht="12">
      <c r="A582" s="148"/>
      <c r="B582" s="174" t="s">
        <v>1523</v>
      </c>
      <c r="C582" s="175" t="s">
        <v>493</v>
      </c>
      <c r="D582" s="176" t="s">
        <v>494</v>
      </c>
      <c r="E582" s="177" t="s">
        <v>1524</v>
      </c>
      <c r="F582" s="175">
        <f t="shared" ref="F582:F645" si="27">LEN(E582)</f>
        <v>9</v>
      </c>
      <c r="G582" s="175" t="str">
        <f t="shared" ref="G582:G645" si="28">MID(E582,2,F582-2)</f>
        <v>Opelika</v>
      </c>
      <c r="H582" s="175" t="str">
        <f t="shared" ref="H582:H645" si="29">CONCATENATE(G582,", ",+D582)</f>
        <v>Opelika, AL</v>
      </c>
      <c r="I582" s="178" t="s">
        <v>403</v>
      </c>
      <c r="J582" s="27" t="s">
        <v>401</v>
      </c>
      <c r="K582" s="27">
        <v>2284</v>
      </c>
      <c r="L582" s="179">
        <v>2261</v>
      </c>
      <c r="M582" s="180" t="s">
        <v>404</v>
      </c>
      <c r="N582" s="181" t="s">
        <v>401</v>
      </c>
      <c r="O582" s="182" t="s">
        <v>405</v>
      </c>
    </row>
    <row r="583" spans="1:15" ht="12">
      <c r="A583" s="148"/>
      <c r="B583" s="174" t="s">
        <v>1525</v>
      </c>
      <c r="C583" s="175" t="s">
        <v>624</v>
      </c>
      <c r="D583" s="176" t="s">
        <v>625</v>
      </c>
      <c r="E583" s="177" t="s">
        <v>1526</v>
      </c>
      <c r="F583" s="175">
        <f t="shared" si="27"/>
        <v>9</v>
      </c>
      <c r="G583" s="175" t="str">
        <f t="shared" si="28"/>
        <v>Orlando</v>
      </c>
      <c r="H583" s="175" t="str">
        <f t="shared" si="29"/>
        <v>Orlando, FL</v>
      </c>
      <c r="I583" s="178" t="s">
        <v>1527</v>
      </c>
      <c r="J583" s="27" t="s">
        <v>625</v>
      </c>
      <c r="K583" s="27">
        <v>3381</v>
      </c>
      <c r="L583" s="179">
        <v>686</v>
      </c>
      <c r="M583" s="178" t="s">
        <v>1161</v>
      </c>
      <c r="N583" s="27" t="s">
        <v>625</v>
      </c>
      <c r="O583" s="182" t="s">
        <v>1162</v>
      </c>
    </row>
    <row r="584" spans="1:15" ht="12">
      <c r="A584" s="148"/>
      <c r="B584" s="174" t="s">
        <v>1528</v>
      </c>
      <c r="C584" s="175" t="s">
        <v>624</v>
      </c>
      <c r="D584" s="176" t="s">
        <v>625</v>
      </c>
      <c r="E584" s="177" t="s">
        <v>1526</v>
      </c>
      <c r="F584" s="175">
        <f t="shared" si="27"/>
        <v>9</v>
      </c>
      <c r="G584" s="175" t="str">
        <f t="shared" si="28"/>
        <v>Orlando</v>
      </c>
      <c r="H584" s="175" t="str">
        <f t="shared" si="29"/>
        <v>Orlando, FL</v>
      </c>
      <c r="I584" s="178" t="s">
        <v>1527</v>
      </c>
      <c r="J584" s="27" t="s">
        <v>625</v>
      </c>
      <c r="K584" s="27">
        <v>3381</v>
      </c>
      <c r="L584" s="179">
        <v>686</v>
      </c>
      <c r="M584" s="178" t="s">
        <v>1161</v>
      </c>
      <c r="N584" s="27" t="s">
        <v>625</v>
      </c>
      <c r="O584" s="182" t="s">
        <v>1162</v>
      </c>
    </row>
    <row r="585" spans="1:15" ht="12">
      <c r="A585" s="148"/>
      <c r="B585" s="174" t="s">
        <v>1529</v>
      </c>
      <c r="C585" s="175" t="s">
        <v>33</v>
      </c>
      <c r="D585" s="176" t="s">
        <v>1763</v>
      </c>
      <c r="E585" s="177" t="s">
        <v>1530</v>
      </c>
      <c r="F585" s="175">
        <f t="shared" si="27"/>
        <v>9</v>
      </c>
      <c r="G585" s="175" t="str">
        <f t="shared" si="28"/>
        <v>Oshkosh</v>
      </c>
      <c r="H585" s="175" t="str">
        <f t="shared" si="29"/>
        <v>Oshkosh, WI</v>
      </c>
      <c r="I585" s="178" t="s">
        <v>1762</v>
      </c>
      <c r="J585" s="27" t="s">
        <v>1763</v>
      </c>
      <c r="K585" s="27">
        <v>692</v>
      </c>
      <c r="L585" s="179">
        <v>7491</v>
      </c>
      <c r="M585" s="180" t="s">
        <v>953</v>
      </c>
      <c r="N585" s="181" t="s">
        <v>1763</v>
      </c>
      <c r="O585" s="182" t="s">
        <v>954</v>
      </c>
    </row>
    <row r="586" spans="1:15" ht="12">
      <c r="A586" s="148"/>
      <c r="B586" s="174" t="s">
        <v>1531</v>
      </c>
      <c r="C586" s="175" t="s">
        <v>1394</v>
      </c>
      <c r="D586" s="176" t="s">
        <v>1395</v>
      </c>
      <c r="E586" s="177" t="s">
        <v>1532</v>
      </c>
      <c r="F586" s="175">
        <f t="shared" si="27"/>
        <v>9</v>
      </c>
      <c r="G586" s="175" t="str">
        <f t="shared" si="28"/>
        <v>Ottumwa</v>
      </c>
      <c r="H586" s="175" t="str">
        <f t="shared" si="29"/>
        <v>Ottumwa, IA</v>
      </c>
      <c r="I586" s="178" t="s">
        <v>1397</v>
      </c>
      <c r="J586" s="27" t="s">
        <v>1709</v>
      </c>
      <c r="K586" s="27">
        <v>911</v>
      </c>
      <c r="L586" s="179">
        <v>6474</v>
      </c>
      <c r="M586" s="180" t="s">
        <v>1398</v>
      </c>
      <c r="N586" s="181" t="s">
        <v>1395</v>
      </c>
      <c r="O586" s="182" t="s">
        <v>1399</v>
      </c>
    </row>
    <row r="587" spans="1:15" ht="12">
      <c r="A587" s="148"/>
      <c r="B587" s="174" t="s">
        <v>1533</v>
      </c>
      <c r="C587" s="175" t="s">
        <v>516</v>
      </c>
      <c r="D587" s="176" t="s">
        <v>517</v>
      </c>
      <c r="E587" s="177" t="s">
        <v>1534</v>
      </c>
      <c r="F587" s="175">
        <f t="shared" si="27"/>
        <v>11</v>
      </c>
      <c r="G587" s="175" t="str">
        <f t="shared" si="28"/>
        <v>Owensboro</v>
      </c>
      <c r="H587" s="175" t="str">
        <f t="shared" si="29"/>
        <v>Owensboro, KY</v>
      </c>
      <c r="I587" s="178" t="s">
        <v>1584</v>
      </c>
      <c r="J587" s="27" t="s">
        <v>476</v>
      </c>
      <c r="K587" s="27">
        <v>1616</v>
      </c>
      <c r="L587" s="179">
        <v>3729</v>
      </c>
      <c r="M587" s="180" t="s">
        <v>1585</v>
      </c>
      <c r="N587" s="181" t="s">
        <v>476</v>
      </c>
      <c r="O587" s="182" t="s">
        <v>577</v>
      </c>
    </row>
    <row r="588" spans="1:15" ht="12">
      <c r="A588" s="148"/>
      <c r="B588" s="174" t="s">
        <v>1535</v>
      </c>
      <c r="C588" s="175" t="s">
        <v>584</v>
      </c>
      <c r="D588" s="176" t="s">
        <v>1407</v>
      </c>
      <c r="E588" s="177" t="s">
        <v>1536</v>
      </c>
      <c r="F588" s="175">
        <f t="shared" si="27"/>
        <v>8</v>
      </c>
      <c r="G588" s="175" t="str">
        <f t="shared" si="28"/>
        <v>Oxford</v>
      </c>
      <c r="H588" s="175" t="str">
        <f t="shared" si="29"/>
        <v>Oxford, MS</v>
      </c>
      <c r="I588" s="178" t="s">
        <v>1165</v>
      </c>
      <c r="J588" s="27" t="s">
        <v>476</v>
      </c>
      <c r="K588" s="27">
        <v>2118</v>
      </c>
      <c r="L588" s="179">
        <v>3082</v>
      </c>
      <c r="M588" s="180" t="s">
        <v>1166</v>
      </c>
      <c r="N588" s="181" t="s">
        <v>476</v>
      </c>
      <c r="O588" s="182" t="s">
        <v>1254</v>
      </c>
    </row>
    <row r="589" spans="1:15" ht="12">
      <c r="A589" s="148"/>
      <c r="B589" s="174" t="s">
        <v>1537</v>
      </c>
      <c r="C589" s="175" t="s">
        <v>516</v>
      </c>
      <c r="D589" s="176" t="s">
        <v>517</v>
      </c>
      <c r="E589" s="177" t="s">
        <v>1538</v>
      </c>
      <c r="F589" s="175">
        <f t="shared" si="27"/>
        <v>9</v>
      </c>
      <c r="G589" s="175" t="str">
        <f t="shared" si="28"/>
        <v>Paducah</v>
      </c>
      <c r="H589" s="175" t="str">
        <f t="shared" si="29"/>
        <v>Paducah, KY</v>
      </c>
      <c r="I589" s="178" t="s">
        <v>1539</v>
      </c>
      <c r="J589" s="27" t="s">
        <v>517</v>
      </c>
      <c r="K589" s="27">
        <v>1475</v>
      </c>
      <c r="L589" s="179">
        <v>4279</v>
      </c>
      <c r="M589" s="180" t="s">
        <v>1540</v>
      </c>
      <c r="N589" s="181" t="s">
        <v>517</v>
      </c>
      <c r="O589" s="182" t="s">
        <v>2385</v>
      </c>
    </row>
    <row r="590" spans="1:15" ht="12">
      <c r="A590" s="148"/>
      <c r="B590" s="174" t="s">
        <v>2386</v>
      </c>
      <c r="C590" s="175" t="s">
        <v>254</v>
      </c>
      <c r="D590" s="176" t="s">
        <v>255</v>
      </c>
      <c r="E590" s="177" t="s">
        <v>2387</v>
      </c>
      <c r="F590" s="175">
        <f t="shared" si="27"/>
        <v>11</v>
      </c>
      <c r="G590" s="175" t="str">
        <f t="shared" si="28"/>
        <v>Palestine</v>
      </c>
      <c r="H590" s="175" t="str">
        <f t="shared" si="29"/>
        <v>Palestine, TX</v>
      </c>
      <c r="I590" s="178" t="s">
        <v>2220</v>
      </c>
      <c r="J590" s="27" t="s">
        <v>255</v>
      </c>
      <c r="K590" s="27">
        <v>2816</v>
      </c>
      <c r="L590" s="179">
        <v>2179</v>
      </c>
      <c r="M590" s="180" t="s">
        <v>2221</v>
      </c>
      <c r="N590" s="181" t="s">
        <v>255</v>
      </c>
      <c r="O590" s="182" t="s">
        <v>2222</v>
      </c>
    </row>
    <row r="591" spans="1:15" ht="12">
      <c r="A591" s="148"/>
      <c r="B591" s="174" t="s">
        <v>2388</v>
      </c>
      <c r="C591" s="175" t="s">
        <v>433</v>
      </c>
      <c r="D591" s="176" t="s">
        <v>434</v>
      </c>
      <c r="E591" s="177" t="s">
        <v>2389</v>
      </c>
      <c r="F591" s="175">
        <f t="shared" si="27"/>
        <v>14</v>
      </c>
      <c r="G591" s="175" t="str">
        <f t="shared" si="28"/>
        <v>Palm Springs</v>
      </c>
      <c r="H591" s="175" t="str">
        <f t="shared" si="29"/>
        <v>Palm Springs, CA</v>
      </c>
      <c r="I591" s="178" t="s">
        <v>2390</v>
      </c>
      <c r="J591" s="27" t="s">
        <v>434</v>
      </c>
      <c r="K591" s="27">
        <v>984</v>
      </c>
      <c r="L591" s="179">
        <v>1256</v>
      </c>
      <c r="M591" s="178" t="s">
        <v>2391</v>
      </c>
      <c r="N591" s="27" t="s">
        <v>434</v>
      </c>
      <c r="O591" s="182" t="s">
        <v>2392</v>
      </c>
    </row>
    <row r="592" spans="1:15" ht="12">
      <c r="A592" s="148"/>
      <c r="B592" s="174" t="s">
        <v>2393</v>
      </c>
      <c r="C592" s="175" t="s">
        <v>433</v>
      </c>
      <c r="D592" s="176" t="s">
        <v>434</v>
      </c>
      <c r="E592" s="177" t="s">
        <v>561</v>
      </c>
      <c r="F592" s="175">
        <f t="shared" si="27"/>
        <v>11</v>
      </c>
      <c r="G592" s="175" t="str">
        <f t="shared" si="28"/>
        <v>Palo Alto</v>
      </c>
      <c r="H592" s="175" t="str">
        <f t="shared" si="29"/>
        <v>Palo Alto, CA</v>
      </c>
      <c r="I592" s="178" t="s">
        <v>1481</v>
      </c>
      <c r="J592" s="27" t="s">
        <v>434</v>
      </c>
      <c r="K592" s="27">
        <v>145</v>
      </c>
      <c r="L592" s="179">
        <v>3016</v>
      </c>
      <c r="M592" s="178" t="s">
        <v>1482</v>
      </c>
      <c r="N592" s="27" t="s">
        <v>434</v>
      </c>
      <c r="O592" s="182" t="s">
        <v>1483</v>
      </c>
    </row>
    <row r="593" spans="1:15" ht="12">
      <c r="A593" s="148"/>
      <c r="B593" s="174" t="s">
        <v>562</v>
      </c>
      <c r="C593" s="175" t="s">
        <v>624</v>
      </c>
      <c r="D593" s="176" t="s">
        <v>625</v>
      </c>
      <c r="E593" s="177" t="s">
        <v>563</v>
      </c>
      <c r="F593" s="175">
        <f t="shared" si="27"/>
        <v>13</v>
      </c>
      <c r="G593" s="175" t="str">
        <f t="shared" si="28"/>
        <v>Panama City</v>
      </c>
      <c r="H593" s="175" t="str">
        <f t="shared" si="29"/>
        <v>Panama City, FL</v>
      </c>
      <c r="I593" s="178" t="s">
        <v>564</v>
      </c>
      <c r="J593" s="27" t="s">
        <v>625</v>
      </c>
      <c r="K593" s="27">
        <v>2582</v>
      </c>
      <c r="L593" s="179">
        <v>1429</v>
      </c>
      <c r="M593" s="180" t="s">
        <v>565</v>
      </c>
      <c r="N593" s="181" t="s">
        <v>625</v>
      </c>
      <c r="O593" s="182" t="s">
        <v>566</v>
      </c>
    </row>
    <row r="594" spans="1:15" ht="12">
      <c r="A594" s="148"/>
      <c r="B594" s="174" t="s">
        <v>567</v>
      </c>
      <c r="C594" s="175" t="s">
        <v>1678</v>
      </c>
      <c r="D594" s="176" t="s">
        <v>1591</v>
      </c>
      <c r="E594" s="177" t="s">
        <v>568</v>
      </c>
      <c r="F594" s="175">
        <f t="shared" si="27"/>
        <v>13</v>
      </c>
      <c r="G594" s="175" t="str">
        <f t="shared" si="28"/>
        <v>Parkersburg</v>
      </c>
      <c r="H594" s="175" t="str">
        <f t="shared" si="29"/>
        <v>Parkersburg, WV</v>
      </c>
      <c r="I594" s="178" t="s">
        <v>1380</v>
      </c>
      <c r="J594" s="27" t="s">
        <v>1591</v>
      </c>
      <c r="K594" s="27">
        <v>1031</v>
      </c>
      <c r="L594" s="179">
        <v>4646</v>
      </c>
      <c r="M594" s="180" t="s">
        <v>1592</v>
      </c>
      <c r="N594" s="181" t="s">
        <v>1591</v>
      </c>
      <c r="O594" s="182" t="s">
        <v>1593</v>
      </c>
    </row>
    <row r="595" spans="1:15" ht="12">
      <c r="A595" s="148"/>
      <c r="B595" s="174" t="s">
        <v>569</v>
      </c>
      <c r="C595" s="175" t="s">
        <v>433</v>
      </c>
      <c r="D595" s="176" t="s">
        <v>434</v>
      </c>
      <c r="E595" s="177" t="s">
        <v>570</v>
      </c>
      <c r="F595" s="175">
        <f t="shared" si="27"/>
        <v>10</v>
      </c>
      <c r="G595" s="175" t="str">
        <f t="shared" si="28"/>
        <v>Pasadena</v>
      </c>
      <c r="H595" s="175" t="str">
        <f t="shared" si="29"/>
        <v>Pasadena, CA</v>
      </c>
      <c r="I595" s="178" t="s">
        <v>436</v>
      </c>
      <c r="J595" s="27" t="s">
        <v>434</v>
      </c>
      <c r="K595" s="27">
        <v>1537</v>
      </c>
      <c r="L595" s="179">
        <v>1154</v>
      </c>
      <c r="M595" s="178" t="s">
        <v>437</v>
      </c>
      <c r="N595" s="27" t="s">
        <v>434</v>
      </c>
      <c r="O595" s="182" t="s">
        <v>438</v>
      </c>
    </row>
    <row r="596" spans="1:15" ht="12">
      <c r="A596" s="148"/>
      <c r="B596" s="174" t="s">
        <v>571</v>
      </c>
      <c r="C596" s="175" t="s">
        <v>433</v>
      </c>
      <c r="D596" s="176" t="s">
        <v>434</v>
      </c>
      <c r="E596" s="177" t="s">
        <v>570</v>
      </c>
      <c r="F596" s="175">
        <f t="shared" si="27"/>
        <v>10</v>
      </c>
      <c r="G596" s="175" t="str">
        <f t="shared" si="28"/>
        <v>Pasadena</v>
      </c>
      <c r="H596" s="175" t="str">
        <f t="shared" si="29"/>
        <v>Pasadena, CA</v>
      </c>
      <c r="I596" s="178" t="s">
        <v>436</v>
      </c>
      <c r="J596" s="27" t="s">
        <v>434</v>
      </c>
      <c r="K596" s="27">
        <v>1537</v>
      </c>
      <c r="L596" s="179">
        <v>1154</v>
      </c>
      <c r="M596" s="178" t="s">
        <v>437</v>
      </c>
      <c r="N596" s="27" t="s">
        <v>434</v>
      </c>
      <c r="O596" s="182" t="s">
        <v>438</v>
      </c>
    </row>
    <row r="597" spans="1:15" ht="12">
      <c r="A597" s="148"/>
      <c r="B597" s="186" t="s">
        <v>572</v>
      </c>
      <c r="C597" s="175" t="s">
        <v>1609</v>
      </c>
      <c r="D597" s="176" t="s">
        <v>1610</v>
      </c>
      <c r="E597" s="177" t="s">
        <v>573</v>
      </c>
      <c r="F597" s="175">
        <f t="shared" si="27"/>
        <v>10</v>
      </c>
      <c r="G597" s="175" t="str">
        <f t="shared" si="28"/>
        <v>Paterson</v>
      </c>
      <c r="H597" s="175" t="str">
        <f t="shared" si="29"/>
        <v>Paterson, NJ</v>
      </c>
      <c r="I597" s="178" t="s">
        <v>52</v>
      </c>
      <c r="J597" s="27" t="s">
        <v>1610</v>
      </c>
      <c r="K597" s="27">
        <v>1201</v>
      </c>
      <c r="L597" s="179">
        <v>4888</v>
      </c>
      <c r="M597" s="180" t="s">
        <v>53</v>
      </c>
      <c r="N597" s="181" t="s">
        <v>1610</v>
      </c>
      <c r="O597" s="182" t="s">
        <v>54</v>
      </c>
    </row>
    <row r="598" spans="1:15" ht="12">
      <c r="A598" s="148"/>
      <c r="B598" s="186" t="s">
        <v>574</v>
      </c>
      <c r="C598" s="175" t="s">
        <v>1609</v>
      </c>
      <c r="D598" s="176" t="s">
        <v>1610</v>
      </c>
      <c r="E598" s="177" t="s">
        <v>573</v>
      </c>
      <c r="F598" s="175">
        <f t="shared" si="27"/>
        <v>10</v>
      </c>
      <c r="G598" s="175" t="str">
        <f t="shared" si="28"/>
        <v>Paterson</v>
      </c>
      <c r="H598" s="175" t="str">
        <f t="shared" si="29"/>
        <v>Paterson, NJ</v>
      </c>
      <c r="I598" s="178" t="s">
        <v>52</v>
      </c>
      <c r="J598" s="27" t="s">
        <v>1610</v>
      </c>
      <c r="K598" s="27">
        <v>1201</v>
      </c>
      <c r="L598" s="179">
        <v>4888</v>
      </c>
      <c r="M598" s="180" t="s">
        <v>53</v>
      </c>
      <c r="N598" s="181" t="s">
        <v>1610</v>
      </c>
      <c r="O598" s="182" t="s">
        <v>54</v>
      </c>
    </row>
    <row r="599" spans="1:15" ht="12">
      <c r="A599" s="148"/>
      <c r="B599" s="174" t="s">
        <v>575</v>
      </c>
      <c r="C599" s="175" t="s">
        <v>1694</v>
      </c>
      <c r="D599" s="176" t="s">
        <v>1695</v>
      </c>
      <c r="E599" s="177" t="s">
        <v>576</v>
      </c>
      <c r="F599" s="175">
        <f t="shared" si="27"/>
        <v>11</v>
      </c>
      <c r="G599" s="175" t="str">
        <f t="shared" si="28"/>
        <v>Pendleton</v>
      </c>
      <c r="H599" s="175" t="str">
        <f t="shared" si="29"/>
        <v>Pendleton, OR</v>
      </c>
      <c r="I599" s="178" t="s">
        <v>549</v>
      </c>
      <c r="J599" s="27" t="s">
        <v>1695</v>
      </c>
      <c r="K599" s="27">
        <v>701</v>
      </c>
      <c r="L599" s="179">
        <v>5294</v>
      </c>
      <c r="M599" s="180" t="s">
        <v>1698</v>
      </c>
      <c r="N599" s="181" t="s">
        <v>1699</v>
      </c>
      <c r="O599" s="182" t="s">
        <v>1700</v>
      </c>
    </row>
    <row r="600" spans="1:15" ht="12">
      <c r="A600" s="148"/>
      <c r="B600" s="174" t="s">
        <v>2515</v>
      </c>
      <c r="C600" s="175" t="s">
        <v>624</v>
      </c>
      <c r="D600" s="176" t="s">
        <v>625</v>
      </c>
      <c r="E600" s="177" t="s">
        <v>2516</v>
      </c>
      <c r="F600" s="175">
        <f t="shared" si="27"/>
        <v>11</v>
      </c>
      <c r="G600" s="175" t="str">
        <f t="shared" si="28"/>
        <v>Pensacola</v>
      </c>
      <c r="H600" s="175" t="str">
        <f t="shared" si="29"/>
        <v>Pensacola, FL</v>
      </c>
      <c r="I600" s="178" t="s">
        <v>2517</v>
      </c>
      <c r="J600" s="27" t="s">
        <v>625</v>
      </c>
      <c r="K600" s="27">
        <v>2636</v>
      </c>
      <c r="L600" s="179">
        <v>1617</v>
      </c>
      <c r="M600" s="180" t="s">
        <v>720</v>
      </c>
      <c r="N600" s="181" t="s">
        <v>494</v>
      </c>
      <c r="O600" s="182" t="s">
        <v>721</v>
      </c>
    </row>
    <row r="601" spans="1:15" ht="12">
      <c r="A601" s="148"/>
      <c r="B601" s="174" t="s">
        <v>2518</v>
      </c>
      <c r="C601" s="175" t="s">
        <v>1708</v>
      </c>
      <c r="D601" s="176" t="s">
        <v>1709</v>
      </c>
      <c r="E601" s="177" t="s">
        <v>2519</v>
      </c>
      <c r="F601" s="175">
        <f t="shared" si="27"/>
        <v>8</v>
      </c>
      <c r="G601" s="175" t="str">
        <f t="shared" si="28"/>
        <v>Peoria</v>
      </c>
      <c r="H601" s="175" t="str">
        <f t="shared" si="29"/>
        <v>Peoria, IL</v>
      </c>
      <c r="I601" s="178" t="s">
        <v>910</v>
      </c>
      <c r="J601" s="27" t="s">
        <v>1709</v>
      </c>
      <c r="K601" s="27">
        <v>982</v>
      </c>
      <c r="L601" s="179">
        <v>6148</v>
      </c>
      <c r="M601" s="178" t="s">
        <v>2061</v>
      </c>
      <c r="N601" s="27" t="s">
        <v>1709</v>
      </c>
      <c r="O601" s="182" t="s">
        <v>2062</v>
      </c>
    </row>
    <row r="602" spans="1:15" ht="12">
      <c r="A602" s="148"/>
      <c r="B602" s="174" t="s">
        <v>2520</v>
      </c>
      <c r="C602" s="175" t="s">
        <v>1708</v>
      </c>
      <c r="D602" s="176" t="s">
        <v>1709</v>
      </c>
      <c r="E602" s="177" t="s">
        <v>2519</v>
      </c>
      <c r="F602" s="175">
        <f t="shared" si="27"/>
        <v>8</v>
      </c>
      <c r="G602" s="175" t="str">
        <f t="shared" si="28"/>
        <v>Peoria</v>
      </c>
      <c r="H602" s="175" t="str">
        <f t="shared" si="29"/>
        <v>Peoria, IL</v>
      </c>
      <c r="I602" s="178" t="s">
        <v>910</v>
      </c>
      <c r="J602" s="27" t="s">
        <v>1709</v>
      </c>
      <c r="K602" s="27">
        <v>982</v>
      </c>
      <c r="L602" s="179">
        <v>6148</v>
      </c>
      <c r="M602" s="178" t="s">
        <v>2061</v>
      </c>
      <c r="N602" s="27" t="s">
        <v>1709</v>
      </c>
      <c r="O602" s="182" t="s">
        <v>2062</v>
      </c>
    </row>
    <row r="603" spans="1:15" ht="12">
      <c r="A603" s="148"/>
      <c r="B603" s="174" t="s">
        <v>2521</v>
      </c>
      <c r="C603" s="175" t="s">
        <v>425</v>
      </c>
      <c r="D603" s="176" t="s">
        <v>426</v>
      </c>
      <c r="E603" s="177" t="s">
        <v>2522</v>
      </c>
      <c r="F603" s="175">
        <f t="shared" si="27"/>
        <v>12</v>
      </c>
      <c r="G603" s="175" t="str">
        <f t="shared" si="28"/>
        <v>Petersburg</v>
      </c>
      <c r="H603" s="175" t="str">
        <f t="shared" si="29"/>
        <v>Petersburg, VA</v>
      </c>
      <c r="I603" s="178" t="s">
        <v>47</v>
      </c>
      <c r="J603" s="27" t="s">
        <v>426</v>
      </c>
      <c r="K603" s="27">
        <v>1422</v>
      </c>
      <c r="L603" s="179">
        <v>3495</v>
      </c>
      <c r="M603" s="180" t="s">
        <v>48</v>
      </c>
      <c r="N603" s="181" t="s">
        <v>426</v>
      </c>
      <c r="O603" s="182" t="s">
        <v>49</v>
      </c>
    </row>
    <row r="604" spans="1:15" ht="12">
      <c r="A604" s="148"/>
      <c r="B604" s="174" t="s">
        <v>2523</v>
      </c>
      <c r="C604" s="175" t="s">
        <v>1678</v>
      </c>
      <c r="D604" s="176" t="s">
        <v>1591</v>
      </c>
      <c r="E604" s="177" t="s">
        <v>2522</v>
      </c>
      <c r="F604" s="175">
        <f t="shared" si="27"/>
        <v>12</v>
      </c>
      <c r="G604" s="175" t="str">
        <f t="shared" si="28"/>
        <v>Petersburg</v>
      </c>
      <c r="H604" s="175" t="str">
        <f t="shared" si="29"/>
        <v>Petersburg, WV</v>
      </c>
      <c r="I604" s="178" t="s">
        <v>2499</v>
      </c>
      <c r="J604" s="27" t="s">
        <v>1591</v>
      </c>
      <c r="K604" s="27">
        <v>346</v>
      </c>
      <c r="L604" s="179">
        <v>6120</v>
      </c>
      <c r="M604" s="180" t="s">
        <v>2500</v>
      </c>
      <c r="N604" s="181" t="s">
        <v>1591</v>
      </c>
      <c r="O604" s="182" t="s">
        <v>544</v>
      </c>
    </row>
    <row r="605" spans="1:15" ht="12">
      <c r="A605" s="148"/>
      <c r="B605" s="174" t="s">
        <v>2524</v>
      </c>
      <c r="C605" s="175" t="s">
        <v>440</v>
      </c>
      <c r="D605" s="176" t="s">
        <v>441</v>
      </c>
      <c r="E605" s="177" t="s">
        <v>2525</v>
      </c>
      <c r="F605" s="175">
        <f t="shared" si="27"/>
        <v>14</v>
      </c>
      <c r="G605" s="175" t="str">
        <f t="shared" si="28"/>
        <v>Philadelphia</v>
      </c>
      <c r="H605" s="175" t="str">
        <f t="shared" si="29"/>
        <v>Philadelphia, PA</v>
      </c>
      <c r="I605" s="178" t="s">
        <v>1056</v>
      </c>
      <c r="J605" s="27" t="s">
        <v>1797</v>
      </c>
      <c r="K605" s="27">
        <v>1046</v>
      </c>
      <c r="L605" s="179">
        <v>4937</v>
      </c>
      <c r="M605" s="180" t="s">
        <v>1426</v>
      </c>
      <c r="N605" s="181" t="s">
        <v>441</v>
      </c>
      <c r="O605" s="182" t="s">
        <v>1427</v>
      </c>
    </row>
    <row r="606" spans="1:15" ht="12">
      <c r="A606" s="148"/>
      <c r="B606" s="174" t="s">
        <v>2526</v>
      </c>
      <c r="C606" s="175" t="s">
        <v>440</v>
      </c>
      <c r="D606" s="176" t="s">
        <v>441</v>
      </c>
      <c r="E606" s="177" t="s">
        <v>2525</v>
      </c>
      <c r="F606" s="175">
        <f t="shared" si="27"/>
        <v>14</v>
      </c>
      <c r="G606" s="175" t="str">
        <f t="shared" si="28"/>
        <v>Philadelphia</v>
      </c>
      <c r="H606" s="175" t="str">
        <f t="shared" si="29"/>
        <v>Philadelphia, PA</v>
      </c>
      <c r="I606" s="178" t="s">
        <v>1425</v>
      </c>
      <c r="J606" s="27" t="s">
        <v>441</v>
      </c>
      <c r="K606" s="27">
        <v>1101</v>
      </c>
      <c r="L606" s="179">
        <v>4954</v>
      </c>
      <c r="M606" s="180" t="s">
        <v>1426</v>
      </c>
      <c r="N606" s="181" t="s">
        <v>441</v>
      </c>
      <c r="O606" s="182" t="s">
        <v>1427</v>
      </c>
    </row>
    <row r="607" spans="1:15" ht="12">
      <c r="A607" s="148"/>
      <c r="B607" s="174" t="s">
        <v>2527</v>
      </c>
      <c r="C607" s="175" t="s">
        <v>1372</v>
      </c>
      <c r="D607" s="176" t="s">
        <v>1373</v>
      </c>
      <c r="E607" s="177" t="s">
        <v>2528</v>
      </c>
      <c r="F607" s="175">
        <f t="shared" si="27"/>
        <v>9</v>
      </c>
      <c r="G607" s="175" t="str">
        <f t="shared" si="28"/>
        <v>Phoenix</v>
      </c>
      <c r="H607" s="175" t="str">
        <f t="shared" si="29"/>
        <v>Phoenix, AZ</v>
      </c>
      <c r="I607" s="178" t="s">
        <v>2529</v>
      </c>
      <c r="J607" s="27" t="s">
        <v>1373</v>
      </c>
      <c r="K607" s="27">
        <v>4162</v>
      </c>
      <c r="L607" s="179">
        <v>1350</v>
      </c>
      <c r="M607" s="178" t="s">
        <v>2530</v>
      </c>
      <c r="N607" s="27" t="s">
        <v>1373</v>
      </c>
      <c r="O607" s="182" t="s">
        <v>2531</v>
      </c>
    </row>
    <row r="608" spans="1:15" ht="12">
      <c r="A608" s="148"/>
      <c r="B608" s="174" t="s">
        <v>2532</v>
      </c>
      <c r="C608" s="175" t="s">
        <v>1372</v>
      </c>
      <c r="D608" s="176" t="s">
        <v>1373</v>
      </c>
      <c r="E608" s="177" t="s">
        <v>2528</v>
      </c>
      <c r="F608" s="175">
        <f t="shared" si="27"/>
        <v>9</v>
      </c>
      <c r="G608" s="175" t="str">
        <f t="shared" si="28"/>
        <v>Phoenix</v>
      </c>
      <c r="H608" s="175" t="str">
        <f t="shared" si="29"/>
        <v>Phoenix, AZ</v>
      </c>
      <c r="I608" s="178" t="s">
        <v>2529</v>
      </c>
      <c r="J608" s="27" t="s">
        <v>1373</v>
      </c>
      <c r="K608" s="27">
        <v>4162</v>
      </c>
      <c r="L608" s="179">
        <v>1350</v>
      </c>
      <c r="M608" s="178" t="s">
        <v>2530</v>
      </c>
      <c r="N608" s="27" t="s">
        <v>1373</v>
      </c>
      <c r="O608" s="182" t="s">
        <v>2531</v>
      </c>
    </row>
    <row r="609" spans="1:15" ht="12">
      <c r="A609" s="148"/>
      <c r="B609" s="174" t="s">
        <v>2533</v>
      </c>
      <c r="C609" s="175" t="s">
        <v>246</v>
      </c>
      <c r="D609" s="176" t="s">
        <v>247</v>
      </c>
      <c r="E609" s="177" t="s">
        <v>2534</v>
      </c>
      <c r="F609" s="175">
        <f t="shared" si="27"/>
        <v>8</v>
      </c>
      <c r="G609" s="175" t="str">
        <f t="shared" si="28"/>
        <v>Pierre</v>
      </c>
      <c r="H609" s="175" t="str">
        <f t="shared" si="29"/>
        <v>Pierre, SD</v>
      </c>
      <c r="I609" s="178" t="s">
        <v>450</v>
      </c>
      <c r="J609" s="27" t="s">
        <v>247</v>
      </c>
      <c r="K609" s="27">
        <v>611</v>
      </c>
      <c r="L609" s="179">
        <v>7301</v>
      </c>
      <c r="M609" s="180" t="s">
        <v>451</v>
      </c>
      <c r="N609" s="181" t="s">
        <v>247</v>
      </c>
      <c r="O609" s="182" t="s">
        <v>452</v>
      </c>
    </row>
    <row r="610" spans="1:15" ht="12">
      <c r="A610" s="148"/>
      <c r="B610" s="174" t="s">
        <v>2535</v>
      </c>
      <c r="C610" s="175" t="s">
        <v>516</v>
      </c>
      <c r="D610" s="176" t="s">
        <v>517</v>
      </c>
      <c r="E610" s="177" t="s">
        <v>2536</v>
      </c>
      <c r="F610" s="175">
        <f t="shared" si="27"/>
        <v>11</v>
      </c>
      <c r="G610" s="175" t="str">
        <f t="shared" si="28"/>
        <v>Pikeville</v>
      </c>
      <c r="H610" s="175" t="str">
        <f t="shared" si="29"/>
        <v>Pikeville, KY</v>
      </c>
      <c r="I610" s="178" t="s">
        <v>1380</v>
      </c>
      <c r="J610" s="27" t="s">
        <v>1591</v>
      </c>
      <c r="K610" s="27">
        <v>1031</v>
      </c>
      <c r="L610" s="179">
        <v>4646</v>
      </c>
      <c r="M610" s="180" t="s">
        <v>1592</v>
      </c>
      <c r="N610" s="181" t="s">
        <v>1591</v>
      </c>
      <c r="O610" s="182" t="s">
        <v>1593</v>
      </c>
    </row>
    <row r="611" spans="1:15" ht="12">
      <c r="A611" s="148"/>
      <c r="B611" s="174" t="s">
        <v>2537</v>
      </c>
      <c r="C611" s="175" t="s">
        <v>516</v>
      </c>
      <c r="D611" s="176" t="s">
        <v>517</v>
      </c>
      <c r="E611" s="177" t="s">
        <v>2536</v>
      </c>
      <c r="F611" s="175">
        <f t="shared" si="27"/>
        <v>11</v>
      </c>
      <c r="G611" s="175" t="str">
        <f t="shared" si="28"/>
        <v>Pikeville</v>
      </c>
      <c r="H611" s="175" t="str">
        <f t="shared" si="29"/>
        <v>Pikeville, KY</v>
      </c>
      <c r="I611" s="178" t="s">
        <v>1590</v>
      </c>
      <c r="J611" s="27" t="s">
        <v>1591</v>
      </c>
      <c r="K611" s="27">
        <v>1005</v>
      </c>
      <c r="L611" s="179">
        <v>4665</v>
      </c>
      <c r="M611" s="180" t="s">
        <v>1592</v>
      </c>
      <c r="N611" s="181" t="s">
        <v>1591</v>
      </c>
      <c r="O611" s="182" t="s">
        <v>1593</v>
      </c>
    </row>
    <row r="612" spans="1:15" ht="12">
      <c r="A612" s="148"/>
      <c r="B612" s="174" t="s">
        <v>2538</v>
      </c>
      <c r="C612" s="175" t="s">
        <v>1650</v>
      </c>
      <c r="D612" s="176" t="s">
        <v>1651</v>
      </c>
      <c r="E612" s="177" t="s">
        <v>2539</v>
      </c>
      <c r="F612" s="175">
        <f t="shared" si="27"/>
        <v>12</v>
      </c>
      <c r="G612" s="175" t="str">
        <f t="shared" si="28"/>
        <v>Pine Bluff</v>
      </c>
      <c r="H612" s="175" t="str">
        <f t="shared" si="29"/>
        <v>Pine Bluff, AR</v>
      </c>
      <c r="I612" s="178" t="s">
        <v>2134</v>
      </c>
      <c r="J612" s="27" t="s">
        <v>1407</v>
      </c>
      <c r="K612" s="27">
        <v>2215</v>
      </c>
      <c r="L612" s="179">
        <v>2467</v>
      </c>
      <c r="M612" s="180" t="s">
        <v>1408</v>
      </c>
      <c r="N612" s="181" t="s">
        <v>1407</v>
      </c>
      <c r="O612" s="182" t="s">
        <v>1409</v>
      </c>
    </row>
    <row r="613" spans="1:15" ht="12">
      <c r="A613" s="148"/>
      <c r="B613" s="174" t="s">
        <v>2540</v>
      </c>
      <c r="C613" s="175" t="s">
        <v>440</v>
      </c>
      <c r="D613" s="176" t="s">
        <v>441</v>
      </c>
      <c r="E613" s="177" t="s">
        <v>2541</v>
      </c>
      <c r="F613" s="175">
        <f t="shared" si="27"/>
        <v>12</v>
      </c>
      <c r="G613" s="175" t="str">
        <f t="shared" si="28"/>
        <v>Pittsburgh</v>
      </c>
      <c r="H613" s="175" t="str">
        <f t="shared" si="29"/>
        <v>Pittsburgh, PA</v>
      </c>
      <c r="I613" s="178" t="s">
        <v>455</v>
      </c>
      <c r="J613" s="27" t="s">
        <v>441</v>
      </c>
      <c r="K613" s="27">
        <v>654</v>
      </c>
      <c r="L613" s="179">
        <v>5968</v>
      </c>
      <c r="M613" s="180" t="s">
        <v>456</v>
      </c>
      <c r="N613" s="181" t="s">
        <v>441</v>
      </c>
      <c r="O613" s="182" t="s">
        <v>457</v>
      </c>
    </row>
    <row r="614" spans="1:15" ht="12">
      <c r="A614" s="148"/>
      <c r="B614" s="174" t="s">
        <v>2542</v>
      </c>
      <c r="C614" s="175" t="s">
        <v>440</v>
      </c>
      <c r="D614" s="176" t="s">
        <v>441</v>
      </c>
      <c r="E614" s="177" t="s">
        <v>2541</v>
      </c>
      <c r="F614" s="175">
        <f t="shared" si="27"/>
        <v>12</v>
      </c>
      <c r="G614" s="175" t="str">
        <f t="shared" si="28"/>
        <v>Pittsburgh</v>
      </c>
      <c r="H614" s="175" t="str">
        <f t="shared" si="29"/>
        <v>Pittsburgh, PA</v>
      </c>
      <c r="I614" s="178" t="s">
        <v>455</v>
      </c>
      <c r="J614" s="27" t="s">
        <v>441</v>
      </c>
      <c r="K614" s="27">
        <v>654</v>
      </c>
      <c r="L614" s="179">
        <v>5968</v>
      </c>
      <c r="M614" s="180" t="s">
        <v>456</v>
      </c>
      <c r="N614" s="181" t="s">
        <v>441</v>
      </c>
      <c r="O614" s="182" t="s">
        <v>457</v>
      </c>
    </row>
    <row r="615" spans="1:15" ht="12">
      <c r="A615" s="148"/>
      <c r="B615" s="174" t="s">
        <v>2543</v>
      </c>
      <c r="C615" s="175" t="s">
        <v>440</v>
      </c>
      <c r="D615" s="176" t="s">
        <v>441</v>
      </c>
      <c r="E615" s="177" t="s">
        <v>2541</v>
      </c>
      <c r="F615" s="175">
        <f t="shared" si="27"/>
        <v>12</v>
      </c>
      <c r="G615" s="175" t="str">
        <f t="shared" si="28"/>
        <v>Pittsburgh</v>
      </c>
      <c r="H615" s="175" t="str">
        <f t="shared" si="29"/>
        <v>Pittsburgh, PA</v>
      </c>
      <c r="I615" s="178" t="s">
        <v>455</v>
      </c>
      <c r="J615" s="27" t="s">
        <v>441</v>
      </c>
      <c r="K615" s="27">
        <v>654</v>
      </c>
      <c r="L615" s="179">
        <v>5968</v>
      </c>
      <c r="M615" s="180" t="s">
        <v>456</v>
      </c>
      <c r="N615" s="181" t="s">
        <v>441</v>
      </c>
      <c r="O615" s="182" t="s">
        <v>457</v>
      </c>
    </row>
    <row r="616" spans="1:15" ht="12">
      <c r="A616" s="148"/>
      <c r="B616" s="186" t="s">
        <v>2544</v>
      </c>
      <c r="C616" s="175" t="s">
        <v>2382</v>
      </c>
      <c r="D616" s="176" t="s">
        <v>2383</v>
      </c>
      <c r="E616" s="177" t="s">
        <v>2545</v>
      </c>
      <c r="F616" s="175">
        <f t="shared" si="27"/>
        <v>12</v>
      </c>
      <c r="G616" s="175" t="str">
        <f t="shared" si="28"/>
        <v>Pittsfield</v>
      </c>
      <c r="H616" s="175" t="str">
        <f t="shared" si="29"/>
        <v>Pittsfield, MA</v>
      </c>
      <c r="I616" s="178" t="s">
        <v>409</v>
      </c>
      <c r="J616" s="27" t="s">
        <v>408</v>
      </c>
      <c r="K616" s="27">
        <v>507</v>
      </c>
      <c r="L616" s="179">
        <v>6894</v>
      </c>
      <c r="M616" s="180" t="s">
        <v>410</v>
      </c>
      <c r="N616" s="181" t="s">
        <v>408</v>
      </c>
      <c r="O616" s="182" t="s">
        <v>411</v>
      </c>
    </row>
    <row r="617" spans="1:15" ht="12">
      <c r="A617" s="148"/>
      <c r="B617" s="186" t="s">
        <v>2546</v>
      </c>
      <c r="C617" s="175" t="s">
        <v>262</v>
      </c>
      <c r="D617" s="176" t="s">
        <v>263</v>
      </c>
      <c r="E617" s="177" t="s">
        <v>2545</v>
      </c>
      <c r="F617" s="175">
        <f t="shared" si="27"/>
        <v>12</v>
      </c>
      <c r="G617" s="175" t="str">
        <f t="shared" si="28"/>
        <v>Pittsfield</v>
      </c>
      <c r="H617" s="175" t="str">
        <f t="shared" si="29"/>
        <v>Pittsfield, NH</v>
      </c>
      <c r="I617" s="178" t="s">
        <v>265</v>
      </c>
      <c r="J617" s="27" t="s">
        <v>263</v>
      </c>
      <c r="K617" s="27">
        <v>328</v>
      </c>
      <c r="L617" s="179">
        <v>7554</v>
      </c>
      <c r="M617" s="180" t="s">
        <v>266</v>
      </c>
      <c r="N617" s="181" t="s">
        <v>263</v>
      </c>
      <c r="O617" s="182" t="s">
        <v>267</v>
      </c>
    </row>
    <row r="618" spans="1:15" ht="12">
      <c r="A618" s="148"/>
      <c r="B618" s="174" t="s">
        <v>2547</v>
      </c>
      <c r="C618" s="175" t="s">
        <v>33</v>
      </c>
      <c r="D618" s="176" t="s">
        <v>1763</v>
      </c>
      <c r="E618" s="177" t="s">
        <v>2548</v>
      </c>
      <c r="F618" s="175">
        <f t="shared" si="27"/>
        <v>13</v>
      </c>
      <c r="G618" s="175" t="str">
        <f t="shared" si="28"/>
        <v>Platteville</v>
      </c>
      <c r="H618" s="175" t="str">
        <f t="shared" si="29"/>
        <v>Platteville, WI</v>
      </c>
      <c r="I618" s="178" t="s">
        <v>2424</v>
      </c>
      <c r="J618" s="27" t="s">
        <v>1395</v>
      </c>
      <c r="K618" s="27">
        <v>702</v>
      </c>
      <c r="L618" s="179">
        <v>7406</v>
      </c>
      <c r="M618" s="180" t="s">
        <v>953</v>
      </c>
      <c r="N618" s="181" t="s">
        <v>1763</v>
      </c>
      <c r="O618" s="182" t="s">
        <v>954</v>
      </c>
    </row>
    <row r="619" spans="1:15" ht="12">
      <c r="A619" s="148"/>
      <c r="B619" s="174" t="s">
        <v>2549</v>
      </c>
      <c r="C619" s="175" t="s">
        <v>407</v>
      </c>
      <c r="D619" s="176" t="s">
        <v>408</v>
      </c>
      <c r="E619" s="177" t="s">
        <v>2550</v>
      </c>
      <c r="F619" s="175">
        <f t="shared" si="27"/>
        <v>13</v>
      </c>
      <c r="G619" s="175" t="str">
        <f t="shared" si="28"/>
        <v>Plattsburgh</v>
      </c>
      <c r="H619" s="175" t="str">
        <f t="shared" si="29"/>
        <v>Plattsburgh, NY</v>
      </c>
      <c r="I619" s="178" t="s">
        <v>1401</v>
      </c>
      <c r="J619" s="27" t="s">
        <v>1684</v>
      </c>
      <c r="K619" s="27">
        <v>388</v>
      </c>
      <c r="L619" s="179">
        <v>7771</v>
      </c>
      <c r="M619" s="180" t="s">
        <v>1402</v>
      </c>
      <c r="N619" s="181" t="s">
        <v>1684</v>
      </c>
      <c r="O619" s="182" t="s">
        <v>1403</v>
      </c>
    </row>
    <row r="620" spans="1:15" ht="12">
      <c r="A620" s="148"/>
      <c r="B620" s="174" t="s">
        <v>2551</v>
      </c>
      <c r="C620" s="175" t="s">
        <v>2374</v>
      </c>
      <c r="D620" s="176" t="s">
        <v>2375</v>
      </c>
      <c r="E620" s="177" t="s">
        <v>2552</v>
      </c>
      <c r="F620" s="175">
        <f t="shared" si="27"/>
        <v>11</v>
      </c>
      <c r="G620" s="175" t="str">
        <f t="shared" si="28"/>
        <v>Pocatello</v>
      </c>
      <c r="H620" s="175" t="str">
        <f t="shared" si="29"/>
        <v>Pocatello, ID</v>
      </c>
      <c r="I620" s="178" t="s">
        <v>63</v>
      </c>
      <c r="J620" s="27" t="s">
        <v>2375</v>
      </c>
      <c r="K620" s="27">
        <v>421</v>
      </c>
      <c r="L620" s="179">
        <v>7180</v>
      </c>
      <c r="M620" s="180" t="s">
        <v>64</v>
      </c>
      <c r="N620" s="181" t="s">
        <v>2375</v>
      </c>
      <c r="O620" s="182" t="s">
        <v>65</v>
      </c>
    </row>
    <row r="621" spans="1:15" ht="12">
      <c r="A621" s="148"/>
      <c r="B621" s="174" t="s">
        <v>2553</v>
      </c>
      <c r="C621" s="175" t="s">
        <v>433</v>
      </c>
      <c r="D621" s="176" t="s">
        <v>434</v>
      </c>
      <c r="E621" s="177" t="s">
        <v>2554</v>
      </c>
      <c r="F621" s="175">
        <f t="shared" si="27"/>
        <v>15</v>
      </c>
      <c r="G621" s="175" t="str">
        <f t="shared" si="28"/>
        <v>Pollock Pines</v>
      </c>
      <c r="H621" s="175" t="str">
        <f t="shared" si="29"/>
        <v>Pollock Pines, CA</v>
      </c>
      <c r="I621" s="178" t="s">
        <v>1465</v>
      </c>
      <c r="J621" s="27" t="s">
        <v>1463</v>
      </c>
      <c r="K621" s="27">
        <v>508</v>
      </c>
      <c r="L621" s="179">
        <v>5674</v>
      </c>
      <c r="M621" s="180" t="s">
        <v>1466</v>
      </c>
      <c r="N621" s="181" t="s">
        <v>1463</v>
      </c>
      <c r="O621" s="182" t="s">
        <v>1467</v>
      </c>
    </row>
    <row r="622" spans="1:15" ht="12">
      <c r="A622" s="148"/>
      <c r="B622" s="174" t="s">
        <v>2555</v>
      </c>
      <c r="C622" s="175" t="s">
        <v>500</v>
      </c>
      <c r="D622" s="176" t="s">
        <v>501</v>
      </c>
      <c r="E622" s="177" t="s">
        <v>2556</v>
      </c>
      <c r="F622" s="175">
        <f t="shared" si="27"/>
        <v>12</v>
      </c>
      <c r="G622" s="175" t="str">
        <f t="shared" si="28"/>
        <v>Ponca City</v>
      </c>
      <c r="H622" s="175" t="str">
        <f t="shared" si="29"/>
        <v>Ponca City, OK</v>
      </c>
      <c r="I622" s="178" t="s">
        <v>2557</v>
      </c>
      <c r="J622" s="27" t="s">
        <v>501</v>
      </c>
      <c r="K622" s="27">
        <v>2017</v>
      </c>
      <c r="L622" s="179">
        <v>3691</v>
      </c>
      <c r="M622" s="180" t="s">
        <v>2558</v>
      </c>
      <c r="N622" s="181" t="s">
        <v>501</v>
      </c>
      <c r="O622" s="182" t="s">
        <v>2559</v>
      </c>
    </row>
    <row r="623" spans="1:15" ht="12">
      <c r="A623" s="148"/>
      <c r="B623" s="174" t="s">
        <v>2560</v>
      </c>
      <c r="C623" s="175" t="s">
        <v>1438</v>
      </c>
      <c r="D623" s="176" t="s">
        <v>1439</v>
      </c>
      <c r="E623" s="177" t="s">
        <v>2561</v>
      </c>
      <c r="F623" s="175">
        <f t="shared" si="27"/>
        <v>14</v>
      </c>
      <c r="G623" s="175" t="str">
        <f t="shared" si="28"/>
        <v>Poplar Bluff</v>
      </c>
      <c r="H623" s="175" t="str">
        <f t="shared" si="29"/>
        <v>Poplar Bluff, MO</v>
      </c>
      <c r="I623" s="178" t="s">
        <v>1985</v>
      </c>
      <c r="J623" s="27" t="s">
        <v>1439</v>
      </c>
      <c r="K623" s="27">
        <v>1320</v>
      </c>
      <c r="L623" s="179">
        <v>4638</v>
      </c>
      <c r="M623" s="180" t="s">
        <v>1712</v>
      </c>
      <c r="N623" s="181" t="s">
        <v>1439</v>
      </c>
      <c r="O623" s="182" t="s">
        <v>1986</v>
      </c>
    </row>
    <row r="624" spans="1:15" ht="12">
      <c r="A624" s="148"/>
      <c r="B624" s="174" t="s">
        <v>2562</v>
      </c>
      <c r="C624" s="175" t="s">
        <v>33</v>
      </c>
      <c r="D624" s="176" t="s">
        <v>1763</v>
      </c>
      <c r="E624" s="177" t="s">
        <v>2563</v>
      </c>
      <c r="F624" s="175">
        <f t="shared" si="27"/>
        <v>9</v>
      </c>
      <c r="G624" s="175" t="str">
        <f t="shared" si="28"/>
        <v>Portage</v>
      </c>
      <c r="H624" s="175" t="str">
        <f t="shared" si="29"/>
        <v>Portage, WI</v>
      </c>
      <c r="I624" s="178" t="s">
        <v>952</v>
      </c>
      <c r="J624" s="27" t="s">
        <v>1763</v>
      </c>
      <c r="K624" s="27">
        <v>485</v>
      </c>
      <c r="L624" s="179">
        <v>7673</v>
      </c>
      <c r="M624" s="180" t="s">
        <v>953</v>
      </c>
      <c r="N624" s="181" t="s">
        <v>1763</v>
      </c>
      <c r="O624" s="182" t="s">
        <v>954</v>
      </c>
    </row>
    <row r="625" spans="1:15" ht="12">
      <c r="A625" s="148"/>
      <c r="B625" s="186" t="s">
        <v>2564</v>
      </c>
      <c r="C625" s="175" t="s">
        <v>1616</v>
      </c>
      <c r="D625" s="176" t="s">
        <v>1617</v>
      </c>
      <c r="E625" s="177" t="s">
        <v>2565</v>
      </c>
      <c r="F625" s="175">
        <f t="shared" si="27"/>
        <v>10</v>
      </c>
      <c r="G625" s="175" t="str">
        <f t="shared" si="28"/>
        <v>Portland</v>
      </c>
      <c r="H625" s="175" t="str">
        <f t="shared" si="29"/>
        <v>Portland, ME</v>
      </c>
      <c r="I625" s="178" t="s">
        <v>1619</v>
      </c>
      <c r="J625" s="27" t="s">
        <v>1617</v>
      </c>
      <c r="K625" s="27">
        <v>268</v>
      </c>
      <c r="L625" s="179">
        <v>7378</v>
      </c>
      <c r="M625" s="180" t="s">
        <v>1620</v>
      </c>
      <c r="N625" s="181" t="s">
        <v>1617</v>
      </c>
      <c r="O625" s="182" t="s">
        <v>1621</v>
      </c>
    </row>
    <row r="626" spans="1:15" ht="12">
      <c r="A626" s="148"/>
      <c r="B626" s="186" t="s">
        <v>2566</v>
      </c>
      <c r="C626" s="175" t="s">
        <v>1616</v>
      </c>
      <c r="D626" s="176" t="s">
        <v>1617</v>
      </c>
      <c r="E626" s="177" t="s">
        <v>2565</v>
      </c>
      <c r="F626" s="175">
        <f t="shared" si="27"/>
        <v>10</v>
      </c>
      <c r="G626" s="175" t="str">
        <f t="shared" si="28"/>
        <v>Portland</v>
      </c>
      <c r="H626" s="175" t="str">
        <f t="shared" si="29"/>
        <v>Portland, ME</v>
      </c>
      <c r="I626" s="178" t="s">
        <v>1619</v>
      </c>
      <c r="J626" s="27" t="s">
        <v>1617</v>
      </c>
      <c r="K626" s="27">
        <v>268</v>
      </c>
      <c r="L626" s="179">
        <v>7378</v>
      </c>
      <c r="M626" s="180" t="s">
        <v>1620</v>
      </c>
      <c r="N626" s="181" t="s">
        <v>1617</v>
      </c>
      <c r="O626" s="182" t="s">
        <v>1621</v>
      </c>
    </row>
    <row r="627" spans="1:15" ht="12">
      <c r="A627" s="148"/>
      <c r="B627" s="174" t="s">
        <v>2567</v>
      </c>
      <c r="C627" s="175" t="s">
        <v>1694</v>
      </c>
      <c r="D627" s="176" t="s">
        <v>1695</v>
      </c>
      <c r="E627" s="177" t="s">
        <v>2565</v>
      </c>
      <c r="F627" s="175">
        <f t="shared" si="27"/>
        <v>10</v>
      </c>
      <c r="G627" s="175" t="str">
        <f t="shared" si="28"/>
        <v>Portland</v>
      </c>
      <c r="H627" s="175" t="str">
        <f t="shared" si="29"/>
        <v>Portland, OR</v>
      </c>
      <c r="I627" s="178" t="s">
        <v>2568</v>
      </c>
      <c r="J627" s="27" t="s">
        <v>1695</v>
      </c>
      <c r="K627" s="27">
        <v>371</v>
      </c>
      <c r="L627" s="179">
        <v>4522</v>
      </c>
      <c r="M627" s="180" t="s">
        <v>1620</v>
      </c>
      <c r="N627" s="181" t="s">
        <v>1695</v>
      </c>
      <c r="O627" s="182" t="s">
        <v>2569</v>
      </c>
    </row>
    <row r="628" spans="1:15" ht="12">
      <c r="A628" s="148"/>
      <c r="B628" s="174" t="s">
        <v>2570</v>
      </c>
      <c r="C628" s="175" t="s">
        <v>1694</v>
      </c>
      <c r="D628" s="176" t="s">
        <v>1695</v>
      </c>
      <c r="E628" s="177" t="s">
        <v>2565</v>
      </c>
      <c r="F628" s="175">
        <f t="shared" si="27"/>
        <v>10</v>
      </c>
      <c r="G628" s="175" t="str">
        <f t="shared" si="28"/>
        <v>Portland</v>
      </c>
      <c r="H628" s="175" t="str">
        <f t="shared" si="29"/>
        <v>Portland, OR</v>
      </c>
      <c r="I628" s="178" t="s">
        <v>2568</v>
      </c>
      <c r="J628" s="27" t="s">
        <v>1695</v>
      </c>
      <c r="K628" s="27">
        <v>371</v>
      </c>
      <c r="L628" s="179">
        <v>4522</v>
      </c>
      <c r="M628" s="180" t="s">
        <v>1620</v>
      </c>
      <c r="N628" s="181" t="s">
        <v>1695</v>
      </c>
      <c r="O628" s="182" t="s">
        <v>2569</v>
      </c>
    </row>
    <row r="629" spans="1:15" ht="12">
      <c r="A629" s="148"/>
      <c r="B629" s="186" t="s">
        <v>2571</v>
      </c>
      <c r="C629" s="175" t="s">
        <v>262</v>
      </c>
      <c r="D629" s="176" t="s">
        <v>263</v>
      </c>
      <c r="E629" s="177" t="s">
        <v>2572</v>
      </c>
      <c r="F629" s="175">
        <f t="shared" si="27"/>
        <v>12</v>
      </c>
      <c r="G629" s="175" t="str">
        <f t="shared" si="28"/>
        <v>Portsmouth</v>
      </c>
      <c r="H629" s="175" t="str">
        <f t="shared" si="29"/>
        <v>Portsmouth, NH</v>
      </c>
      <c r="I629" s="178" t="s">
        <v>1619</v>
      </c>
      <c r="J629" s="27" t="s">
        <v>1617</v>
      </c>
      <c r="K629" s="27">
        <v>268</v>
      </c>
      <c r="L629" s="179">
        <v>7378</v>
      </c>
      <c r="M629" s="180" t="s">
        <v>1620</v>
      </c>
      <c r="N629" s="181" t="s">
        <v>1617</v>
      </c>
      <c r="O629" s="182" t="s">
        <v>1621</v>
      </c>
    </row>
    <row r="630" spans="1:15" ht="12">
      <c r="A630" s="148"/>
      <c r="B630" s="174" t="s">
        <v>2573</v>
      </c>
      <c r="C630" s="175" t="s">
        <v>425</v>
      </c>
      <c r="D630" s="176" t="s">
        <v>426</v>
      </c>
      <c r="E630" s="177" t="s">
        <v>2572</v>
      </c>
      <c r="F630" s="175">
        <f t="shared" si="27"/>
        <v>12</v>
      </c>
      <c r="G630" s="175" t="str">
        <f t="shared" si="28"/>
        <v>Portsmouth</v>
      </c>
      <c r="H630" s="175" t="str">
        <f t="shared" si="29"/>
        <v>Portsmouth, VA</v>
      </c>
      <c r="I630" s="178" t="s">
        <v>47</v>
      </c>
      <c r="J630" s="27" t="s">
        <v>426</v>
      </c>
      <c r="K630" s="27">
        <v>1422</v>
      </c>
      <c r="L630" s="179">
        <v>3495</v>
      </c>
      <c r="M630" s="180" t="s">
        <v>48</v>
      </c>
      <c r="N630" s="181" t="s">
        <v>426</v>
      </c>
      <c r="O630" s="182" t="s">
        <v>49</v>
      </c>
    </row>
    <row r="631" spans="1:15" ht="12">
      <c r="A631" s="148"/>
      <c r="B631" s="174" t="s">
        <v>2574</v>
      </c>
      <c r="C631" s="175" t="s">
        <v>500</v>
      </c>
      <c r="D631" s="176" t="s">
        <v>501</v>
      </c>
      <c r="E631" s="177" t="s">
        <v>2575</v>
      </c>
      <c r="F631" s="175">
        <f t="shared" si="27"/>
        <v>8</v>
      </c>
      <c r="G631" s="175" t="str">
        <f t="shared" si="28"/>
        <v>Poteau</v>
      </c>
      <c r="H631" s="175" t="str">
        <f t="shared" si="29"/>
        <v>Poteau, OK</v>
      </c>
      <c r="I631" s="178" t="s">
        <v>2026</v>
      </c>
      <c r="J631" s="27" t="s">
        <v>1651</v>
      </c>
      <c r="K631" s="27">
        <v>1894</v>
      </c>
      <c r="L631" s="179">
        <v>3478</v>
      </c>
      <c r="M631" s="178" t="s">
        <v>2027</v>
      </c>
      <c r="N631" s="27" t="s">
        <v>1651</v>
      </c>
      <c r="O631" s="182" t="s">
        <v>2028</v>
      </c>
    </row>
    <row r="632" spans="1:15" ht="12">
      <c r="A632" s="148"/>
      <c r="B632" s="174" t="s">
        <v>2576</v>
      </c>
      <c r="C632" s="175" t="s">
        <v>440</v>
      </c>
      <c r="D632" s="176" t="s">
        <v>441</v>
      </c>
      <c r="E632" s="177" t="s">
        <v>2577</v>
      </c>
      <c r="F632" s="175">
        <f t="shared" si="27"/>
        <v>12</v>
      </c>
      <c r="G632" s="175" t="str">
        <f t="shared" si="28"/>
        <v>Pottsville</v>
      </c>
      <c r="H632" s="175" t="str">
        <f t="shared" si="29"/>
        <v>Pottsville, PA</v>
      </c>
      <c r="I632" s="178" t="s">
        <v>443</v>
      </c>
      <c r="J632" s="27" t="s">
        <v>441</v>
      </c>
      <c r="K632" s="27">
        <v>773</v>
      </c>
      <c r="L632" s="179">
        <v>5785</v>
      </c>
      <c r="M632" s="178" t="s">
        <v>444</v>
      </c>
      <c r="N632" s="27" t="s">
        <v>441</v>
      </c>
      <c r="O632" s="182" t="s">
        <v>445</v>
      </c>
    </row>
    <row r="633" spans="1:15" ht="12">
      <c r="A633" s="148"/>
      <c r="B633" s="174" t="s">
        <v>2578</v>
      </c>
      <c r="C633" s="175" t="s">
        <v>407</v>
      </c>
      <c r="D633" s="176" t="s">
        <v>408</v>
      </c>
      <c r="E633" s="177" t="s">
        <v>2579</v>
      </c>
      <c r="F633" s="175">
        <f t="shared" si="27"/>
        <v>14</v>
      </c>
      <c r="G633" s="175" t="str">
        <f t="shared" si="28"/>
        <v>Poughkeepsie</v>
      </c>
      <c r="H633" s="175" t="str">
        <f t="shared" si="29"/>
        <v>Poughkeepsie, NY</v>
      </c>
      <c r="I633" s="178" t="s">
        <v>714</v>
      </c>
      <c r="J633" s="27" t="s">
        <v>644</v>
      </c>
      <c r="K633" s="27">
        <v>677</v>
      </c>
      <c r="L633" s="179">
        <v>6151</v>
      </c>
      <c r="M633" s="178" t="s">
        <v>711</v>
      </c>
      <c r="N633" s="27" t="s">
        <v>644</v>
      </c>
      <c r="O633" s="182" t="s">
        <v>712</v>
      </c>
    </row>
    <row r="634" spans="1:15" ht="12">
      <c r="A634" s="148"/>
      <c r="B634" s="174" t="s">
        <v>2580</v>
      </c>
      <c r="C634" s="175" t="s">
        <v>407</v>
      </c>
      <c r="D634" s="176" t="s">
        <v>408</v>
      </c>
      <c r="E634" s="177" t="s">
        <v>2579</v>
      </c>
      <c r="F634" s="175">
        <f t="shared" si="27"/>
        <v>14</v>
      </c>
      <c r="G634" s="175" t="str">
        <f t="shared" si="28"/>
        <v>Poughkeepsie</v>
      </c>
      <c r="H634" s="175" t="str">
        <f t="shared" si="29"/>
        <v>Poughkeepsie, NY</v>
      </c>
      <c r="I634" s="178" t="s">
        <v>646</v>
      </c>
      <c r="J634" s="27" t="s">
        <v>644</v>
      </c>
      <c r="K634" s="27">
        <v>724</v>
      </c>
      <c r="L634" s="179">
        <v>5537</v>
      </c>
      <c r="M634" s="178" t="s">
        <v>647</v>
      </c>
      <c r="N634" s="27" t="s">
        <v>644</v>
      </c>
      <c r="O634" s="182" t="s">
        <v>648</v>
      </c>
    </row>
    <row r="635" spans="1:15" ht="12">
      <c r="A635" s="148"/>
      <c r="B635" s="174" t="s">
        <v>2581</v>
      </c>
      <c r="C635" s="175" t="s">
        <v>1372</v>
      </c>
      <c r="D635" s="176" t="s">
        <v>1373</v>
      </c>
      <c r="E635" s="177" t="s">
        <v>2582</v>
      </c>
      <c r="F635" s="175">
        <f t="shared" si="27"/>
        <v>10</v>
      </c>
      <c r="G635" s="175" t="str">
        <f t="shared" si="28"/>
        <v>Prescott</v>
      </c>
      <c r="H635" s="175" t="str">
        <f t="shared" si="29"/>
        <v>Prescott, AZ</v>
      </c>
      <c r="I635" s="178" t="s">
        <v>1990</v>
      </c>
      <c r="J635" s="27" t="s">
        <v>1373</v>
      </c>
      <c r="K635" s="27">
        <v>145</v>
      </c>
      <c r="L635" s="179">
        <v>7131</v>
      </c>
      <c r="M635" s="178" t="s">
        <v>1991</v>
      </c>
      <c r="N635" s="27" t="s">
        <v>1373</v>
      </c>
      <c r="O635" s="182" t="s">
        <v>1992</v>
      </c>
    </row>
    <row r="636" spans="1:15" ht="12">
      <c r="A636" s="148"/>
      <c r="B636" s="186" t="s">
        <v>2583</v>
      </c>
      <c r="C636" s="175" t="s">
        <v>2584</v>
      </c>
      <c r="D636" s="176" t="s">
        <v>2353</v>
      </c>
      <c r="E636" s="177" t="s">
        <v>2585</v>
      </c>
      <c r="F636" s="175">
        <f t="shared" si="27"/>
        <v>12</v>
      </c>
      <c r="G636" s="175" t="str">
        <f t="shared" si="28"/>
        <v>Providence</v>
      </c>
      <c r="H636" s="175" t="str">
        <f t="shared" si="29"/>
        <v>Providence, RI</v>
      </c>
      <c r="I636" s="178" t="s">
        <v>603</v>
      </c>
      <c r="J636" s="27" t="s">
        <v>2383</v>
      </c>
      <c r="K636" s="27">
        <v>333</v>
      </c>
      <c r="L636" s="179">
        <v>6979</v>
      </c>
      <c r="M636" s="180" t="s">
        <v>2354</v>
      </c>
      <c r="N636" s="181" t="s">
        <v>2353</v>
      </c>
      <c r="O636" s="182" t="s">
        <v>2355</v>
      </c>
    </row>
    <row r="637" spans="1:15" ht="12">
      <c r="A637" s="148"/>
      <c r="B637" s="186" t="s">
        <v>2586</v>
      </c>
      <c r="C637" s="175" t="s">
        <v>2584</v>
      </c>
      <c r="D637" s="176" t="s">
        <v>2353</v>
      </c>
      <c r="E637" s="177" t="s">
        <v>2585</v>
      </c>
      <c r="F637" s="175">
        <f t="shared" si="27"/>
        <v>12</v>
      </c>
      <c r="G637" s="175" t="str">
        <f t="shared" si="28"/>
        <v>Providence</v>
      </c>
      <c r="H637" s="175" t="str">
        <f t="shared" si="29"/>
        <v>Providence, RI</v>
      </c>
      <c r="I637" s="178" t="s">
        <v>2352</v>
      </c>
      <c r="J637" s="27" t="s">
        <v>2353</v>
      </c>
      <c r="K637" s="27">
        <v>606</v>
      </c>
      <c r="L637" s="179">
        <v>5884</v>
      </c>
      <c r="M637" s="180" t="s">
        <v>2354</v>
      </c>
      <c r="N637" s="181" t="s">
        <v>2353</v>
      </c>
      <c r="O637" s="182" t="s">
        <v>2355</v>
      </c>
    </row>
    <row r="638" spans="1:15" ht="12">
      <c r="A638" s="148"/>
      <c r="B638" s="174" t="s">
        <v>2587</v>
      </c>
      <c r="C638" s="175" t="s">
        <v>1220</v>
      </c>
      <c r="D638" s="176" t="s">
        <v>1221</v>
      </c>
      <c r="E638" s="177" t="s">
        <v>2588</v>
      </c>
      <c r="F638" s="175">
        <f t="shared" si="27"/>
        <v>7</v>
      </c>
      <c r="G638" s="175" t="str">
        <f t="shared" si="28"/>
        <v>Provo</v>
      </c>
      <c r="H638" s="175" t="str">
        <f t="shared" si="29"/>
        <v>Provo, UT</v>
      </c>
      <c r="I638" s="178" t="s">
        <v>1223</v>
      </c>
      <c r="J638" s="27" t="s">
        <v>1221</v>
      </c>
      <c r="K638" s="27">
        <v>1047</v>
      </c>
      <c r="L638" s="179">
        <v>5765</v>
      </c>
      <c r="M638" s="180" t="s">
        <v>1224</v>
      </c>
      <c r="N638" s="181" t="s">
        <v>1221</v>
      </c>
      <c r="O638" s="182" t="s">
        <v>1225</v>
      </c>
    </row>
    <row r="639" spans="1:15" ht="12">
      <c r="A639" s="148"/>
      <c r="B639" s="174" t="s">
        <v>2589</v>
      </c>
      <c r="C639" s="175" t="s">
        <v>393</v>
      </c>
      <c r="D639" s="176" t="s">
        <v>394</v>
      </c>
      <c r="E639" s="177" t="s">
        <v>2590</v>
      </c>
      <c r="F639" s="175">
        <f t="shared" si="27"/>
        <v>8</v>
      </c>
      <c r="G639" s="175" t="str">
        <f t="shared" si="28"/>
        <v>Pueblo</v>
      </c>
      <c r="H639" s="175" t="str">
        <f t="shared" si="29"/>
        <v>Pueblo, CO</v>
      </c>
      <c r="I639" s="178" t="s">
        <v>2160</v>
      </c>
      <c r="J639" s="27" t="s">
        <v>394</v>
      </c>
      <c r="K639" s="27">
        <v>973</v>
      </c>
      <c r="L639" s="179">
        <v>5413</v>
      </c>
      <c r="M639" s="180" t="s">
        <v>2161</v>
      </c>
      <c r="N639" s="181" t="s">
        <v>394</v>
      </c>
      <c r="O639" s="182" t="s">
        <v>2162</v>
      </c>
    </row>
    <row r="640" spans="1:15" ht="12">
      <c r="A640" s="148"/>
      <c r="B640" s="174" t="s">
        <v>2591</v>
      </c>
      <c r="C640" s="175" t="s">
        <v>425</v>
      </c>
      <c r="D640" s="176" t="s">
        <v>426</v>
      </c>
      <c r="E640" s="177" t="s">
        <v>2592</v>
      </c>
      <c r="F640" s="175">
        <f t="shared" si="27"/>
        <v>9</v>
      </c>
      <c r="G640" s="175" t="str">
        <f t="shared" si="28"/>
        <v>Pulaski</v>
      </c>
      <c r="H640" s="175" t="str">
        <f t="shared" si="29"/>
        <v>Pulaski, VA</v>
      </c>
      <c r="I640" s="178" t="s">
        <v>2370</v>
      </c>
      <c r="J640" s="27" t="s">
        <v>426</v>
      </c>
      <c r="K640" s="27">
        <v>1052</v>
      </c>
      <c r="L640" s="179">
        <v>4360</v>
      </c>
      <c r="M640" s="180" t="s">
        <v>2371</v>
      </c>
      <c r="N640" s="181" t="s">
        <v>426</v>
      </c>
      <c r="O640" s="182" t="s">
        <v>2372</v>
      </c>
    </row>
    <row r="641" spans="1:15" ht="12">
      <c r="A641" s="148"/>
      <c r="B641" s="174" t="s">
        <v>2593</v>
      </c>
      <c r="C641" s="175" t="s">
        <v>407</v>
      </c>
      <c r="D641" s="176" t="s">
        <v>408</v>
      </c>
      <c r="E641" s="177" t="s">
        <v>2594</v>
      </c>
      <c r="F641" s="175">
        <f t="shared" si="27"/>
        <v>8</v>
      </c>
      <c r="G641" s="175" t="str">
        <f t="shared" si="28"/>
        <v>Queens</v>
      </c>
      <c r="H641" s="175" t="str">
        <f t="shared" si="29"/>
        <v>Queens, NY</v>
      </c>
      <c r="I641" s="178" t="s">
        <v>2359</v>
      </c>
      <c r="J641" s="27" t="s">
        <v>408</v>
      </c>
      <c r="K641" s="27">
        <v>1052</v>
      </c>
      <c r="L641" s="179">
        <v>4910</v>
      </c>
      <c r="M641" s="180" t="s">
        <v>2360</v>
      </c>
      <c r="N641" s="181" t="s">
        <v>408</v>
      </c>
      <c r="O641" s="182" t="s">
        <v>1359</v>
      </c>
    </row>
    <row r="642" spans="1:15" ht="12">
      <c r="A642" s="148"/>
      <c r="B642" s="174" t="s">
        <v>2595</v>
      </c>
      <c r="C642" s="175" t="s">
        <v>1708</v>
      </c>
      <c r="D642" s="176" t="s">
        <v>1709</v>
      </c>
      <c r="E642" s="177" t="s">
        <v>2596</v>
      </c>
      <c r="F642" s="175">
        <f t="shared" si="27"/>
        <v>8</v>
      </c>
      <c r="G642" s="175" t="str">
        <f t="shared" si="28"/>
        <v>Quincy</v>
      </c>
      <c r="H642" s="175" t="str">
        <f t="shared" si="29"/>
        <v>Quincy, IL</v>
      </c>
      <c r="I642" s="178" t="s">
        <v>1711</v>
      </c>
      <c r="J642" s="27" t="s">
        <v>1709</v>
      </c>
      <c r="K642" s="27">
        <v>1141</v>
      </c>
      <c r="L642" s="179">
        <v>5688</v>
      </c>
      <c r="M642" s="178" t="s">
        <v>1712</v>
      </c>
      <c r="N642" s="27" t="s">
        <v>1709</v>
      </c>
      <c r="O642" s="182" t="s">
        <v>2361</v>
      </c>
    </row>
    <row r="643" spans="1:15" ht="12">
      <c r="A643" s="148"/>
      <c r="B643" s="174" t="s">
        <v>2597</v>
      </c>
      <c r="C643" s="175" t="s">
        <v>33</v>
      </c>
      <c r="D643" s="176" t="s">
        <v>1763</v>
      </c>
      <c r="E643" s="177" t="s">
        <v>2598</v>
      </c>
      <c r="F643" s="175">
        <f t="shared" si="27"/>
        <v>8</v>
      </c>
      <c r="G643" s="175" t="str">
        <f t="shared" si="28"/>
        <v>Racine</v>
      </c>
      <c r="H643" s="175" t="str">
        <f t="shared" si="29"/>
        <v>Racine, WI</v>
      </c>
      <c r="I643" s="178" t="s">
        <v>164</v>
      </c>
      <c r="J643" s="27" t="s">
        <v>1763</v>
      </c>
      <c r="K643" s="27">
        <v>479</v>
      </c>
      <c r="L643" s="179">
        <v>7324</v>
      </c>
      <c r="M643" s="180" t="s">
        <v>160</v>
      </c>
      <c r="N643" s="181" t="s">
        <v>1763</v>
      </c>
      <c r="O643" s="182" t="s">
        <v>161</v>
      </c>
    </row>
    <row r="644" spans="1:15" ht="12">
      <c r="A644" s="148"/>
      <c r="B644" s="174" t="s">
        <v>2599</v>
      </c>
      <c r="C644" s="175" t="s">
        <v>472</v>
      </c>
      <c r="D644" s="176" t="s">
        <v>473</v>
      </c>
      <c r="E644" s="177" t="s">
        <v>2600</v>
      </c>
      <c r="F644" s="175">
        <f t="shared" si="27"/>
        <v>9</v>
      </c>
      <c r="G644" s="175" t="str">
        <f t="shared" si="28"/>
        <v>Raleigh</v>
      </c>
      <c r="H644" s="175" t="str">
        <f t="shared" si="29"/>
        <v>Raleigh, NC</v>
      </c>
      <c r="I644" s="178" t="s">
        <v>2417</v>
      </c>
      <c r="J644" s="27" t="s">
        <v>473</v>
      </c>
      <c r="K644" s="27">
        <v>1417</v>
      </c>
      <c r="L644" s="179">
        <v>3457</v>
      </c>
      <c r="M644" s="180" t="s">
        <v>521</v>
      </c>
      <c r="N644" s="181" t="s">
        <v>473</v>
      </c>
      <c r="O644" s="182" t="s">
        <v>522</v>
      </c>
    </row>
    <row r="645" spans="1:15" ht="12">
      <c r="A645" s="148"/>
      <c r="B645" s="174" t="s">
        <v>2601</v>
      </c>
      <c r="C645" s="175" t="s">
        <v>472</v>
      </c>
      <c r="D645" s="176" t="s">
        <v>473</v>
      </c>
      <c r="E645" s="177" t="s">
        <v>2600</v>
      </c>
      <c r="F645" s="175">
        <f t="shared" si="27"/>
        <v>9</v>
      </c>
      <c r="G645" s="175" t="str">
        <f t="shared" si="28"/>
        <v>Raleigh</v>
      </c>
      <c r="H645" s="175" t="str">
        <f t="shared" si="29"/>
        <v>Raleigh, NC</v>
      </c>
      <c r="I645" s="178" t="s">
        <v>2417</v>
      </c>
      <c r="J645" s="27" t="s">
        <v>473</v>
      </c>
      <c r="K645" s="27">
        <v>1417</v>
      </c>
      <c r="L645" s="179">
        <v>3457</v>
      </c>
      <c r="M645" s="180" t="s">
        <v>521</v>
      </c>
      <c r="N645" s="181" t="s">
        <v>473</v>
      </c>
      <c r="O645" s="182" t="s">
        <v>522</v>
      </c>
    </row>
    <row r="646" spans="1:15" ht="12">
      <c r="A646" s="148"/>
      <c r="B646" s="174" t="s">
        <v>2602</v>
      </c>
      <c r="C646" s="175" t="s">
        <v>246</v>
      </c>
      <c r="D646" s="176" t="s">
        <v>247</v>
      </c>
      <c r="E646" s="177" t="s">
        <v>2603</v>
      </c>
      <c r="F646" s="175">
        <f t="shared" ref="F646:F709" si="30">LEN(E646)</f>
        <v>12</v>
      </c>
      <c r="G646" s="175" t="str">
        <f t="shared" ref="G646:G709" si="31">MID(E646,2,F646-2)</f>
        <v>Rapid City</v>
      </c>
      <c r="H646" s="175" t="str">
        <f t="shared" ref="H646:H709" si="32">CONCATENATE(G646,", ",+D646)</f>
        <v>Rapid City, SD</v>
      </c>
      <c r="I646" s="178" t="s">
        <v>450</v>
      </c>
      <c r="J646" s="27" t="s">
        <v>247</v>
      </c>
      <c r="K646" s="27">
        <v>611</v>
      </c>
      <c r="L646" s="179">
        <v>7301</v>
      </c>
      <c r="M646" s="180" t="s">
        <v>451</v>
      </c>
      <c r="N646" s="181" t="s">
        <v>247</v>
      </c>
      <c r="O646" s="182" t="s">
        <v>452</v>
      </c>
    </row>
    <row r="647" spans="1:15" ht="12">
      <c r="A647" s="148"/>
      <c r="B647" s="174" t="s">
        <v>2604</v>
      </c>
      <c r="C647" s="175" t="s">
        <v>1474</v>
      </c>
      <c r="D647" s="176" t="s">
        <v>1475</v>
      </c>
      <c r="E647" s="177" t="s">
        <v>2605</v>
      </c>
      <c r="F647" s="175">
        <f t="shared" si="30"/>
        <v>9</v>
      </c>
      <c r="G647" s="175" t="str">
        <f t="shared" si="31"/>
        <v>Rawlins</v>
      </c>
      <c r="H647" s="175" t="str">
        <f t="shared" si="32"/>
        <v>Rawlins, WY</v>
      </c>
      <c r="I647" s="178" t="s">
        <v>2468</v>
      </c>
      <c r="J647" s="27" t="s">
        <v>1475</v>
      </c>
      <c r="K647" s="27">
        <v>285</v>
      </c>
      <c r="L647" s="179">
        <v>7326</v>
      </c>
      <c r="M647" s="180" t="s">
        <v>2469</v>
      </c>
      <c r="N647" s="181" t="s">
        <v>1475</v>
      </c>
      <c r="O647" s="182" t="s">
        <v>2470</v>
      </c>
    </row>
    <row r="648" spans="1:15" ht="12">
      <c r="A648" s="148"/>
      <c r="B648" s="174" t="s">
        <v>2606</v>
      </c>
      <c r="C648" s="175" t="s">
        <v>440</v>
      </c>
      <c r="D648" s="176" t="s">
        <v>441</v>
      </c>
      <c r="E648" s="177" t="s">
        <v>2607</v>
      </c>
      <c r="F648" s="175">
        <f t="shared" si="30"/>
        <v>9</v>
      </c>
      <c r="G648" s="175" t="str">
        <f t="shared" si="31"/>
        <v>Reading</v>
      </c>
      <c r="H648" s="175" t="str">
        <f t="shared" si="32"/>
        <v>Reading, PA</v>
      </c>
      <c r="I648" s="178" t="s">
        <v>443</v>
      </c>
      <c r="J648" s="27" t="s">
        <v>441</v>
      </c>
      <c r="K648" s="27">
        <v>773</v>
      </c>
      <c r="L648" s="179">
        <v>5785</v>
      </c>
      <c r="M648" s="178" t="s">
        <v>444</v>
      </c>
      <c r="N648" s="27" t="s">
        <v>441</v>
      </c>
      <c r="O648" s="182" t="s">
        <v>445</v>
      </c>
    </row>
    <row r="649" spans="1:15" ht="12">
      <c r="A649" s="148"/>
      <c r="B649" s="174" t="s">
        <v>2608</v>
      </c>
      <c r="C649" s="175" t="s">
        <v>440</v>
      </c>
      <c r="D649" s="176" t="s">
        <v>441</v>
      </c>
      <c r="E649" s="177" t="s">
        <v>2607</v>
      </c>
      <c r="F649" s="175">
        <f t="shared" si="30"/>
        <v>9</v>
      </c>
      <c r="G649" s="175" t="str">
        <f t="shared" si="31"/>
        <v>Reading</v>
      </c>
      <c r="H649" s="175" t="str">
        <f t="shared" si="32"/>
        <v>Reading, PA</v>
      </c>
      <c r="I649" s="178" t="s">
        <v>443</v>
      </c>
      <c r="J649" s="27" t="s">
        <v>441</v>
      </c>
      <c r="K649" s="27">
        <v>773</v>
      </c>
      <c r="L649" s="179">
        <v>5785</v>
      </c>
      <c r="M649" s="178" t="s">
        <v>444</v>
      </c>
      <c r="N649" s="27" t="s">
        <v>441</v>
      </c>
      <c r="O649" s="182" t="s">
        <v>445</v>
      </c>
    </row>
    <row r="650" spans="1:15" ht="12">
      <c r="A650" s="148"/>
      <c r="B650" s="186" t="s">
        <v>2609</v>
      </c>
      <c r="C650" s="175" t="s">
        <v>1609</v>
      </c>
      <c r="D650" s="176" t="s">
        <v>1610</v>
      </c>
      <c r="E650" s="177" t="s">
        <v>2610</v>
      </c>
      <c r="F650" s="175">
        <f t="shared" si="30"/>
        <v>10</v>
      </c>
      <c r="G650" s="175" t="str">
        <f t="shared" si="31"/>
        <v>Red Bank</v>
      </c>
      <c r="H650" s="175" t="str">
        <f t="shared" si="32"/>
        <v>Red Bank, NJ</v>
      </c>
      <c r="I650" s="178" t="s">
        <v>52</v>
      </c>
      <c r="J650" s="27" t="s">
        <v>1610</v>
      </c>
      <c r="K650" s="27">
        <v>1201</v>
      </c>
      <c r="L650" s="179">
        <v>4888</v>
      </c>
      <c r="M650" s="180" t="s">
        <v>53</v>
      </c>
      <c r="N650" s="181" t="s">
        <v>1610</v>
      </c>
      <c r="O650" s="182" t="s">
        <v>54</v>
      </c>
    </row>
    <row r="651" spans="1:15" ht="12">
      <c r="A651" s="148"/>
      <c r="B651" s="174" t="s">
        <v>2611</v>
      </c>
      <c r="C651" s="175" t="s">
        <v>433</v>
      </c>
      <c r="D651" s="176" t="s">
        <v>434</v>
      </c>
      <c r="E651" s="177" t="s">
        <v>2612</v>
      </c>
      <c r="F651" s="175">
        <f t="shared" si="30"/>
        <v>9</v>
      </c>
      <c r="G651" s="175" t="str">
        <f t="shared" si="31"/>
        <v>Redding</v>
      </c>
      <c r="H651" s="175" t="str">
        <f t="shared" si="32"/>
        <v>Redding, CA</v>
      </c>
      <c r="I651" s="178" t="s">
        <v>2613</v>
      </c>
      <c r="J651" s="27" t="s">
        <v>434</v>
      </c>
      <c r="K651" s="27">
        <v>1797</v>
      </c>
      <c r="L651" s="179">
        <v>2855</v>
      </c>
      <c r="M651" s="178" t="s">
        <v>595</v>
      </c>
      <c r="N651" s="27" t="s">
        <v>434</v>
      </c>
      <c r="O651" s="182" t="s">
        <v>596</v>
      </c>
    </row>
    <row r="652" spans="1:15" ht="12">
      <c r="A652" s="148"/>
      <c r="B652" s="174" t="s">
        <v>2614</v>
      </c>
      <c r="C652" s="175" t="s">
        <v>1462</v>
      </c>
      <c r="D652" s="176" t="s">
        <v>1463</v>
      </c>
      <c r="E652" s="177" t="s">
        <v>2615</v>
      </c>
      <c r="F652" s="175">
        <f t="shared" si="30"/>
        <v>6</v>
      </c>
      <c r="G652" s="175" t="str">
        <f t="shared" si="31"/>
        <v>Reno</v>
      </c>
      <c r="H652" s="175" t="str">
        <f t="shared" si="32"/>
        <v>Reno, NV</v>
      </c>
      <c r="I652" s="178" t="s">
        <v>1465</v>
      </c>
      <c r="J652" s="27" t="s">
        <v>1463</v>
      </c>
      <c r="K652" s="27">
        <v>508</v>
      </c>
      <c r="L652" s="179">
        <v>5674</v>
      </c>
      <c r="M652" s="180" t="s">
        <v>1466</v>
      </c>
      <c r="N652" s="181" t="s">
        <v>1463</v>
      </c>
      <c r="O652" s="182" t="s">
        <v>1467</v>
      </c>
    </row>
    <row r="653" spans="1:15" ht="12">
      <c r="A653" s="148"/>
      <c r="B653" s="174" t="s">
        <v>2616</v>
      </c>
      <c r="C653" s="175" t="s">
        <v>1462</v>
      </c>
      <c r="D653" s="176" t="s">
        <v>1463</v>
      </c>
      <c r="E653" s="177" t="s">
        <v>2615</v>
      </c>
      <c r="F653" s="175">
        <f t="shared" si="30"/>
        <v>6</v>
      </c>
      <c r="G653" s="175" t="str">
        <f t="shared" si="31"/>
        <v>Reno</v>
      </c>
      <c r="H653" s="175" t="str">
        <f t="shared" si="32"/>
        <v>Reno, NV</v>
      </c>
      <c r="I653" s="178" t="s">
        <v>1465</v>
      </c>
      <c r="J653" s="27" t="s">
        <v>1463</v>
      </c>
      <c r="K653" s="27">
        <v>508</v>
      </c>
      <c r="L653" s="179">
        <v>5674</v>
      </c>
      <c r="M653" s="180" t="s">
        <v>1466</v>
      </c>
      <c r="N653" s="181" t="s">
        <v>1463</v>
      </c>
      <c r="O653" s="182" t="s">
        <v>1467</v>
      </c>
    </row>
    <row r="654" spans="1:15" ht="12">
      <c r="A654" s="148"/>
      <c r="B654" s="174" t="s">
        <v>2617</v>
      </c>
      <c r="C654" s="175" t="s">
        <v>1462</v>
      </c>
      <c r="D654" s="176" t="s">
        <v>1463</v>
      </c>
      <c r="E654" s="177" t="s">
        <v>2615</v>
      </c>
      <c r="F654" s="175">
        <f t="shared" si="30"/>
        <v>6</v>
      </c>
      <c r="G654" s="175" t="str">
        <f t="shared" si="31"/>
        <v>Reno</v>
      </c>
      <c r="H654" s="175" t="str">
        <f t="shared" si="32"/>
        <v>Reno, NV</v>
      </c>
      <c r="I654" s="178" t="s">
        <v>1465</v>
      </c>
      <c r="J654" s="27" t="s">
        <v>1463</v>
      </c>
      <c r="K654" s="27">
        <v>508</v>
      </c>
      <c r="L654" s="179">
        <v>5674</v>
      </c>
      <c r="M654" s="180" t="s">
        <v>1466</v>
      </c>
      <c r="N654" s="181" t="s">
        <v>1463</v>
      </c>
      <c r="O654" s="182" t="s">
        <v>1467</v>
      </c>
    </row>
    <row r="655" spans="1:15" ht="12">
      <c r="A655" s="148"/>
      <c r="B655" s="174" t="s">
        <v>2618</v>
      </c>
      <c r="C655" s="175" t="s">
        <v>33</v>
      </c>
      <c r="D655" s="176" t="s">
        <v>1763</v>
      </c>
      <c r="E655" s="177" t="s">
        <v>2619</v>
      </c>
      <c r="F655" s="175">
        <f t="shared" si="30"/>
        <v>13</v>
      </c>
      <c r="G655" s="175" t="str">
        <f t="shared" si="31"/>
        <v>Rhinelander</v>
      </c>
      <c r="H655" s="175" t="str">
        <f t="shared" si="32"/>
        <v>Rhinelander, WI</v>
      </c>
      <c r="I655" s="178" t="s">
        <v>762</v>
      </c>
      <c r="J655" s="27" t="s">
        <v>481</v>
      </c>
      <c r="K655" s="27">
        <v>256</v>
      </c>
      <c r="L655" s="179">
        <v>8218</v>
      </c>
      <c r="M655" s="180" t="s">
        <v>2117</v>
      </c>
      <c r="N655" s="181" t="s">
        <v>1763</v>
      </c>
      <c r="O655" s="182" t="s">
        <v>2118</v>
      </c>
    </row>
    <row r="656" spans="1:15" ht="12">
      <c r="A656" s="148"/>
      <c r="B656" s="174" t="s">
        <v>23</v>
      </c>
      <c r="C656" s="175" t="s">
        <v>547</v>
      </c>
      <c r="D656" s="176" t="s">
        <v>1699</v>
      </c>
      <c r="E656" s="177" t="s">
        <v>24</v>
      </c>
      <c r="F656" s="175">
        <f t="shared" si="30"/>
        <v>10</v>
      </c>
      <c r="G656" s="175" t="str">
        <f t="shared" si="31"/>
        <v>Richland</v>
      </c>
      <c r="H656" s="175" t="str">
        <f t="shared" si="32"/>
        <v>Richland, WA</v>
      </c>
      <c r="I656" s="178" t="s">
        <v>549</v>
      </c>
      <c r="J656" s="27" t="s">
        <v>1695</v>
      </c>
      <c r="K656" s="27">
        <v>701</v>
      </c>
      <c r="L656" s="179">
        <v>5294</v>
      </c>
      <c r="M656" s="180" t="s">
        <v>1698</v>
      </c>
      <c r="N656" s="181" t="s">
        <v>1699</v>
      </c>
      <c r="O656" s="182" t="s">
        <v>1700</v>
      </c>
    </row>
    <row r="657" spans="1:15" ht="12">
      <c r="A657" s="148"/>
      <c r="B657" s="174" t="s">
        <v>25</v>
      </c>
      <c r="C657" s="175" t="s">
        <v>433</v>
      </c>
      <c r="D657" s="176" t="s">
        <v>434</v>
      </c>
      <c r="E657" s="177" t="s">
        <v>26</v>
      </c>
      <c r="F657" s="175">
        <f t="shared" si="30"/>
        <v>10</v>
      </c>
      <c r="G657" s="175" t="str">
        <f t="shared" si="31"/>
        <v>Richmond</v>
      </c>
      <c r="H657" s="175" t="str">
        <f t="shared" si="32"/>
        <v>Richmond, CA</v>
      </c>
      <c r="I657" s="178" t="s">
        <v>1481</v>
      </c>
      <c r="J657" s="27" t="s">
        <v>434</v>
      </c>
      <c r="K657" s="27">
        <v>145</v>
      </c>
      <c r="L657" s="179">
        <v>3016</v>
      </c>
      <c r="M657" s="178" t="s">
        <v>1482</v>
      </c>
      <c r="N657" s="27" t="s">
        <v>434</v>
      </c>
      <c r="O657" s="182" t="s">
        <v>1483</v>
      </c>
    </row>
    <row r="658" spans="1:15" ht="12">
      <c r="A658" s="148"/>
      <c r="B658" s="174" t="s">
        <v>27</v>
      </c>
      <c r="C658" s="175" t="s">
        <v>425</v>
      </c>
      <c r="D658" s="176" t="s">
        <v>426</v>
      </c>
      <c r="E658" s="177" t="s">
        <v>26</v>
      </c>
      <c r="F658" s="175">
        <f t="shared" si="30"/>
        <v>10</v>
      </c>
      <c r="G658" s="175" t="str">
        <f t="shared" si="31"/>
        <v>Richmond</v>
      </c>
      <c r="H658" s="175" t="str">
        <f t="shared" si="32"/>
        <v>Richmond, VA</v>
      </c>
      <c r="I658" s="178" t="s">
        <v>2453</v>
      </c>
      <c r="J658" s="27" t="s">
        <v>426</v>
      </c>
      <c r="K658" s="27">
        <v>1348</v>
      </c>
      <c r="L658" s="179">
        <v>3963</v>
      </c>
      <c r="M658" s="180" t="s">
        <v>2454</v>
      </c>
      <c r="N658" s="181" t="s">
        <v>426</v>
      </c>
      <c r="O658" s="182" t="s">
        <v>2455</v>
      </c>
    </row>
    <row r="659" spans="1:15" ht="12">
      <c r="A659" s="148"/>
      <c r="B659" s="174" t="s">
        <v>28</v>
      </c>
      <c r="C659" s="175" t="s">
        <v>425</v>
      </c>
      <c r="D659" s="176" t="s">
        <v>426</v>
      </c>
      <c r="E659" s="177" t="s">
        <v>26</v>
      </c>
      <c r="F659" s="175">
        <f t="shared" si="30"/>
        <v>10</v>
      </c>
      <c r="G659" s="175" t="str">
        <f t="shared" si="31"/>
        <v>Richmond</v>
      </c>
      <c r="H659" s="175" t="str">
        <f t="shared" si="32"/>
        <v>Richmond, VA</v>
      </c>
      <c r="I659" s="178" t="s">
        <v>2453</v>
      </c>
      <c r="J659" s="27" t="s">
        <v>426</v>
      </c>
      <c r="K659" s="27">
        <v>1348</v>
      </c>
      <c r="L659" s="179">
        <v>3963</v>
      </c>
      <c r="M659" s="180" t="s">
        <v>2454</v>
      </c>
      <c r="N659" s="181" t="s">
        <v>426</v>
      </c>
      <c r="O659" s="182" t="s">
        <v>2455</v>
      </c>
    </row>
    <row r="660" spans="1:15" ht="12">
      <c r="A660" s="148"/>
      <c r="B660" s="174" t="s">
        <v>29</v>
      </c>
      <c r="C660" s="175" t="s">
        <v>425</v>
      </c>
      <c r="D660" s="176" t="s">
        <v>426</v>
      </c>
      <c r="E660" s="177" t="s">
        <v>26</v>
      </c>
      <c r="F660" s="175">
        <f t="shared" si="30"/>
        <v>10</v>
      </c>
      <c r="G660" s="175" t="str">
        <f t="shared" si="31"/>
        <v>Richmond</v>
      </c>
      <c r="H660" s="175" t="str">
        <f t="shared" si="32"/>
        <v>Richmond, VA</v>
      </c>
      <c r="I660" s="178" t="s">
        <v>2453</v>
      </c>
      <c r="J660" s="27" t="s">
        <v>426</v>
      </c>
      <c r="K660" s="27">
        <v>1348</v>
      </c>
      <c r="L660" s="179">
        <v>3963</v>
      </c>
      <c r="M660" s="180" t="s">
        <v>2454</v>
      </c>
      <c r="N660" s="181" t="s">
        <v>426</v>
      </c>
      <c r="O660" s="182" t="s">
        <v>2455</v>
      </c>
    </row>
    <row r="661" spans="1:15" ht="12">
      <c r="A661" s="148"/>
      <c r="B661" s="174" t="s">
        <v>283</v>
      </c>
      <c r="C661" s="175" t="s">
        <v>33</v>
      </c>
      <c r="D661" s="176" t="s">
        <v>1763</v>
      </c>
      <c r="E661" s="177" t="s">
        <v>284</v>
      </c>
      <c r="F661" s="175">
        <f t="shared" si="30"/>
        <v>13</v>
      </c>
      <c r="G661" s="175" t="str">
        <f t="shared" si="31"/>
        <v>River Falls</v>
      </c>
      <c r="H661" s="175" t="str">
        <f t="shared" si="32"/>
        <v>River Falls, WI</v>
      </c>
      <c r="I661" s="178" t="s">
        <v>35</v>
      </c>
      <c r="J661" s="27" t="s">
        <v>1688</v>
      </c>
      <c r="K661" s="27">
        <v>682</v>
      </c>
      <c r="L661" s="179">
        <v>7981</v>
      </c>
      <c r="M661" s="178" t="s">
        <v>638</v>
      </c>
      <c r="N661" s="27" t="s">
        <v>1688</v>
      </c>
      <c r="O661" s="182" t="s">
        <v>639</v>
      </c>
    </row>
    <row r="662" spans="1:15" ht="12">
      <c r="A662" s="148"/>
      <c r="B662" s="174" t="s">
        <v>285</v>
      </c>
      <c r="C662" s="175" t="s">
        <v>407</v>
      </c>
      <c r="D662" s="176" t="s">
        <v>408</v>
      </c>
      <c r="E662" s="177" t="s">
        <v>286</v>
      </c>
      <c r="F662" s="175">
        <f t="shared" si="30"/>
        <v>11</v>
      </c>
      <c r="G662" s="175" t="str">
        <f t="shared" si="31"/>
        <v>Riverhead</v>
      </c>
      <c r="H662" s="175" t="str">
        <f t="shared" si="32"/>
        <v>Riverhead, NY</v>
      </c>
      <c r="I662" s="178" t="s">
        <v>646</v>
      </c>
      <c r="J662" s="27" t="s">
        <v>644</v>
      </c>
      <c r="K662" s="27">
        <v>724</v>
      </c>
      <c r="L662" s="179">
        <v>5537</v>
      </c>
      <c r="M662" s="178" t="s">
        <v>647</v>
      </c>
      <c r="N662" s="27" t="s">
        <v>644</v>
      </c>
      <c r="O662" s="182" t="s">
        <v>648</v>
      </c>
    </row>
    <row r="663" spans="1:15" ht="12">
      <c r="A663" s="148"/>
      <c r="B663" s="174" t="s">
        <v>287</v>
      </c>
      <c r="C663" s="175" t="s">
        <v>433</v>
      </c>
      <c r="D663" s="176" t="s">
        <v>434</v>
      </c>
      <c r="E663" s="177" t="s">
        <v>288</v>
      </c>
      <c r="F663" s="175">
        <f t="shared" si="30"/>
        <v>11</v>
      </c>
      <c r="G663" s="175" t="str">
        <f t="shared" si="31"/>
        <v>Riverside</v>
      </c>
      <c r="H663" s="175" t="str">
        <f t="shared" si="32"/>
        <v>Riverside, CA</v>
      </c>
      <c r="I663" s="178" t="s">
        <v>436</v>
      </c>
      <c r="J663" s="27" t="s">
        <v>434</v>
      </c>
      <c r="K663" s="27">
        <v>1537</v>
      </c>
      <c r="L663" s="179">
        <v>1154</v>
      </c>
      <c r="M663" s="178" t="s">
        <v>437</v>
      </c>
      <c r="N663" s="27" t="s">
        <v>434</v>
      </c>
      <c r="O663" s="182" t="s">
        <v>438</v>
      </c>
    </row>
    <row r="664" spans="1:15" ht="12">
      <c r="A664" s="148"/>
      <c r="B664" s="174" t="s">
        <v>289</v>
      </c>
      <c r="C664" s="175" t="s">
        <v>1474</v>
      </c>
      <c r="D664" s="176" t="s">
        <v>1475</v>
      </c>
      <c r="E664" s="177" t="s">
        <v>290</v>
      </c>
      <c r="F664" s="175">
        <f t="shared" si="30"/>
        <v>10</v>
      </c>
      <c r="G664" s="175" t="str">
        <f t="shared" si="31"/>
        <v>Riverton</v>
      </c>
      <c r="H664" s="175" t="str">
        <f t="shared" si="32"/>
        <v>Riverton, WY</v>
      </c>
      <c r="I664" s="178" t="s">
        <v>89</v>
      </c>
      <c r="J664" s="27" t="s">
        <v>1475</v>
      </c>
      <c r="K664" s="27">
        <v>479</v>
      </c>
      <c r="L664" s="179">
        <v>7889</v>
      </c>
      <c r="M664" s="180" t="s">
        <v>1478</v>
      </c>
      <c r="N664" s="181" t="s">
        <v>1475</v>
      </c>
      <c r="O664" s="182" t="s">
        <v>2418</v>
      </c>
    </row>
    <row r="665" spans="1:15" ht="12">
      <c r="A665" s="148"/>
      <c r="B665" s="174" t="s">
        <v>291</v>
      </c>
      <c r="C665" s="175" t="s">
        <v>425</v>
      </c>
      <c r="D665" s="176" t="s">
        <v>426</v>
      </c>
      <c r="E665" s="177" t="s">
        <v>292</v>
      </c>
      <c r="F665" s="175">
        <f t="shared" si="30"/>
        <v>9</v>
      </c>
      <c r="G665" s="175" t="str">
        <f t="shared" si="31"/>
        <v>Roanoke</v>
      </c>
      <c r="H665" s="175" t="str">
        <f t="shared" si="32"/>
        <v>Roanoke, VA</v>
      </c>
      <c r="I665" s="178" t="s">
        <v>2370</v>
      </c>
      <c r="J665" s="27" t="s">
        <v>426</v>
      </c>
      <c r="K665" s="27">
        <v>1052</v>
      </c>
      <c r="L665" s="179">
        <v>4360</v>
      </c>
      <c r="M665" s="180" t="s">
        <v>2371</v>
      </c>
      <c r="N665" s="181" t="s">
        <v>426</v>
      </c>
      <c r="O665" s="182" t="s">
        <v>2372</v>
      </c>
    </row>
    <row r="666" spans="1:15" ht="12">
      <c r="A666" s="148"/>
      <c r="B666" s="174" t="s">
        <v>293</v>
      </c>
      <c r="C666" s="175" t="s">
        <v>425</v>
      </c>
      <c r="D666" s="176" t="s">
        <v>426</v>
      </c>
      <c r="E666" s="177" t="s">
        <v>292</v>
      </c>
      <c r="F666" s="175">
        <f t="shared" si="30"/>
        <v>9</v>
      </c>
      <c r="G666" s="175" t="str">
        <f t="shared" si="31"/>
        <v>Roanoke</v>
      </c>
      <c r="H666" s="175" t="str">
        <f t="shared" si="32"/>
        <v>Roanoke, VA</v>
      </c>
      <c r="I666" s="178" t="s">
        <v>2370</v>
      </c>
      <c r="J666" s="27" t="s">
        <v>426</v>
      </c>
      <c r="K666" s="27">
        <v>1052</v>
      </c>
      <c r="L666" s="179">
        <v>4360</v>
      </c>
      <c r="M666" s="180" t="s">
        <v>2371</v>
      </c>
      <c r="N666" s="181" t="s">
        <v>426</v>
      </c>
      <c r="O666" s="182" t="s">
        <v>2372</v>
      </c>
    </row>
    <row r="667" spans="1:15" ht="12">
      <c r="A667" s="148"/>
      <c r="B667" s="174" t="s">
        <v>294</v>
      </c>
      <c r="C667" s="175" t="s">
        <v>1687</v>
      </c>
      <c r="D667" s="176" t="s">
        <v>1688</v>
      </c>
      <c r="E667" s="177" t="s">
        <v>295</v>
      </c>
      <c r="F667" s="175">
        <f t="shared" si="30"/>
        <v>11</v>
      </c>
      <c r="G667" s="175" t="str">
        <f t="shared" si="31"/>
        <v>Rochester</v>
      </c>
      <c r="H667" s="175" t="str">
        <f t="shared" si="32"/>
        <v>Rochester, MN</v>
      </c>
      <c r="I667" s="178" t="s">
        <v>1171</v>
      </c>
      <c r="J667" s="27" t="s">
        <v>1688</v>
      </c>
      <c r="K667" s="27">
        <v>472</v>
      </c>
      <c r="L667" s="179">
        <v>8250</v>
      </c>
      <c r="M667" s="178" t="s">
        <v>638</v>
      </c>
      <c r="N667" s="27" t="s">
        <v>1688</v>
      </c>
      <c r="O667" s="182" t="s">
        <v>639</v>
      </c>
    </row>
    <row r="668" spans="1:15" ht="12">
      <c r="A668" s="148"/>
      <c r="B668" s="174" t="s">
        <v>296</v>
      </c>
      <c r="C668" s="175" t="s">
        <v>407</v>
      </c>
      <c r="D668" s="176" t="s">
        <v>408</v>
      </c>
      <c r="E668" s="177" t="s">
        <v>295</v>
      </c>
      <c r="F668" s="175">
        <f t="shared" si="30"/>
        <v>11</v>
      </c>
      <c r="G668" s="175" t="str">
        <f t="shared" si="31"/>
        <v>Rochester</v>
      </c>
      <c r="H668" s="175" t="str">
        <f t="shared" si="32"/>
        <v>Rochester, NY</v>
      </c>
      <c r="I668" s="178" t="s">
        <v>1388</v>
      </c>
      <c r="J668" s="27" t="s">
        <v>408</v>
      </c>
      <c r="K668" s="27">
        <v>477</v>
      </c>
      <c r="L668" s="179">
        <v>6747</v>
      </c>
      <c r="M668" s="180" t="s">
        <v>1389</v>
      </c>
      <c r="N668" s="181" t="s">
        <v>408</v>
      </c>
      <c r="O668" s="182" t="s">
        <v>1390</v>
      </c>
    </row>
    <row r="669" spans="1:15" ht="12">
      <c r="A669" s="148"/>
      <c r="B669" s="174" t="s">
        <v>297</v>
      </c>
      <c r="C669" s="175" t="s">
        <v>407</v>
      </c>
      <c r="D669" s="176" t="s">
        <v>408</v>
      </c>
      <c r="E669" s="177" t="s">
        <v>295</v>
      </c>
      <c r="F669" s="175">
        <f t="shared" si="30"/>
        <v>11</v>
      </c>
      <c r="G669" s="175" t="str">
        <f t="shared" si="31"/>
        <v>Rochester</v>
      </c>
      <c r="H669" s="175" t="str">
        <f t="shared" si="32"/>
        <v>Rochester, NY</v>
      </c>
      <c r="I669" s="178" t="s">
        <v>1388</v>
      </c>
      <c r="J669" s="27" t="s">
        <v>408</v>
      </c>
      <c r="K669" s="27">
        <v>477</v>
      </c>
      <c r="L669" s="179">
        <v>6747</v>
      </c>
      <c r="M669" s="180" t="s">
        <v>1389</v>
      </c>
      <c r="N669" s="181" t="s">
        <v>408</v>
      </c>
      <c r="O669" s="182" t="s">
        <v>1390</v>
      </c>
    </row>
    <row r="670" spans="1:15" ht="12">
      <c r="A670" s="148"/>
      <c r="B670" s="174" t="s">
        <v>298</v>
      </c>
      <c r="C670" s="175" t="s">
        <v>407</v>
      </c>
      <c r="D670" s="176" t="s">
        <v>408</v>
      </c>
      <c r="E670" s="177" t="s">
        <v>295</v>
      </c>
      <c r="F670" s="175">
        <f t="shared" si="30"/>
        <v>11</v>
      </c>
      <c r="G670" s="175" t="str">
        <f t="shared" si="31"/>
        <v>Rochester</v>
      </c>
      <c r="H670" s="175" t="str">
        <f t="shared" si="32"/>
        <v>Rochester, NY</v>
      </c>
      <c r="I670" s="178" t="s">
        <v>1384</v>
      </c>
      <c r="J670" s="27" t="s">
        <v>408</v>
      </c>
      <c r="K670" s="27">
        <v>425</v>
      </c>
      <c r="L670" s="179">
        <v>6734</v>
      </c>
      <c r="M670" s="180" t="s">
        <v>1385</v>
      </c>
      <c r="N670" s="181" t="s">
        <v>408</v>
      </c>
      <c r="O670" s="182" t="s">
        <v>1386</v>
      </c>
    </row>
    <row r="671" spans="1:15" ht="12">
      <c r="A671" s="148"/>
      <c r="B671" s="174" t="s">
        <v>299</v>
      </c>
      <c r="C671" s="175" t="s">
        <v>1708</v>
      </c>
      <c r="D671" s="176" t="s">
        <v>1709</v>
      </c>
      <c r="E671" s="177" t="s">
        <v>300</v>
      </c>
      <c r="F671" s="175">
        <f t="shared" si="30"/>
        <v>13</v>
      </c>
      <c r="G671" s="175" t="str">
        <f t="shared" si="31"/>
        <v>Rock Island</v>
      </c>
      <c r="H671" s="175" t="str">
        <f t="shared" si="32"/>
        <v>Rock Island, IL</v>
      </c>
      <c r="I671" s="178" t="s">
        <v>1397</v>
      </c>
      <c r="J671" s="27" t="s">
        <v>1709</v>
      </c>
      <c r="K671" s="27">
        <v>911</v>
      </c>
      <c r="L671" s="179">
        <v>6474</v>
      </c>
      <c r="M671" s="178" t="s">
        <v>2061</v>
      </c>
      <c r="N671" s="27" t="s">
        <v>1709</v>
      </c>
      <c r="O671" s="182" t="s">
        <v>2062</v>
      </c>
    </row>
    <row r="672" spans="1:15" ht="12">
      <c r="A672" s="148"/>
      <c r="B672" s="174" t="s">
        <v>301</v>
      </c>
      <c r="C672" s="175" t="s">
        <v>1474</v>
      </c>
      <c r="D672" s="176" t="s">
        <v>1475</v>
      </c>
      <c r="E672" s="177" t="s">
        <v>302</v>
      </c>
      <c r="F672" s="175">
        <f t="shared" si="30"/>
        <v>14</v>
      </c>
      <c r="G672" s="175" t="str">
        <f t="shared" si="31"/>
        <v>Rock Springs</v>
      </c>
      <c r="H672" s="175" t="str">
        <f t="shared" si="32"/>
        <v>Rock Springs, WY</v>
      </c>
      <c r="I672" s="178" t="s">
        <v>89</v>
      </c>
      <c r="J672" s="27" t="s">
        <v>1475</v>
      </c>
      <c r="K672" s="27">
        <v>479</v>
      </c>
      <c r="L672" s="179">
        <v>7889</v>
      </c>
      <c r="M672" s="180" t="s">
        <v>1478</v>
      </c>
      <c r="N672" s="181" t="s">
        <v>1475</v>
      </c>
      <c r="O672" s="182" t="s">
        <v>2418</v>
      </c>
    </row>
    <row r="673" spans="1:15" ht="12">
      <c r="A673" s="148"/>
      <c r="B673" s="174" t="s">
        <v>303</v>
      </c>
      <c r="C673" s="175" t="s">
        <v>274</v>
      </c>
      <c r="D673" s="176" t="s">
        <v>275</v>
      </c>
      <c r="E673" s="177" t="s">
        <v>304</v>
      </c>
      <c r="F673" s="175">
        <f t="shared" si="30"/>
        <v>11</v>
      </c>
      <c r="G673" s="175" t="str">
        <f t="shared" si="31"/>
        <v>Rock_Hill</v>
      </c>
      <c r="H673" s="175" t="str">
        <f t="shared" si="32"/>
        <v>Rock_Hill, SC</v>
      </c>
      <c r="I673" s="178" t="s">
        <v>277</v>
      </c>
      <c r="J673" s="27" t="s">
        <v>275</v>
      </c>
      <c r="K673" s="27">
        <v>1966</v>
      </c>
      <c r="L673" s="179">
        <v>2649</v>
      </c>
      <c r="M673" s="178" t="s">
        <v>278</v>
      </c>
      <c r="N673" s="27" t="s">
        <v>275</v>
      </c>
      <c r="O673" s="182" t="s">
        <v>279</v>
      </c>
    </row>
    <row r="674" spans="1:15" ht="12">
      <c r="A674" s="148"/>
      <c r="B674" s="174" t="s">
        <v>305</v>
      </c>
      <c r="C674" s="175" t="s">
        <v>1708</v>
      </c>
      <c r="D674" s="176" t="s">
        <v>1709</v>
      </c>
      <c r="E674" s="177" t="s">
        <v>306</v>
      </c>
      <c r="F674" s="175">
        <f t="shared" si="30"/>
        <v>10</v>
      </c>
      <c r="G674" s="175" t="str">
        <f t="shared" si="31"/>
        <v>Rockford</v>
      </c>
      <c r="H674" s="175" t="str">
        <f t="shared" si="32"/>
        <v>Rockford, IL</v>
      </c>
      <c r="I674" s="178" t="s">
        <v>1196</v>
      </c>
      <c r="J674" s="27" t="s">
        <v>1709</v>
      </c>
      <c r="K674" s="27">
        <v>702</v>
      </c>
      <c r="L674" s="179">
        <v>6969</v>
      </c>
      <c r="M674" s="178" t="s">
        <v>1197</v>
      </c>
      <c r="N674" s="27" t="s">
        <v>1709</v>
      </c>
      <c r="O674" s="182" t="s">
        <v>1198</v>
      </c>
    </row>
    <row r="675" spans="1:15" ht="12">
      <c r="A675" s="148"/>
      <c r="B675" s="174" t="s">
        <v>307</v>
      </c>
      <c r="C675" s="175" t="s">
        <v>1708</v>
      </c>
      <c r="D675" s="176" t="s">
        <v>1709</v>
      </c>
      <c r="E675" s="177" t="s">
        <v>306</v>
      </c>
      <c r="F675" s="175">
        <f t="shared" si="30"/>
        <v>10</v>
      </c>
      <c r="G675" s="175" t="str">
        <f t="shared" si="31"/>
        <v>Rockford</v>
      </c>
      <c r="H675" s="175" t="str">
        <f t="shared" si="32"/>
        <v>Rockford, IL</v>
      </c>
      <c r="I675" s="178" t="s">
        <v>1196</v>
      </c>
      <c r="J675" s="27" t="s">
        <v>1709</v>
      </c>
      <c r="K675" s="27">
        <v>702</v>
      </c>
      <c r="L675" s="179">
        <v>6969</v>
      </c>
      <c r="M675" s="178" t="s">
        <v>1197</v>
      </c>
      <c r="N675" s="27" t="s">
        <v>1709</v>
      </c>
      <c r="O675" s="182" t="s">
        <v>1198</v>
      </c>
    </row>
    <row r="676" spans="1:15" ht="12">
      <c r="A676" s="148"/>
      <c r="B676" s="186" t="s">
        <v>308</v>
      </c>
      <c r="C676" s="175" t="s">
        <v>1616</v>
      </c>
      <c r="D676" s="176" t="s">
        <v>1617</v>
      </c>
      <c r="E676" s="177" t="s">
        <v>309</v>
      </c>
      <c r="F676" s="175">
        <f t="shared" si="30"/>
        <v>10</v>
      </c>
      <c r="G676" s="175" t="str">
        <f t="shared" si="31"/>
        <v>Rockland</v>
      </c>
      <c r="H676" s="175" t="str">
        <f t="shared" si="32"/>
        <v>Rockland, ME</v>
      </c>
      <c r="I676" s="178" t="s">
        <v>1619</v>
      </c>
      <c r="J676" s="27" t="s">
        <v>1617</v>
      </c>
      <c r="K676" s="27">
        <v>268</v>
      </c>
      <c r="L676" s="179">
        <v>7378</v>
      </c>
      <c r="M676" s="180" t="s">
        <v>1620</v>
      </c>
      <c r="N676" s="181" t="s">
        <v>1617</v>
      </c>
      <c r="O676" s="182" t="s">
        <v>1621</v>
      </c>
    </row>
    <row r="677" spans="1:15" ht="12">
      <c r="A677" s="148"/>
      <c r="B677" s="174" t="s">
        <v>310</v>
      </c>
      <c r="C677" s="175" t="s">
        <v>487</v>
      </c>
      <c r="D677" s="176" t="s">
        <v>430</v>
      </c>
      <c r="E677" s="177" t="s">
        <v>311</v>
      </c>
      <c r="F677" s="175">
        <f t="shared" si="30"/>
        <v>11</v>
      </c>
      <c r="G677" s="175" t="str">
        <f t="shared" si="31"/>
        <v>Rockville</v>
      </c>
      <c r="H677" s="175" t="str">
        <f t="shared" si="32"/>
        <v>Rockville, MD</v>
      </c>
      <c r="I677" s="178" t="s">
        <v>489</v>
      </c>
      <c r="J677" s="27" t="s">
        <v>430</v>
      </c>
      <c r="K677" s="27">
        <v>1137</v>
      </c>
      <c r="L677" s="179">
        <v>4707</v>
      </c>
      <c r="M677" s="180" t="s">
        <v>490</v>
      </c>
      <c r="N677" s="181" t="s">
        <v>430</v>
      </c>
      <c r="O677" s="182" t="s">
        <v>491</v>
      </c>
    </row>
    <row r="678" spans="1:15" ht="12">
      <c r="A678" s="148"/>
      <c r="B678" s="174" t="s">
        <v>312</v>
      </c>
      <c r="C678" s="175" t="s">
        <v>472</v>
      </c>
      <c r="D678" s="176" t="s">
        <v>473</v>
      </c>
      <c r="E678" s="177" t="s">
        <v>313</v>
      </c>
      <c r="F678" s="175">
        <f t="shared" si="30"/>
        <v>13</v>
      </c>
      <c r="G678" s="175" t="str">
        <f t="shared" si="31"/>
        <v>Rocky Mount</v>
      </c>
      <c r="H678" s="175" t="str">
        <f t="shared" si="32"/>
        <v>Rocky Mount, NC</v>
      </c>
      <c r="I678" s="178" t="s">
        <v>2417</v>
      </c>
      <c r="J678" s="27" t="s">
        <v>473</v>
      </c>
      <c r="K678" s="27">
        <v>1417</v>
      </c>
      <c r="L678" s="179">
        <v>3457</v>
      </c>
      <c r="M678" s="180" t="s">
        <v>521</v>
      </c>
      <c r="N678" s="181" t="s">
        <v>473</v>
      </c>
      <c r="O678" s="182" t="s">
        <v>522</v>
      </c>
    </row>
    <row r="679" spans="1:15" ht="12">
      <c r="A679" s="148"/>
      <c r="B679" s="174" t="s">
        <v>314</v>
      </c>
      <c r="C679" s="175" t="s">
        <v>1438</v>
      </c>
      <c r="D679" s="176" t="s">
        <v>1439</v>
      </c>
      <c r="E679" s="177" t="s">
        <v>315</v>
      </c>
      <c r="F679" s="175">
        <f t="shared" si="30"/>
        <v>7</v>
      </c>
      <c r="G679" s="175" t="str">
        <f t="shared" si="31"/>
        <v>Rolla</v>
      </c>
      <c r="H679" s="175" t="str">
        <f t="shared" si="32"/>
        <v>Rolla, MO</v>
      </c>
      <c r="I679" s="178" t="s">
        <v>1985</v>
      </c>
      <c r="J679" s="27" t="s">
        <v>1439</v>
      </c>
      <c r="K679" s="27">
        <v>1320</v>
      </c>
      <c r="L679" s="179">
        <v>4638</v>
      </c>
      <c r="M679" s="180" t="s">
        <v>1712</v>
      </c>
      <c r="N679" s="181" t="s">
        <v>1439</v>
      </c>
      <c r="O679" s="182" t="s">
        <v>1986</v>
      </c>
    </row>
    <row r="680" spans="1:15" ht="12">
      <c r="A680" s="148"/>
      <c r="B680" s="174" t="s">
        <v>316</v>
      </c>
      <c r="C680" s="175" t="s">
        <v>1438</v>
      </c>
      <c r="D680" s="176" t="s">
        <v>1439</v>
      </c>
      <c r="E680" s="177" t="s">
        <v>315</v>
      </c>
      <c r="F680" s="175">
        <f t="shared" si="30"/>
        <v>7</v>
      </c>
      <c r="G680" s="175" t="str">
        <f t="shared" si="31"/>
        <v>Rolla</v>
      </c>
      <c r="H680" s="175" t="str">
        <f t="shared" si="32"/>
        <v>Rolla, MO</v>
      </c>
      <c r="I680" s="178" t="s">
        <v>1985</v>
      </c>
      <c r="J680" s="27" t="s">
        <v>1439</v>
      </c>
      <c r="K680" s="27">
        <v>1320</v>
      </c>
      <c r="L680" s="179">
        <v>4638</v>
      </c>
      <c r="M680" s="180" t="s">
        <v>1712</v>
      </c>
      <c r="N680" s="181" t="s">
        <v>1439</v>
      </c>
      <c r="O680" s="182" t="s">
        <v>1986</v>
      </c>
    </row>
    <row r="681" spans="1:15" ht="12">
      <c r="A681" s="148"/>
      <c r="B681" s="174" t="s">
        <v>317</v>
      </c>
      <c r="C681" s="175" t="s">
        <v>415</v>
      </c>
      <c r="D681" s="176" t="s">
        <v>416</v>
      </c>
      <c r="E681" s="177" t="s">
        <v>318</v>
      </c>
      <c r="F681" s="175">
        <f t="shared" si="30"/>
        <v>9</v>
      </c>
      <c r="G681" s="175" t="str">
        <f t="shared" si="31"/>
        <v>Roswell</v>
      </c>
      <c r="H681" s="175" t="str">
        <f t="shared" si="32"/>
        <v>Roswell, NM</v>
      </c>
      <c r="I681" s="178" t="s">
        <v>319</v>
      </c>
      <c r="J681" s="27" t="s">
        <v>416</v>
      </c>
      <c r="K681" s="27">
        <v>1776</v>
      </c>
      <c r="L681" s="179">
        <v>3267</v>
      </c>
      <c r="M681" s="180" t="s">
        <v>2480</v>
      </c>
      <c r="N681" s="181" t="s">
        <v>255</v>
      </c>
      <c r="O681" s="182" t="s">
        <v>2481</v>
      </c>
    </row>
    <row r="682" spans="1:15" ht="12">
      <c r="A682" s="148"/>
      <c r="B682" s="174" t="s">
        <v>320</v>
      </c>
      <c r="C682" s="175" t="s">
        <v>480</v>
      </c>
      <c r="D682" s="176" t="s">
        <v>481</v>
      </c>
      <c r="E682" s="177" t="s">
        <v>321</v>
      </c>
      <c r="F682" s="175">
        <f t="shared" si="30"/>
        <v>11</v>
      </c>
      <c r="G682" s="175" t="str">
        <f t="shared" si="31"/>
        <v>Royal Oak</v>
      </c>
      <c r="H682" s="175" t="str">
        <f t="shared" si="32"/>
        <v>Royal Oak, MI</v>
      </c>
      <c r="I682" s="178" t="s">
        <v>483</v>
      </c>
      <c r="J682" s="27" t="s">
        <v>481</v>
      </c>
      <c r="K682" s="27">
        <v>626</v>
      </c>
      <c r="L682" s="179">
        <v>6569</v>
      </c>
      <c r="M682" s="178" t="s">
        <v>484</v>
      </c>
      <c r="N682" s="27" t="s">
        <v>481</v>
      </c>
      <c r="O682" s="182" t="s">
        <v>485</v>
      </c>
    </row>
    <row r="683" spans="1:15" ht="12">
      <c r="A683" s="148"/>
      <c r="B683" s="174" t="s">
        <v>322</v>
      </c>
      <c r="C683" s="175" t="s">
        <v>1650</v>
      </c>
      <c r="D683" s="176" t="s">
        <v>1651</v>
      </c>
      <c r="E683" s="177" t="s">
        <v>323</v>
      </c>
      <c r="F683" s="175">
        <f t="shared" si="30"/>
        <v>14</v>
      </c>
      <c r="G683" s="175" t="str">
        <f t="shared" si="31"/>
        <v>Russellville</v>
      </c>
      <c r="H683" s="175" t="str">
        <f t="shared" si="32"/>
        <v>Russellville, AR</v>
      </c>
      <c r="I683" s="178" t="s">
        <v>2026</v>
      </c>
      <c r="J683" s="27" t="s">
        <v>1651</v>
      </c>
      <c r="K683" s="27">
        <v>1894</v>
      </c>
      <c r="L683" s="179">
        <v>3478</v>
      </c>
      <c r="M683" s="178" t="s">
        <v>2027</v>
      </c>
      <c r="N683" s="27" t="s">
        <v>1651</v>
      </c>
      <c r="O683" s="182" t="s">
        <v>2028</v>
      </c>
    </row>
    <row r="684" spans="1:15" ht="12">
      <c r="A684" s="148"/>
      <c r="B684" s="174" t="s">
        <v>324</v>
      </c>
      <c r="C684" s="175" t="s">
        <v>516</v>
      </c>
      <c r="D684" s="176" t="s">
        <v>517</v>
      </c>
      <c r="E684" s="177" t="s">
        <v>323</v>
      </c>
      <c r="F684" s="175">
        <f t="shared" si="30"/>
        <v>14</v>
      </c>
      <c r="G684" s="175" t="str">
        <f t="shared" si="31"/>
        <v>Russellville</v>
      </c>
      <c r="H684" s="175" t="str">
        <f t="shared" si="32"/>
        <v>Russellville, KY</v>
      </c>
      <c r="I684" s="178" t="s">
        <v>616</v>
      </c>
      <c r="J684" s="27" t="s">
        <v>517</v>
      </c>
      <c r="K684" s="27">
        <v>1288</v>
      </c>
      <c r="L684" s="179">
        <v>4514</v>
      </c>
      <c r="M684" s="180" t="s">
        <v>617</v>
      </c>
      <c r="N684" s="181" t="s">
        <v>517</v>
      </c>
      <c r="O684" s="182" t="s">
        <v>618</v>
      </c>
    </row>
    <row r="685" spans="1:15" ht="12">
      <c r="A685" s="148"/>
      <c r="B685" s="186" t="s">
        <v>325</v>
      </c>
      <c r="C685" s="175" t="s">
        <v>1683</v>
      </c>
      <c r="D685" s="176" t="s">
        <v>1684</v>
      </c>
      <c r="E685" s="177" t="s">
        <v>326</v>
      </c>
      <c r="F685" s="175">
        <f t="shared" si="30"/>
        <v>9</v>
      </c>
      <c r="G685" s="175" t="str">
        <f t="shared" si="31"/>
        <v>Rutland</v>
      </c>
      <c r="H685" s="175" t="str">
        <f t="shared" si="32"/>
        <v>Rutland, VT</v>
      </c>
      <c r="I685" s="178" t="s">
        <v>409</v>
      </c>
      <c r="J685" s="27" t="s">
        <v>408</v>
      </c>
      <c r="K685" s="27">
        <v>507</v>
      </c>
      <c r="L685" s="179">
        <v>6894</v>
      </c>
      <c r="M685" s="180" t="s">
        <v>410</v>
      </c>
      <c r="N685" s="181" t="s">
        <v>408</v>
      </c>
      <c r="O685" s="182" t="s">
        <v>411</v>
      </c>
    </row>
    <row r="686" spans="1:15" ht="12">
      <c r="A686" s="148"/>
      <c r="B686" s="174" t="s">
        <v>327</v>
      </c>
      <c r="C686" s="175" t="s">
        <v>433</v>
      </c>
      <c r="D686" s="176" t="s">
        <v>434</v>
      </c>
      <c r="E686" s="177" t="s">
        <v>328</v>
      </c>
      <c r="F686" s="175">
        <f t="shared" si="30"/>
        <v>12</v>
      </c>
      <c r="G686" s="175" t="str">
        <f t="shared" si="31"/>
        <v>Sacramento</v>
      </c>
      <c r="H686" s="175" t="str">
        <f t="shared" si="32"/>
        <v>Sacramento, CA</v>
      </c>
      <c r="I686" s="178" t="s">
        <v>594</v>
      </c>
      <c r="J686" s="27" t="s">
        <v>434</v>
      </c>
      <c r="K686" s="27">
        <v>1237</v>
      </c>
      <c r="L686" s="179">
        <v>2749</v>
      </c>
      <c r="M686" s="178" t="s">
        <v>595</v>
      </c>
      <c r="N686" s="27" t="s">
        <v>434</v>
      </c>
      <c r="O686" s="182" t="s">
        <v>596</v>
      </c>
    </row>
    <row r="687" spans="1:15" ht="12">
      <c r="A687" s="148"/>
      <c r="B687" s="174" t="s">
        <v>329</v>
      </c>
      <c r="C687" s="175" t="s">
        <v>433</v>
      </c>
      <c r="D687" s="176" t="s">
        <v>434</v>
      </c>
      <c r="E687" s="177" t="s">
        <v>330</v>
      </c>
      <c r="F687" s="175">
        <f t="shared" si="30"/>
        <v>24</v>
      </c>
      <c r="G687" s="175" t="str">
        <f t="shared" si="31"/>
        <v>Sacramento/Placerville</v>
      </c>
      <c r="H687" s="175" t="str">
        <f t="shared" si="32"/>
        <v>Sacramento/Placerville, CA</v>
      </c>
      <c r="I687" s="178" t="s">
        <v>1481</v>
      </c>
      <c r="J687" s="27" t="s">
        <v>434</v>
      </c>
      <c r="K687" s="27">
        <v>145</v>
      </c>
      <c r="L687" s="179">
        <v>3016</v>
      </c>
      <c r="M687" s="178" t="s">
        <v>595</v>
      </c>
      <c r="N687" s="27" t="s">
        <v>434</v>
      </c>
      <c r="O687" s="182" t="s">
        <v>596</v>
      </c>
    </row>
    <row r="688" spans="1:15" ht="12">
      <c r="A688" s="148"/>
      <c r="B688" s="174" t="s">
        <v>331</v>
      </c>
      <c r="C688" s="175" t="s">
        <v>433</v>
      </c>
      <c r="D688" s="176" t="s">
        <v>434</v>
      </c>
      <c r="E688" s="177" t="s">
        <v>330</v>
      </c>
      <c r="F688" s="175">
        <f t="shared" si="30"/>
        <v>24</v>
      </c>
      <c r="G688" s="175" t="str">
        <f t="shared" si="31"/>
        <v>Sacramento/Placerville</v>
      </c>
      <c r="H688" s="175" t="str">
        <f t="shared" si="32"/>
        <v>Sacramento/Placerville, CA</v>
      </c>
      <c r="I688" s="178" t="s">
        <v>594</v>
      </c>
      <c r="J688" s="27" t="s">
        <v>434</v>
      </c>
      <c r="K688" s="27">
        <v>1237</v>
      </c>
      <c r="L688" s="179">
        <v>2749</v>
      </c>
      <c r="M688" s="178" t="s">
        <v>595</v>
      </c>
      <c r="N688" s="27" t="s">
        <v>434</v>
      </c>
      <c r="O688" s="182" t="s">
        <v>596</v>
      </c>
    </row>
    <row r="689" spans="1:15" ht="12">
      <c r="A689" s="148"/>
      <c r="B689" s="174" t="s">
        <v>332</v>
      </c>
      <c r="C689" s="175" t="s">
        <v>480</v>
      </c>
      <c r="D689" s="176" t="s">
        <v>481</v>
      </c>
      <c r="E689" s="177" t="s">
        <v>333</v>
      </c>
      <c r="F689" s="175">
        <f t="shared" si="30"/>
        <v>9</v>
      </c>
      <c r="G689" s="175" t="str">
        <f t="shared" si="31"/>
        <v>Saginaw</v>
      </c>
      <c r="H689" s="175" t="str">
        <f t="shared" si="32"/>
        <v>Saginaw, MI</v>
      </c>
      <c r="I689" s="178" t="s">
        <v>1997</v>
      </c>
      <c r="J689" s="27" t="s">
        <v>481</v>
      </c>
      <c r="K689" s="27">
        <v>490</v>
      </c>
      <c r="L689" s="179">
        <v>7101</v>
      </c>
      <c r="M689" s="180" t="s">
        <v>976</v>
      </c>
      <c r="N689" s="181" t="s">
        <v>481</v>
      </c>
      <c r="O689" s="182" t="s">
        <v>977</v>
      </c>
    </row>
    <row r="690" spans="1:15" ht="12">
      <c r="A690" s="148"/>
      <c r="B690" s="174" t="s">
        <v>334</v>
      </c>
      <c r="C690" s="175" t="s">
        <v>480</v>
      </c>
      <c r="D690" s="176" t="s">
        <v>481</v>
      </c>
      <c r="E690" s="177" t="s">
        <v>333</v>
      </c>
      <c r="F690" s="175">
        <f t="shared" si="30"/>
        <v>9</v>
      </c>
      <c r="G690" s="175" t="str">
        <f t="shared" si="31"/>
        <v>Saginaw</v>
      </c>
      <c r="H690" s="175" t="str">
        <f t="shared" si="32"/>
        <v>Saginaw, MI</v>
      </c>
      <c r="I690" s="178" t="s">
        <v>2001</v>
      </c>
      <c r="J690" s="27" t="s">
        <v>481</v>
      </c>
      <c r="K690" s="27">
        <v>483</v>
      </c>
      <c r="L690" s="179">
        <v>6979</v>
      </c>
      <c r="M690" s="180" t="s">
        <v>1998</v>
      </c>
      <c r="N690" s="181" t="s">
        <v>481</v>
      </c>
      <c r="O690" s="182" t="s">
        <v>1999</v>
      </c>
    </row>
    <row r="691" spans="1:15" ht="12">
      <c r="A691" s="148"/>
      <c r="B691" s="174" t="s">
        <v>335</v>
      </c>
      <c r="C691" s="175" t="s">
        <v>1438</v>
      </c>
      <c r="D691" s="176" t="s">
        <v>1439</v>
      </c>
      <c r="E691" s="177" t="s">
        <v>336</v>
      </c>
      <c r="F691" s="175">
        <f t="shared" si="30"/>
        <v>15</v>
      </c>
      <c r="G691" s="175" t="str">
        <f t="shared" si="31"/>
        <v>Saint Charles</v>
      </c>
      <c r="H691" s="175" t="str">
        <f t="shared" si="32"/>
        <v>Saint Charles, MO</v>
      </c>
      <c r="I691" s="178" t="s">
        <v>1441</v>
      </c>
      <c r="J691" s="27" t="s">
        <v>1439</v>
      </c>
      <c r="K691" s="27">
        <v>1534</v>
      </c>
      <c r="L691" s="179">
        <v>4758</v>
      </c>
      <c r="M691" s="178" t="s">
        <v>1442</v>
      </c>
      <c r="N691" s="27" t="s">
        <v>1439</v>
      </c>
      <c r="O691" s="182" t="s">
        <v>1443</v>
      </c>
    </row>
    <row r="692" spans="1:15" ht="12">
      <c r="A692" s="148"/>
      <c r="B692" s="174" t="s">
        <v>337</v>
      </c>
      <c r="C692" s="175" t="s">
        <v>1687</v>
      </c>
      <c r="D692" s="176" t="s">
        <v>1688</v>
      </c>
      <c r="E692" s="177" t="s">
        <v>338</v>
      </c>
      <c r="F692" s="175">
        <f t="shared" si="30"/>
        <v>13</v>
      </c>
      <c r="G692" s="175" t="str">
        <f t="shared" si="31"/>
        <v>Saint Cloud</v>
      </c>
      <c r="H692" s="175" t="str">
        <f t="shared" si="32"/>
        <v>Saint Cloud, MN</v>
      </c>
      <c r="I692" s="178" t="s">
        <v>637</v>
      </c>
      <c r="J692" s="27" t="s">
        <v>1688</v>
      </c>
      <c r="K692" s="27">
        <v>415</v>
      </c>
      <c r="L692" s="179">
        <v>8928</v>
      </c>
      <c r="M692" s="178" t="s">
        <v>638</v>
      </c>
      <c r="N692" s="27" t="s">
        <v>1688</v>
      </c>
      <c r="O692" s="182" t="s">
        <v>639</v>
      </c>
    </row>
    <row r="693" spans="1:15" ht="12">
      <c r="A693" s="148"/>
      <c r="B693" s="174" t="s">
        <v>339</v>
      </c>
      <c r="C693" s="175" t="s">
        <v>1438</v>
      </c>
      <c r="D693" s="176" t="s">
        <v>1439</v>
      </c>
      <c r="E693" s="177" t="s">
        <v>340</v>
      </c>
      <c r="F693" s="175">
        <f t="shared" si="30"/>
        <v>14</v>
      </c>
      <c r="G693" s="175" t="str">
        <f t="shared" si="31"/>
        <v>Saint Joseph</v>
      </c>
      <c r="H693" s="175" t="str">
        <f t="shared" si="32"/>
        <v>Saint Joseph, MO</v>
      </c>
      <c r="I693" s="178" t="s">
        <v>913</v>
      </c>
      <c r="J693" s="27" t="s">
        <v>1568</v>
      </c>
      <c r="K693" s="27">
        <v>1304</v>
      </c>
      <c r="L693" s="179">
        <v>5265</v>
      </c>
      <c r="M693" s="180" t="s">
        <v>601</v>
      </c>
      <c r="N693" s="181" t="s">
        <v>1568</v>
      </c>
      <c r="O693" s="182" t="s">
        <v>602</v>
      </c>
    </row>
    <row r="694" spans="1:15" ht="12">
      <c r="A694" s="148"/>
      <c r="B694" s="174" t="s">
        <v>341</v>
      </c>
      <c r="C694" s="175" t="s">
        <v>1438</v>
      </c>
      <c r="D694" s="176" t="s">
        <v>1439</v>
      </c>
      <c r="E694" s="177" t="s">
        <v>340</v>
      </c>
      <c r="F694" s="175">
        <f t="shared" si="30"/>
        <v>14</v>
      </c>
      <c r="G694" s="175" t="str">
        <f t="shared" si="31"/>
        <v>Saint Joseph</v>
      </c>
      <c r="H694" s="175" t="str">
        <f t="shared" si="32"/>
        <v>Saint Joseph, MO</v>
      </c>
      <c r="I694" s="178" t="s">
        <v>2484</v>
      </c>
      <c r="J694" s="27" t="s">
        <v>1439</v>
      </c>
      <c r="K694" s="27">
        <v>1288</v>
      </c>
      <c r="L694" s="179">
        <v>5393</v>
      </c>
      <c r="M694" s="180" t="s">
        <v>2485</v>
      </c>
      <c r="N694" s="181" t="s">
        <v>1439</v>
      </c>
      <c r="O694" s="182" t="s">
        <v>2486</v>
      </c>
    </row>
    <row r="695" spans="1:15" ht="12">
      <c r="A695" s="148"/>
      <c r="B695" s="174" t="s">
        <v>342</v>
      </c>
      <c r="C695" s="175" t="s">
        <v>1438</v>
      </c>
      <c r="D695" s="176" t="s">
        <v>1439</v>
      </c>
      <c r="E695" s="177" t="s">
        <v>343</v>
      </c>
      <c r="F695" s="175">
        <f t="shared" si="30"/>
        <v>13</v>
      </c>
      <c r="G695" s="175" t="str">
        <f t="shared" si="31"/>
        <v>Saint Louis</v>
      </c>
      <c r="H695" s="175" t="str">
        <f t="shared" si="32"/>
        <v>Saint Louis, MO</v>
      </c>
      <c r="I695" s="178" t="s">
        <v>1441</v>
      </c>
      <c r="J695" s="27" t="s">
        <v>1439</v>
      </c>
      <c r="K695" s="27">
        <v>1534</v>
      </c>
      <c r="L695" s="179">
        <v>4758</v>
      </c>
      <c r="M695" s="178" t="s">
        <v>1442</v>
      </c>
      <c r="N695" s="27" t="s">
        <v>1439</v>
      </c>
      <c r="O695" s="182" t="s">
        <v>1443</v>
      </c>
    </row>
    <row r="696" spans="1:15" ht="12">
      <c r="A696" s="148"/>
      <c r="B696" s="174" t="s">
        <v>344</v>
      </c>
      <c r="C696" s="175" t="s">
        <v>1438</v>
      </c>
      <c r="D696" s="176" t="s">
        <v>1439</v>
      </c>
      <c r="E696" s="177" t="s">
        <v>343</v>
      </c>
      <c r="F696" s="175">
        <f t="shared" si="30"/>
        <v>13</v>
      </c>
      <c r="G696" s="175" t="str">
        <f t="shared" si="31"/>
        <v>Saint Louis</v>
      </c>
      <c r="H696" s="175" t="str">
        <f t="shared" si="32"/>
        <v>Saint Louis, MO</v>
      </c>
      <c r="I696" s="178" t="s">
        <v>1441</v>
      </c>
      <c r="J696" s="27" t="s">
        <v>1439</v>
      </c>
      <c r="K696" s="27">
        <v>1534</v>
      </c>
      <c r="L696" s="179">
        <v>4758</v>
      </c>
      <c r="M696" s="178" t="s">
        <v>1442</v>
      </c>
      <c r="N696" s="27" t="s">
        <v>1439</v>
      </c>
      <c r="O696" s="182" t="s">
        <v>1443</v>
      </c>
    </row>
    <row r="697" spans="1:15" ht="12">
      <c r="A697" s="148"/>
      <c r="B697" s="174" t="s">
        <v>345</v>
      </c>
      <c r="C697" s="175" t="s">
        <v>1438</v>
      </c>
      <c r="D697" s="176" t="s">
        <v>1439</v>
      </c>
      <c r="E697" s="177" t="s">
        <v>343</v>
      </c>
      <c r="F697" s="175">
        <f t="shared" si="30"/>
        <v>13</v>
      </c>
      <c r="G697" s="175" t="str">
        <f t="shared" si="31"/>
        <v>Saint Louis</v>
      </c>
      <c r="H697" s="175" t="str">
        <f t="shared" si="32"/>
        <v>Saint Louis, MO</v>
      </c>
      <c r="I697" s="178" t="s">
        <v>1441</v>
      </c>
      <c r="J697" s="27" t="s">
        <v>1439</v>
      </c>
      <c r="K697" s="27">
        <v>1534</v>
      </c>
      <c r="L697" s="179">
        <v>4758</v>
      </c>
      <c r="M697" s="178" t="s">
        <v>1442</v>
      </c>
      <c r="N697" s="27" t="s">
        <v>1439</v>
      </c>
      <c r="O697" s="182" t="s">
        <v>1443</v>
      </c>
    </row>
    <row r="698" spans="1:15" ht="12">
      <c r="A698" s="148"/>
      <c r="B698" s="174" t="s">
        <v>346</v>
      </c>
      <c r="C698" s="175" t="s">
        <v>1687</v>
      </c>
      <c r="D698" s="176" t="s">
        <v>1688</v>
      </c>
      <c r="E698" s="177" t="s">
        <v>347</v>
      </c>
      <c r="F698" s="175">
        <f t="shared" si="30"/>
        <v>12</v>
      </c>
      <c r="G698" s="175" t="str">
        <f t="shared" si="31"/>
        <v>Saint Paul</v>
      </c>
      <c r="H698" s="175" t="str">
        <f t="shared" si="32"/>
        <v>Saint Paul, MN</v>
      </c>
      <c r="I698" s="178" t="s">
        <v>35</v>
      </c>
      <c r="J698" s="27" t="s">
        <v>1688</v>
      </c>
      <c r="K698" s="27">
        <v>682</v>
      </c>
      <c r="L698" s="179">
        <v>7981</v>
      </c>
      <c r="M698" s="178" t="s">
        <v>638</v>
      </c>
      <c r="N698" s="27" t="s">
        <v>1688</v>
      </c>
      <c r="O698" s="182" t="s">
        <v>639</v>
      </c>
    </row>
    <row r="699" spans="1:15" ht="12">
      <c r="A699" s="148"/>
      <c r="B699" s="174" t="s">
        <v>348</v>
      </c>
      <c r="C699" s="175" t="s">
        <v>1687</v>
      </c>
      <c r="D699" s="176" t="s">
        <v>1688</v>
      </c>
      <c r="E699" s="177" t="s">
        <v>347</v>
      </c>
      <c r="F699" s="175">
        <f t="shared" si="30"/>
        <v>12</v>
      </c>
      <c r="G699" s="175" t="str">
        <f t="shared" si="31"/>
        <v>Saint Paul</v>
      </c>
      <c r="H699" s="175" t="str">
        <f t="shared" si="32"/>
        <v>Saint Paul, MN</v>
      </c>
      <c r="I699" s="178" t="s">
        <v>35</v>
      </c>
      <c r="J699" s="27" t="s">
        <v>1688</v>
      </c>
      <c r="K699" s="27">
        <v>682</v>
      </c>
      <c r="L699" s="179">
        <v>7981</v>
      </c>
      <c r="M699" s="178" t="s">
        <v>638</v>
      </c>
      <c r="N699" s="27" t="s">
        <v>1688</v>
      </c>
      <c r="O699" s="182" t="s">
        <v>639</v>
      </c>
    </row>
    <row r="700" spans="1:15" ht="12">
      <c r="A700" s="148"/>
      <c r="B700" s="174" t="s">
        <v>349</v>
      </c>
      <c r="C700" s="175" t="s">
        <v>1694</v>
      </c>
      <c r="D700" s="176" t="s">
        <v>1695</v>
      </c>
      <c r="E700" s="177" t="s">
        <v>350</v>
      </c>
      <c r="F700" s="175">
        <f t="shared" si="30"/>
        <v>7</v>
      </c>
      <c r="G700" s="175" t="str">
        <f t="shared" si="31"/>
        <v>Salem</v>
      </c>
      <c r="H700" s="175" t="str">
        <f t="shared" si="32"/>
        <v>Salem, OR</v>
      </c>
      <c r="I700" s="178" t="s">
        <v>753</v>
      </c>
      <c r="J700" s="27" t="s">
        <v>1695</v>
      </c>
      <c r="K700" s="27">
        <v>247</v>
      </c>
      <c r="L700" s="179">
        <v>4927</v>
      </c>
      <c r="M700" s="178" t="s">
        <v>754</v>
      </c>
      <c r="N700" s="27" t="s">
        <v>1695</v>
      </c>
      <c r="O700" s="182" t="s">
        <v>755</v>
      </c>
    </row>
    <row r="701" spans="1:15" ht="12">
      <c r="A701" s="148"/>
      <c r="B701" s="174" t="s">
        <v>351</v>
      </c>
      <c r="C701" s="175" t="s">
        <v>393</v>
      </c>
      <c r="D701" s="176" t="s">
        <v>394</v>
      </c>
      <c r="E701" s="177" t="s">
        <v>352</v>
      </c>
      <c r="F701" s="175">
        <f t="shared" si="30"/>
        <v>8</v>
      </c>
      <c r="G701" s="175" t="str">
        <f t="shared" si="31"/>
        <v>Salida</v>
      </c>
      <c r="H701" s="175" t="str">
        <f t="shared" si="32"/>
        <v>Salida, CO</v>
      </c>
      <c r="I701" s="178" t="s">
        <v>396</v>
      </c>
      <c r="J701" s="27" t="s">
        <v>394</v>
      </c>
      <c r="K701" s="27">
        <v>62</v>
      </c>
      <c r="L701" s="179">
        <v>8749</v>
      </c>
      <c r="M701" s="180" t="s">
        <v>2161</v>
      </c>
      <c r="N701" s="181" t="s">
        <v>394</v>
      </c>
      <c r="O701" s="182" t="s">
        <v>2162</v>
      </c>
    </row>
    <row r="702" spans="1:15" ht="12">
      <c r="A702" s="148"/>
      <c r="B702" s="174" t="s">
        <v>353</v>
      </c>
      <c r="C702" s="175" t="s">
        <v>1567</v>
      </c>
      <c r="D702" s="176" t="s">
        <v>1568</v>
      </c>
      <c r="E702" s="177" t="s">
        <v>354</v>
      </c>
      <c r="F702" s="175">
        <f t="shared" si="30"/>
        <v>8</v>
      </c>
      <c r="G702" s="175" t="str">
        <f t="shared" si="31"/>
        <v>Salina</v>
      </c>
      <c r="H702" s="175" t="str">
        <f t="shared" si="32"/>
        <v>Salina, KS</v>
      </c>
      <c r="I702" s="178" t="s">
        <v>913</v>
      </c>
      <c r="J702" s="27" t="s">
        <v>1568</v>
      </c>
      <c r="K702" s="27">
        <v>1304</v>
      </c>
      <c r="L702" s="179">
        <v>5265</v>
      </c>
      <c r="M702" s="180" t="s">
        <v>601</v>
      </c>
      <c r="N702" s="181" t="s">
        <v>1568</v>
      </c>
      <c r="O702" s="182" t="s">
        <v>602</v>
      </c>
    </row>
    <row r="703" spans="1:15" ht="12">
      <c r="A703" s="148"/>
      <c r="B703" s="174" t="s">
        <v>355</v>
      </c>
      <c r="C703" s="175" t="s">
        <v>487</v>
      </c>
      <c r="D703" s="176" t="s">
        <v>430</v>
      </c>
      <c r="E703" s="177" t="s">
        <v>356</v>
      </c>
      <c r="F703" s="175">
        <f t="shared" si="30"/>
        <v>11</v>
      </c>
      <c r="G703" s="175" t="str">
        <f t="shared" si="31"/>
        <v>Salisbury</v>
      </c>
      <c r="H703" s="175" t="str">
        <f t="shared" si="32"/>
        <v>Salisbury, MD</v>
      </c>
      <c r="I703" s="178" t="s">
        <v>357</v>
      </c>
      <c r="J703" s="27" t="s">
        <v>426</v>
      </c>
      <c r="K703" s="27">
        <v>1096</v>
      </c>
      <c r="L703" s="179">
        <v>4261</v>
      </c>
      <c r="M703" s="180" t="s">
        <v>2454</v>
      </c>
      <c r="N703" s="181" t="s">
        <v>426</v>
      </c>
      <c r="O703" s="182" t="s">
        <v>2455</v>
      </c>
    </row>
    <row r="704" spans="1:15" ht="12">
      <c r="A704" s="148"/>
      <c r="B704" s="174" t="s">
        <v>358</v>
      </c>
      <c r="C704" s="175" t="s">
        <v>1220</v>
      </c>
      <c r="D704" s="176" t="s">
        <v>1221</v>
      </c>
      <c r="E704" s="177" t="s">
        <v>359</v>
      </c>
      <c r="F704" s="175">
        <f t="shared" si="30"/>
        <v>16</v>
      </c>
      <c r="G704" s="175" t="str">
        <f t="shared" si="31"/>
        <v>Salt Lake City</v>
      </c>
      <c r="H704" s="175" t="str">
        <f t="shared" si="32"/>
        <v>Salt Lake City, UT</v>
      </c>
      <c r="I704" s="178" t="s">
        <v>1223</v>
      </c>
      <c r="J704" s="27" t="s">
        <v>1221</v>
      </c>
      <c r="K704" s="27">
        <v>1047</v>
      </c>
      <c r="L704" s="179">
        <v>5765</v>
      </c>
      <c r="M704" s="180" t="s">
        <v>1224</v>
      </c>
      <c r="N704" s="181" t="s">
        <v>1221</v>
      </c>
      <c r="O704" s="182" t="s">
        <v>1225</v>
      </c>
    </row>
    <row r="705" spans="1:15" ht="12">
      <c r="A705" s="148"/>
      <c r="B705" s="174" t="s">
        <v>360</v>
      </c>
      <c r="C705" s="175" t="s">
        <v>1220</v>
      </c>
      <c r="D705" s="176" t="s">
        <v>1221</v>
      </c>
      <c r="E705" s="177" t="s">
        <v>361</v>
      </c>
      <c r="F705" s="175">
        <f t="shared" si="30"/>
        <v>27</v>
      </c>
      <c r="G705" s="175" t="str">
        <f t="shared" si="31"/>
        <v>Salt Lake City/Heber City</v>
      </c>
      <c r="H705" s="175" t="str">
        <f t="shared" si="32"/>
        <v>Salt Lake City/Heber City, UT</v>
      </c>
      <c r="I705" s="178" t="s">
        <v>1223</v>
      </c>
      <c r="J705" s="27" t="s">
        <v>1221</v>
      </c>
      <c r="K705" s="27">
        <v>1047</v>
      </c>
      <c r="L705" s="179">
        <v>5765</v>
      </c>
      <c r="M705" s="180" t="s">
        <v>1224</v>
      </c>
      <c r="N705" s="181" t="s">
        <v>1221</v>
      </c>
      <c r="O705" s="182" t="s">
        <v>1225</v>
      </c>
    </row>
    <row r="706" spans="1:15" ht="12">
      <c r="A706" s="148"/>
      <c r="B706" s="174" t="s">
        <v>362</v>
      </c>
      <c r="C706" s="175" t="s">
        <v>254</v>
      </c>
      <c r="D706" s="176" t="s">
        <v>255</v>
      </c>
      <c r="E706" s="177" t="s">
        <v>363</v>
      </c>
      <c r="F706" s="175">
        <f t="shared" si="30"/>
        <v>12</v>
      </c>
      <c r="G706" s="175" t="str">
        <f t="shared" si="31"/>
        <v>San Angelo</v>
      </c>
      <c r="H706" s="175" t="str">
        <f t="shared" si="32"/>
        <v>San Angelo, TX</v>
      </c>
      <c r="I706" s="178" t="s">
        <v>364</v>
      </c>
      <c r="J706" s="27" t="s">
        <v>255</v>
      </c>
      <c r="K706" s="27">
        <v>2400</v>
      </c>
      <c r="L706" s="179">
        <v>2414</v>
      </c>
      <c r="M706" s="180" t="s">
        <v>365</v>
      </c>
      <c r="N706" s="181" t="s">
        <v>255</v>
      </c>
      <c r="O706" s="182" t="s">
        <v>366</v>
      </c>
    </row>
    <row r="707" spans="1:15" ht="12">
      <c r="A707" s="148"/>
      <c r="B707" s="174" t="s">
        <v>367</v>
      </c>
      <c r="C707" s="175" t="s">
        <v>254</v>
      </c>
      <c r="D707" s="176" t="s">
        <v>255</v>
      </c>
      <c r="E707" s="177" t="s">
        <v>368</v>
      </c>
      <c r="F707" s="175">
        <f t="shared" si="30"/>
        <v>13</v>
      </c>
      <c r="G707" s="175" t="str">
        <f t="shared" si="31"/>
        <v>San Antonio</v>
      </c>
      <c r="H707" s="175" t="str">
        <f t="shared" si="32"/>
        <v>San Antonio, TX</v>
      </c>
      <c r="I707" s="178" t="s">
        <v>1633</v>
      </c>
      <c r="J707" s="27" t="s">
        <v>255</v>
      </c>
      <c r="K707" s="27">
        <v>3016</v>
      </c>
      <c r="L707" s="179">
        <v>1688</v>
      </c>
      <c r="M707" s="180" t="s">
        <v>982</v>
      </c>
      <c r="N707" s="181" t="s">
        <v>255</v>
      </c>
      <c r="O707" s="182" t="s">
        <v>983</v>
      </c>
    </row>
    <row r="708" spans="1:15" ht="12">
      <c r="A708" s="148"/>
      <c r="B708" s="174" t="s">
        <v>369</v>
      </c>
      <c r="C708" s="175" t="s">
        <v>254</v>
      </c>
      <c r="D708" s="176" t="s">
        <v>255</v>
      </c>
      <c r="E708" s="177" t="s">
        <v>368</v>
      </c>
      <c r="F708" s="175">
        <f t="shared" si="30"/>
        <v>13</v>
      </c>
      <c r="G708" s="175" t="str">
        <f t="shared" si="31"/>
        <v>San Antonio</v>
      </c>
      <c r="H708" s="175" t="str">
        <f t="shared" si="32"/>
        <v>San Antonio, TX</v>
      </c>
      <c r="I708" s="178" t="s">
        <v>1629</v>
      </c>
      <c r="J708" s="27" t="s">
        <v>255</v>
      </c>
      <c r="K708" s="27">
        <v>2996</v>
      </c>
      <c r="L708" s="179">
        <v>1644</v>
      </c>
      <c r="M708" s="180" t="s">
        <v>982</v>
      </c>
      <c r="N708" s="181" t="s">
        <v>255</v>
      </c>
      <c r="O708" s="182" t="s">
        <v>983</v>
      </c>
    </row>
    <row r="709" spans="1:15" ht="12">
      <c r="A709" s="148"/>
      <c r="B709" s="174" t="s">
        <v>370</v>
      </c>
      <c r="C709" s="175" t="s">
        <v>433</v>
      </c>
      <c r="D709" s="176" t="s">
        <v>434</v>
      </c>
      <c r="E709" s="177" t="s">
        <v>371</v>
      </c>
      <c r="F709" s="175">
        <f t="shared" si="30"/>
        <v>32</v>
      </c>
      <c r="G709" s="175" t="str">
        <f t="shared" si="31"/>
        <v>San Bern./Victorville/Redlands</v>
      </c>
      <c r="H709" s="175" t="str">
        <f t="shared" si="32"/>
        <v>San Bern./Victorville/Redlands, CA</v>
      </c>
      <c r="I709" s="178" t="s">
        <v>928</v>
      </c>
      <c r="J709" s="27" t="s">
        <v>1463</v>
      </c>
      <c r="K709" s="27">
        <v>3201</v>
      </c>
      <c r="L709" s="179">
        <v>2407</v>
      </c>
      <c r="M709" s="180" t="s">
        <v>929</v>
      </c>
      <c r="N709" s="181" t="s">
        <v>1463</v>
      </c>
      <c r="O709" s="182" t="s">
        <v>930</v>
      </c>
    </row>
    <row r="710" spans="1:15" ht="12">
      <c r="A710" s="148"/>
      <c r="B710" s="174" t="s">
        <v>372</v>
      </c>
      <c r="C710" s="175" t="s">
        <v>433</v>
      </c>
      <c r="D710" s="176" t="s">
        <v>434</v>
      </c>
      <c r="E710" s="177" t="s">
        <v>373</v>
      </c>
      <c r="F710" s="175">
        <f t="shared" ref="F710:F773" si="33">LEN(E710)</f>
        <v>16</v>
      </c>
      <c r="G710" s="175" t="str">
        <f t="shared" ref="G710:G773" si="34">MID(E710,2,F710-2)</f>
        <v>San Bernardino</v>
      </c>
      <c r="H710" s="175" t="str">
        <f t="shared" ref="H710:H773" si="35">CONCATENATE(G710,", ",+D710)</f>
        <v>San Bernardino, CA</v>
      </c>
      <c r="I710" s="178" t="s">
        <v>436</v>
      </c>
      <c r="J710" s="27" t="s">
        <v>434</v>
      </c>
      <c r="K710" s="27">
        <v>1537</v>
      </c>
      <c r="L710" s="179">
        <v>1154</v>
      </c>
      <c r="M710" s="178" t="s">
        <v>437</v>
      </c>
      <c r="N710" s="27" t="s">
        <v>434</v>
      </c>
      <c r="O710" s="182" t="s">
        <v>438</v>
      </c>
    </row>
    <row r="711" spans="1:15" ht="12">
      <c r="A711" s="148"/>
      <c r="B711" s="174" t="s">
        <v>374</v>
      </c>
      <c r="C711" s="175" t="s">
        <v>433</v>
      </c>
      <c r="D711" s="176" t="s">
        <v>434</v>
      </c>
      <c r="E711" s="177" t="s">
        <v>375</v>
      </c>
      <c r="F711" s="175">
        <f t="shared" si="33"/>
        <v>11</v>
      </c>
      <c r="G711" s="175" t="str">
        <f t="shared" si="34"/>
        <v>San Diego</v>
      </c>
      <c r="H711" s="175" t="str">
        <f t="shared" si="35"/>
        <v>San Diego, CA</v>
      </c>
      <c r="I711" s="178" t="s">
        <v>2390</v>
      </c>
      <c r="J711" s="27" t="s">
        <v>434</v>
      </c>
      <c r="K711" s="27">
        <v>984</v>
      </c>
      <c r="L711" s="179">
        <v>1256</v>
      </c>
      <c r="M711" s="178" t="s">
        <v>2391</v>
      </c>
      <c r="N711" s="27" t="s">
        <v>434</v>
      </c>
      <c r="O711" s="182" t="s">
        <v>2392</v>
      </c>
    </row>
    <row r="712" spans="1:15" ht="12">
      <c r="A712" s="148"/>
      <c r="B712" s="174" t="s">
        <v>376</v>
      </c>
      <c r="C712" s="175" t="s">
        <v>433</v>
      </c>
      <c r="D712" s="176" t="s">
        <v>434</v>
      </c>
      <c r="E712" s="177" t="s">
        <v>375</v>
      </c>
      <c r="F712" s="175">
        <f t="shared" si="33"/>
        <v>11</v>
      </c>
      <c r="G712" s="175" t="str">
        <f t="shared" si="34"/>
        <v>San Diego</v>
      </c>
      <c r="H712" s="175" t="str">
        <f t="shared" si="35"/>
        <v>San Diego, CA</v>
      </c>
      <c r="I712" s="178" t="s">
        <v>462</v>
      </c>
      <c r="J712" s="27" t="s">
        <v>434</v>
      </c>
      <c r="K712" s="27">
        <v>1201</v>
      </c>
      <c r="L712" s="179">
        <v>1430</v>
      </c>
      <c r="M712" s="178" t="s">
        <v>2391</v>
      </c>
      <c r="N712" s="27" t="s">
        <v>434</v>
      </c>
      <c r="O712" s="182" t="s">
        <v>2392</v>
      </c>
    </row>
    <row r="713" spans="1:15" ht="12">
      <c r="A713" s="148"/>
      <c r="B713" s="174" t="s">
        <v>377</v>
      </c>
      <c r="C713" s="175" t="s">
        <v>433</v>
      </c>
      <c r="D713" s="176" t="s">
        <v>434</v>
      </c>
      <c r="E713" s="177" t="s">
        <v>375</v>
      </c>
      <c r="F713" s="175">
        <f t="shared" si="33"/>
        <v>11</v>
      </c>
      <c r="G713" s="175" t="str">
        <f t="shared" si="34"/>
        <v>San Diego</v>
      </c>
      <c r="H713" s="175" t="str">
        <f t="shared" si="35"/>
        <v>San Diego, CA</v>
      </c>
      <c r="I713" s="178" t="s">
        <v>2390</v>
      </c>
      <c r="J713" s="27" t="s">
        <v>434</v>
      </c>
      <c r="K713" s="27">
        <v>984</v>
      </c>
      <c r="L713" s="179">
        <v>1256</v>
      </c>
      <c r="M713" s="178" t="s">
        <v>2391</v>
      </c>
      <c r="N713" s="27" t="s">
        <v>434</v>
      </c>
      <c r="O713" s="182" t="s">
        <v>2392</v>
      </c>
    </row>
    <row r="714" spans="1:15" ht="12">
      <c r="A714" s="148"/>
      <c r="B714" s="174" t="s">
        <v>378</v>
      </c>
      <c r="C714" s="175" t="s">
        <v>433</v>
      </c>
      <c r="D714" s="176" t="s">
        <v>434</v>
      </c>
      <c r="E714" s="177" t="s">
        <v>379</v>
      </c>
      <c r="F714" s="175">
        <f t="shared" si="33"/>
        <v>15</v>
      </c>
      <c r="G714" s="175" t="str">
        <f t="shared" si="34"/>
        <v>San Francisco</v>
      </c>
      <c r="H714" s="175" t="str">
        <f t="shared" si="35"/>
        <v>San Francisco, CA</v>
      </c>
      <c r="I714" s="178" t="s">
        <v>187</v>
      </c>
      <c r="J714" s="27" t="s">
        <v>434</v>
      </c>
      <c r="K714" s="27">
        <v>65</v>
      </c>
      <c r="L714" s="179">
        <v>3005</v>
      </c>
      <c r="M714" s="178" t="s">
        <v>188</v>
      </c>
      <c r="N714" s="27" t="s">
        <v>434</v>
      </c>
      <c r="O714" s="182" t="s">
        <v>189</v>
      </c>
    </row>
    <row r="715" spans="1:15" ht="12">
      <c r="A715" s="148"/>
      <c r="B715" s="174" t="s">
        <v>1001</v>
      </c>
      <c r="C715" s="175" t="s">
        <v>433</v>
      </c>
      <c r="D715" s="176" t="s">
        <v>434</v>
      </c>
      <c r="E715" s="177" t="s">
        <v>1002</v>
      </c>
      <c r="F715" s="175">
        <f t="shared" si="33"/>
        <v>10</v>
      </c>
      <c r="G715" s="175" t="str">
        <f t="shared" si="34"/>
        <v>San Jose</v>
      </c>
      <c r="H715" s="175" t="str">
        <f t="shared" si="35"/>
        <v>San Jose, CA</v>
      </c>
      <c r="I715" s="178" t="s">
        <v>1481</v>
      </c>
      <c r="J715" s="27" t="s">
        <v>434</v>
      </c>
      <c r="K715" s="27">
        <v>145</v>
      </c>
      <c r="L715" s="179">
        <v>3016</v>
      </c>
      <c r="M715" s="178" t="s">
        <v>1482</v>
      </c>
      <c r="N715" s="27" t="s">
        <v>434</v>
      </c>
      <c r="O715" s="182" t="s">
        <v>1483</v>
      </c>
    </row>
    <row r="716" spans="1:15" ht="12">
      <c r="A716" s="148"/>
      <c r="B716" s="186" t="s">
        <v>1003</v>
      </c>
      <c r="C716" s="175" t="s">
        <v>1004</v>
      </c>
      <c r="D716" s="176" t="s">
        <v>1005</v>
      </c>
      <c r="E716" s="177" t="s">
        <v>1006</v>
      </c>
      <c r="F716" s="175">
        <f t="shared" si="33"/>
        <v>10</v>
      </c>
      <c r="G716" s="175" t="str">
        <f t="shared" si="34"/>
        <v>San Juan</v>
      </c>
      <c r="H716" s="175" t="str">
        <f t="shared" si="35"/>
        <v>San Juan, PR</v>
      </c>
      <c r="I716" s="178" t="s">
        <v>1007</v>
      </c>
      <c r="J716" s="27" t="s">
        <v>1005</v>
      </c>
      <c r="K716" s="27">
        <v>5558</v>
      </c>
      <c r="L716" s="179">
        <v>0</v>
      </c>
      <c r="M716" s="178" t="s">
        <v>1008</v>
      </c>
      <c r="N716" s="27" t="s">
        <v>1005</v>
      </c>
      <c r="O716" s="182" t="s">
        <v>1009</v>
      </c>
    </row>
    <row r="717" spans="1:15" ht="12">
      <c r="A717" s="148"/>
      <c r="B717" s="174" t="s">
        <v>1010</v>
      </c>
      <c r="C717" s="175" t="s">
        <v>433</v>
      </c>
      <c r="D717" s="176" t="s">
        <v>434</v>
      </c>
      <c r="E717" s="177" t="s">
        <v>1011</v>
      </c>
      <c r="F717" s="175">
        <f t="shared" si="33"/>
        <v>17</v>
      </c>
      <c r="G717" s="175" t="str">
        <f t="shared" si="34"/>
        <v>San Luis Obispo</v>
      </c>
      <c r="H717" s="175" t="str">
        <f t="shared" si="35"/>
        <v>San Luis Obispo, CA</v>
      </c>
      <c r="I717" s="178" t="s">
        <v>1012</v>
      </c>
      <c r="J717" s="27" t="s">
        <v>434</v>
      </c>
      <c r="K717" s="27">
        <v>169</v>
      </c>
      <c r="L717" s="179">
        <v>2984</v>
      </c>
      <c r="M717" s="178" t="s">
        <v>1637</v>
      </c>
      <c r="N717" s="27" t="s">
        <v>434</v>
      </c>
      <c r="O717" s="182" t="s">
        <v>1638</v>
      </c>
    </row>
    <row r="718" spans="1:15" ht="12">
      <c r="A718" s="148"/>
      <c r="B718" s="174" t="s">
        <v>1013</v>
      </c>
      <c r="C718" s="175" t="s">
        <v>433</v>
      </c>
      <c r="D718" s="176" t="s">
        <v>434</v>
      </c>
      <c r="E718" s="177" t="s">
        <v>1014</v>
      </c>
      <c r="F718" s="175">
        <f t="shared" si="33"/>
        <v>11</v>
      </c>
      <c r="G718" s="175" t="str">
        <f t="shared" si="34"/>
        <v>San Mateo</v>
      </c>
      <c r="H718" s="175" t="str">
        <f t="shared" si="35"/>
        <v>San Mateo, CA</v>
      </c>
      <c r="I718" s="178" t="s">
        <v>1481</v>
      </c>
      <c r="J718" s="27" t="s">
        <v>434</v>
      </c>
      <c r="K718" s="27">
        <v>145</v>
      </c>
      <c r="L718" s="179">
        <v>3016</v>
      </c>
      <c r="M718" s="178" t="s">
        <v>1482</v>
      </c>
      <c r="N718" s="27" t="s">
        <v>434</v>
      </c>
      <c r="O718" s="182" t="s">
        <v>1483</v>
      </c>
    </row>
    <row r="719" spans="1:15" ht="12">
      <c r="A719" s="148"/>
      <c r="B719" s="174" t="s">
        <v>1015</v>
      </c>
      <c r="C719" s="175" t="s">
        <v>433</v>
      </c>
      <c r="D719" s="176" t="s">
        <v>434</v>
      </c>
      <c r="E719" s="177" t="s">
        <v>1016</v>
      </c>
      <c r="F719" s="175">
        <f t="shared" si="33"/>
        <v>11</v>
      </c>
      <c r="G719" s="175" t="str">
        <f t="shared" si="34"/>
        <v>San Pedro</v>
      </c>
      <c r="H719" s="175" t="str">
        <f t="shared" si="35"/>
        <v>San Pedro, CA</v>
      </c>
      <c r="I719" s="178" t="s">
        <v>462</v>
      </c>
      <c r="J719" s="27" t="s">
        <v>434</v>
      </c>
      <c r="K719" s="27">
        <v>1201</v>
      </c>
      <c r="L719" s="179">
        <v>1430</v>
      </c>
      <c r="M719" s="178" t="s">
        <v>437</v>
      </c>
      <c r="N719" s="27" t="s">
        <v>434</v>
      </c>
      <c r="O719" s="182" t="s">
        <v>438</v>
      </c>
    </row>
    <row r="720" spans="1:15" ht="12">
      <c r="A720" s="148"/>
      <c r="B720" s="174" t="s">
        <v>1017</v>
      </c>
      <c r="C720" s="175" t="s">
        <v>433</v>
      </c>
      <c r="D720" s="176" t="s">
        <v>434</v>
      </c>
      <c r="E720" s="177" t="s">
        <v>1018</v>
      </c>
      <c r="F720" s="175">
        <f t="shared" si="33"/>
        <v>12</v>
      </c>
      <c r="G720" s="175" t="str">
        <f t="shared" si="34"/>
        <v>San Rafael</v>
      </c>
      <c r="H720" s="175" t="str">
        <f t="shared" si="35"/>
        <v>San Rafael, CA</v>
      </c>
      <c r="I720" s="178" t="s">
        <v>1481</v>
      </c>
      <c r="J720" s="27" t="s">
        <v>434</v>
      </c>
      <c r="K720" s="27">
        <v>145</v>
      </c>
      <c r="L720" s="179">
        <v>3016</v>
      </c>
      <c r="M720" s="178" t="s">
        <v>1482</v>
      </c>
      <c r="N720" s="27" t="s">
        <v>434</v>
      </c>
      <c r="O720" s="182" t="s">
        <v>1483</v>
      </c>
    </row>
    <row r="721" spans="1:15" ht="12">
      <c r="A721" s="148"/>
      <c r="B721" s="174" t="s">
        <v>1019</v>
      </c>
      <c r="C721" s="175" t="s">
        <v>433</v>
      </c>
      <c r="D721" s="176" t="s">
        <v>434</v>
      </c>
      <c r="E721" s="177" t="s">
        <v>1020</v>
      </c>
      <c r="F721" s="175">
        <f t="shared" si="33"/>
        <v>11</v>
      </c>
      <c r="G721" s="175" t="str">
        <f t="shared" si="34"/>
        <v>Santa Ana</v>
      </c>
      <c r="H721" s="175" t="str">
        <f t="shared" si="35"/>
        <v>Santa Ana, CA</v>
      </c>
      <c r="I721" s="178" t="s">
        <v>462</v>
      </c>
      <c r="J721" s="27" t="s">
        <v>434</v>
      </c>
      <c r="K721" s="27">
        <v>1201</v>
      </c>
      <c r="L721" s="179">
        <v>1430</v>
      </c>
      <c r="M721" s="178" t="s">
        <v>437</v>
      </c>
      <c r="N721" s="27" t="s">
        <v>434</v>
      </c>
      <c r="O721" s="182" t="s">
        <v>438</v>
      </c>
    </row>
    <row r="722" spans="1:15" ht="12">
      <c r="A722" s="148"/>
      <c r="B722" s="174" t="s">
        <v>1021</v>
      </c>
      <c r="C722" s="175" t="s">
        <v>433</v>
      </c>
      <c r="D722" s="176" t="s">
        <v>434</v>
      </c>
      <c r="E722" s="177" t="s">
        <v>1020</v>
      </c>
      <c r="F722" s="175">
        <f t="shared" si="33"/>
        <v>11</v>
      </c>
      <c r="G722" s="175" t="str">
        <f t="shared" si="34"/>
        <v>Santa Ana</v>
      </c>
      <c r="H722" s="175" t="str">
        <f t="shared" si="35"/>
        <v>Santa Ana, CA</v>
      </c>
      <c r="I722" s="178" t="s">
        <v>462</v>
      </c>
      <c r="J722" s="27" t="s">
        <v>434</v>
      </c>
      <c r="K722" s="27">
        <v>1201</v>
      </c>
      <c r="L722" s="179">
        <v>1430</v>
      </c>
      <c r="M722" s="178" t="s">
        <v>437</v>
      </c>
      <c r="N722" s="27" t="s">
        <v>434</v>
      </c>
      <c r="O722" s="182" t="s">
        <v>438</v>
      </c>
    </row>
    <row r="723" spans="1:15" ht="12">
      <c r="A723" s="148"/>
      <c r="B723" s="174" t="s">
        <v>1022</v>
      </c>
      <c r="C723" s="175" t="s">
        <v>433</v>
      </c>
      <c r="D723" s="176" t="s">
        <v>434</v>
      </c>
      <c r="E723" s="177" t="s">
        <v>1023</v>
      </c>
      <c r="F723" s="175">
        <f t="shared" si="33"/>
        <v>15</v>
      </c>
      <c r="G723" s="175" t="str">
        <f t="shared" si="34"/>
        <v>Santa Barbara</v>
      </c>
      <c r="H723" s="175" t="str">
        <f t="shared" si="35"/>
        <v>Santa Barbara, CA</v>
      </c>
      <c r="I723" s="178" t="s">
        <v>1024</v>
      </c>
      <c r="J723" s="27" t="s">
        <v>434</v>
      </c>
      <c r="K723" s="27">
        <v>289</v>
      </c>
      <c r="L723" s="179">
        <v>2438</v>
      </c>
      <c r="M723" s="178" t="s">
        <v>437</v>
      </c>
      <c r="N723" s="27" t="s">
        <v>434</v>
      </c>
      <c r="O723" s="182" t="s">
        <v>438</v>
      </c>
    </row>
    <row r="724" spans="1:15" ht="12">
      <c r="A724" s="148"/>
      <c r="B724" s="174" t="s">
        <v>1025</v>
      </c>
      <c r="C724" s="175" t="s">
        <v>415</v>
      </c>
      <c r="D724" s="176" t="s">
        <v>416</v>
      </c>
      <c r="E724" s="177" t="s">
        <v>1026</v>
      </c>
      <c r="F724" s="175">
        <f t="shared" si="33"/>
        <v>10</v>
      </c>
      <c r="G724" s="175" t="str">
        <f t="shared" si="34"/>
        <v>Santa Fe</v>
      </c>
      <c r="H724" s="175" t="str">
        <f t="shared" si="35"/>
        <v>Santa Fe, NM</v>
      </c>
      <c r="I724" s="178" t="s">
        <v>418</v>
      </c>
      <c r="J724" s="27" t="s">
        <v>416</v>
      </c>
      <c r="K724" s="27">
        <v>1244</v>
      </c>
      <c r="L724" s="179">
        <v>4425</v>
      </c>
      <c r="M724" s="180" t="s">
        <v>1027</v>
      </c>
      <c r="N724" s="181" t="s">
        <v>416</v>
      </c>
      <c r="O724" s="182" t="s">
        <v>1028</v>
      </c>
    </row>
    <row r="725" spans="1:15" ht="12">
      <c r="A725" s="148"/>
      <c r="B725" s="174" t="s">
        <v>1029</v>
      </c>
      <c r="C725" s="175" t="s">
        <v>433</v>
      </c>
      <c r="D725" s="176" t="s">
        <v>434</v>
      </c>
      <c r="E725" s="177" t="s">
        <v>1030</v>
      </c>
      <c r="F725" s="175">
        <f t="shared" si="33"/>
        <v>14</v>
      </c>
      <c r="G725" s="175" t="str">
        <f t="shared" si="34"/>
        <v>Santa Monica</v>
      </c>
      <c r="H725" s="175" t="str">
        <f t="shared" si="35"/>
        <v>Santa Monica, CA</v>
      </c>
      <c r="I725" s="178" t="s">
        <v>75</v>
      </c>
      <c r="J725" s="27" t="s">
        <v>434</v>
      </c>
      <c r="K725" s="27">
        <v>727</v>
      </c>
      <c r="L725" s="179">
        <v>1458</v>
      </c>
      <c r="M725" s="178" t="s">
        <v>437</v>
      </c>
      <c r="N725" s="27" t="s">
        <v>434</v>
      </c>
      <c r="O725" s="182" t="s">
        <v>438</v>
      </c>
    </row>
    <row r="726" spans="1:15" ht="12">
      <c r="A726" s="148"/>
      <c r="B726" s="174" t="s">
        <v>1031</v>
      </c>
      <c r="C726" s="175" t="s">
        <v>433</v>
      </c>
      <c r="D726" s="176" t="s">
        <v>434</v>
      </c>
      <c r="E726" s="177" t="s">
        <v>1032</v>
      </c>
      <c r="F726" s="175">
        <f t="shared" si="33"/>
        <v>12</v>
      </c>
      <c r="G726" s="175" t="str">
        <f t="shared" si="34"/>
        <v>Santa Rosa</v>
      </c>
      <c r="H726" s="175" t="str">
        <f t="shared" si="35"/>
        <v>Santa Rosa, CA</v>
      </c>
      <c r="I726" s="178" t="s">
        <v>594</v>
      </c>
      <c r="J726" s="27" t="s">
        <v>434</v>
      </c>
      <c r="K726" s="27">
        <v>1237</v>
      </c>
      <c r="L726" s="179">
        <v>2749</v>
      </c>
      <c r="M726" s="178" t="s">
        <v>595</v>
      </c>
      <c r="N726" s="27" t="s">
        <v>434</v>
      </c>
      <c r="O726" s="182" t="s">
        <v>596</v>
      </c>
    </row>
    <row r="727" spans="1:15" ht="12">
      <c r="A727" s="148"/>
      <c r="B727" s="174" t="s">
        <v>1033</v>
      </c>
      <c r="C727" s="175" t="s">
        <v>400</v>
      </c>
      <c r="D727" s="176" t="s">
        <v>401</v>
      </c>
      <c r="E727" s="177" t="s">
        <v>1034</v>
      </c>
      <c r="F727" s="175">
        <f t="shared" si="33"/>
        <v>10</v>
      </c>
      <c r="G727" s="175" t="str">
        <f t="shared" si="34"/>
        <v>Savannah</v>
      </c>
      <c r="H727" s="175" t="str">
        <f t="shared" si="35"/>
        <v>Savannah, GA</v>
      </c>
      <c r="I727" s="178" t="s">
        <v>1668</v>
      </c>
      <c r="J727" s="27" t="s">
        <v>401</v>
      </c>
      <c r="K727" s="27">
        <v>2365</v>
      </c>
      <c r="L727" s="179">
        <v>1847</v>
      </c>
      <c r="M727" s="180" t="s">
        <v>1669</v>
      </c>
      <c r="N727" s="181" t="s">
        <v>401</v>
      </c>
      <c r="O727" s="182" t="s">
        <v>1670</v>
      </c>
    </row>
    <row r="728" spans="1:15" ht="12">
      <c r="A728" s="148"/>
      <c r="B728" s="174" t="s">
        <v>1035</v>
      </c>
      <c r="C728" s="175" t="s">
        <v>400</v>
      </c>
      <c r="D728" s="176" t="s">
        <v>401</v>
      </c>
      <c r="E728" s="177" t="s">
        <v>1034</v>
      </c>
      <c r="F728" s="175">
        <f t="shared" si="33"/>
        <v>10</v>
      </c>
      <c r="G728" s="175" t="str">
        <f t="shared" si="34"/>
        <v>Savannah</v>
      </c>
      <c r="H728" s="175" t="str">
        <f t="shared" si="35"/>
        <v>Savannah, GA</v>
      </c>
      <c r="I728" s="178" t="s">
        <v>1668</v>
      </c>
      <c r="J728" s="27" t="s">
        <v>401</v>
      </c>
      <c r="K728" s="27">
        <v>2365</v>
      </c>
      <c r="L728" s="179">
        <v>1847</v>
      </c>
      <c r="M728" s="180" t="s">
        <v>1669</v>
      </c>
      <c r="N728" s="181" t="s">
        <v>401</v>
      </c>
      <c r="O728" s="182" t="s">
        <v>1670</v>
      </c>
    </row>
    <row r="729" spans="1:15" ht="12">
      <c r="A729" s="148"/>
      <c r="B729" s="174" t="s">
        <v>1036</v>
      </c>
      <c r="C729" s="175" t="s">
        <v>407</v>
      </c>
      <c r="D729" s="176" t="s">
        <v>408</v>
      </c>
      <c r="E729" s="177" t="s">
        <v>1037</v>
      </c>
      <c r="F729" s="175">
        <f t="shared" si="33"/>
        <v>13</v>
      </c>
      <c r="G729" s="175" t="str">
        <f t="shared" si="34"/>
        <v>Schenectady</v>
      </c>
      <c r="H729" s="175" t="str">
        <f t="shared" si="35"/>
        <v>Schenectady, NY</v>
      </c>
      <c r="I729" s="178" t="s">
        <v>409</v>
      </c>
      <c r="J729" s="27" t="s">
        <v>408</v>
      </c>
      <c r="K729" s="27">
        <v>507</v>
      </c>
      <c r="L729" s="179">
        <v>6894</v>
      </c>
      <c r="M729" s="180" t="s">
        <v>410</v>
      </c>
      <c r="N729" s="181" t="s">
        <v>408</v>
      </c>
      <c r="O729" s="182" t="s">
        <v>411</v>
      </c>
    </row>
    <row r="730" spans="1:15" ht="12">
      <c r="A730" s="148"/>
      <c r="B730" s="174" t="s">
        <v>1038</v>
      </c>
      <c r="C730" s="175" t="s">
        <v>440</v>
      </c>
      <c r="D730" s="176" t="s">
        <v>441</v>
      </c>
      <c r="E730" s="177" t="s">
        <v>1039</v>
      </c>
      <c r="F730" s="175">
        <f t="shared" si="33"/>
        <v>10</v>
      </c>
      <c r="G730" s="175" t="str">
        <f t="shared" si="34"/>
        <v>Scranton</v>
      </c>
      <c r="H730" s="175" t="str">
        <f t="shared" si="35"/>
        <v>Scranton, PA</v>
      </c>
      <c r="I730" s="178" t="s">
        <v>731</v>
      </c>
      <c r="J730" s="27" t="s">
        <v>441</v>
      </c>
      <c r="K730" s="27">
        <v>539</v>
      </c>
      <c r="L730" s="179">
        <v>6291</v>
      </c>
      <c r="M730" s="180" t="s">
        <v>1499</v>
      </c>
      <c r="N730" s="181" t="s">
        <v>441</v>
      </c>
      <c r="O730" s="182" t="s">
        <v>1500</v>
      </c>
    </row>
    <row r="731" spans="1:15" ht="12">
      <c r="A731" s="148"/>
      <c r="B731" s="174" t="s">
        <v>1040</v>
      </c>
      <c r="C731" s="175" t="s">
        <v>440</v>
      </c>
      <c r="D731" s="176" t="s">
        <v>441</v>
      </c>
      <c r="E731" s="177" t="s">
        <v>1039</v>
      </c>
      <c r="F731" s="175">
        <f t="shared" si="33"/>
        <v>10</v>
      </c>
      <c r="G731" s="175" t="str">
        <f t="shared" si="34"/>
        <v>Scranton</v>
      </c>
      <c r="H731" s="175" t="str">
        <f t="shared" si="35"/>
        <v>Scranton, PA</v>
      </c>
      <c r="I731" s="178" t="s">
        <v>731</v>
      </c>
      <c r="J731" s="27" t="s">
        <v>441</v>
      </c>
      <c r="K731" s="27">
        <v>539</v>
      </c>
      <c r="L731" s="179">
        <v>6291</v>
      </c>
      <c r="M731" s="180" t="s">
        <v>1499</v>
      </c>
      <c r="N731" s="181" t="s">
        <v>441</v>
      </c>
      <c r="O731" s="182" t="s">
        <v>1500</v>
      </c>
    </row>
    <row r="732" spans="1:15" ht="12">
      <c r="A732" s="148"/>
      <c r="B732" s="174" t="s">
        <v>1041</v>
      </c>
      <c r="C732" s="175" t="s">
        <v>547</v>
      </c>
      <c r="D732" s="176" t="s">
        <v>1699</v>
      </c>
      <c r="E732" s="177" t="s">
        <v>1338</v>
      </c>
      <c r="F732" s="175">
        <f t="shared" si="33"/>
        <v>9</v>
      </c>
      <c r="G732" s="175" t="str">
        <f t="shared" si="34"/>
        <v>Seattle</v>
      </c>
      <c r="H732" s="175" t="str">
        <f t="shared" si="35"/>
        <v>Seattle, WA</v>
      </c>
      <c r="I732" s="178" t="s">
        <v>1339</v>
      </c>
      <c r="J732" s="27" t="s">
        <v>1699</v>
      </c>
      <c r="K732" s="27">
        <v>167</v>
      </c>
      <c r="L732" s="179">
        <v>4611</v>
      </c>
      <c r="M732" s="180" t="s">
        <v>2506</v>
      </c>
      <c r="N732" s="181" t="s">
        <v>1699</v>
      </c>
      <c r="O732" s="182" t="s">
        <v>2507</v>
      </c>
    </row>
    <row r="733" spans="1:15" ht="12">
      <c r="A733" s="148"/>
      <c r="B733" s="174" t="s">
        <v>1340</v>
      </c>
      <c r="C733" s="175" t="s">
        <v>547</v>
      </c>
      <c r="D733" s="176" t="s">
        <v>1699</v>
      </c>
      <c r="E733" s="177" t="s">
        <v>1338</v>
      </c>
      <c r="F733" s="175">
        <f t="shared" si="33"/>
        <v>9</v>
      </c>
      <c r="G733" s="175" t="str">
        <f t="shared" si="34"/>
        <v>Seattle</v>
      </c>
      <c r="H733" s="175" t="str">
        <f t="shared" si="35"/>
        <v>Seattle, WA</v>
      </c>
      <c r="I733" s="178" t="s">
        <v>1339</v>
      </c>
      <c r="J733" s="27" t="s">
        <v>1699</v>
      </c>
      <c r="K733" s="27">
        <v>167</v>
      </c>
      <c r="L733" s="179">
        <v>4611</v>
      </c>
      <c r="M733" s="180" t="s">
        <v>2506</v>
      </c>
      <c r="N733" s="181" t="s">
        <v>1699</v>
      </c>
      <c r="O733" s="182" t="s">
        <v>2507</v>
      </c>
    </row>
    <row r="734" spans="1:15" ht="12">
      <c r="A734" s="148"/>
      <c r="B734" s="174" t="s">
        <v>1341</v>
      </c>
      <c r="C734" s="175" t="s">
        <v>1438</v>
      </c>
      <c r="D734" s="176" t="s">
        <v>1439</v>
      </c>
      <c r="E734" s="177" t="s">
        <v>1342</v>
      </c>
      <c r="F734" s="175">
        <f t="shared" si="33"/>
        <v>9</v>
      </c>
      <c r="G734" s="175" t="str">
        <f t="shared" si="34"/>
        <v>Sedalia</v>
      </c>
      <c r="H734" s="175" t="str">
        <f t="shared" si="35"/>
        <v>Sedalia, MO</v>
      </c>
      <c r="I734" s="178" t="s">
        <v>1579</v>
      </c>
      <c r="J734" s="27" t="s">
        <v>1439</v>
      </c>
      <c r="K734" s="27">
        <v>1189</v>
      </c>
      <c r="L734" s="179">
        <v>5212</v>
      </c>
      <c r="M734" s="178" t="s">
        <v>1442</v>
      </c>
      <c r="N734" s="27" t="s">
        <v>1439</v>
      </c>
      <c r="O734" s="182" t="s">
        <v>1443</v>
      </c>
    </row>
    <row r="735" spans="1:15" ht="12">
      <c r="A735" s="148"/>
      <c r="B735" s="174" t="s">
        <v>1343</v>
      </c>
      <c r="C735" s="175" t="s">
        <v>493</v>
      </c>
      <c r="D735" s="176" t="s">
        <v>494</v>
      </c>
      <c r="E735" s="177" t="s">
        <v>1344</v>
      </c>
      <c r="F735" s="175">
        <f t="shared" si="33"/>
        <v>7</v>
      </c>
      <c r="G735" s="175" t="str">
        <f t="shared" si="34"/>
        <v>Selma</v>
      </c>
      <c r="H735" s="175" t="str">
        <f t="shared" si="35"/>
        <v>Selma, AL</v>
      </c>
      <c r="I735" s="178" t="s">
        <v>1792</v>
      </c>
      <c r="J735" s="27" t="s">
        <v>494</v>
      </c>
      <c r="K735" s="27">
        <v>2212</v>
      </c>
      <c r="L735" s="179">
        <v>2224</v>
      </c>
      <c r="M735" s="178" t="s">
        <v>1793</v>
      </c>
      <c r="N735" s="27" t="s">
        <v>494</v>
      </c>
      <c r="O735" s="187" t="s">
        <v>1794</v>
      </c>
    </row>
    <row r="736" spans="1:15" ht="12">
      <c r="A736" s="148"/>
      <c r="B736" s="174" t="s">
        <v>1345</v>
      </c>
      <c r="C736" s="175" t="s">
        <v>500</v>
      </c>
      <c r="D736" s="176" t="s">
        <v>501</v>
      </c>
      <c r="E736" s="177" t="s">
        <v>1346</v>
      </c>
      <c r="F736" s="175">
        <f t="shared" si="33"/>
        <v>9</v>
      </c>
      <c r="G736" s="175" t="str">
        <f t="shared" si="34"/>
        <v>Shawnee</v>
      </c>
      <c r="H736" s="175" t="str">
        <f t="shared" si="35"/>
        <v>Shawnee, OK</v>
      </c>
      <c r="I736" s="178" t="s">
        <v>2170</v>
      </c>
      <c r="J736" s="27" t="s">
        <v>255</v>
      </c>
      <c r="K736" s="27">
        <v>2340</v>
      </c>
      <c r="L736" s="179">
        <v>3042</v>
      </c>
      <c r="M736" s="180" t="s">
        <v>2171</v>
      </c>
      <c r="N736" s="181" t="s">
        <v>255</v>
      </c>
      <c r="O736" s="182" t="s">
        <v>2172</v>
      </c>
    </row>
    <row r="737" spans="1:15" ht="12">
      <c r="A737" s="148"/>
      <c r="B737" s="174" t="s">
        <v>1347</v>
      </c>
      <c r="C737" s="175" t="s">
        <v>1567</v>
      </c>
      <c r="D737" s="176" t="s">
        <v>1568</v>
      </c>
      <c r="E737" s="177" t="s">
        <v>1348</v>
      </c>
      <c r="F737" s="175">
        <f t="shared" si="33"/>
        <v>17</v>
      </c>
      <c r="G737" s="175" t="str">
        <f t="shared" si="34"/>
        <v>Shawnee/Mission</v>
      </c>
      <c r="H737" s="175" t="str">
        <f t="shared" si="35"/>
        <v>Shawnee/Mission, KS</v>
      </c>
      <c r="I737" s="178" t="s">
        <v>2484</v>
      </c>
      <c r="J737" s="27" t="s">
        <v>1439</v>
      </c>
      <c r="K737" s="27">
        <v>1288</v>
      </c>
      <c r="L737" s="179">
        <v>5393</v>
      </c>
      <c r="M737" s="180" t="s">
        <v>2485</v>
      </c>
      <c r="N737" s="181" t="s">
        <v>1439</v>
      </c>
      <c r="O737" s="182" t="s">
        <v>2486</v>
      </c>
    </row>
    <row r="738" spans="1:15" ht="12">
      <c r="A738" s="148"/>
      <c r="B738" s="174" t="s">
        <v>1349</v>
      </c>
      <c r="C738" s="175" t="s">
        <v>1394</v>
      </c>
      <c r="D738" s="176" t="s">
        <v>1395</v>
      </c>
      <c r="E738" s="177" t="s">
        <v>1350</v>
      </c>
      <c r="F738" s="175">
        <f t="shared" si="33"/>
        <v>9</v>
      </c>
      <c r="G738" s="175" t="str">
        <f t="shared" si="34"/>
        <v>Sheldon</v>
      </c>
      <c r="H738" s="175" t="str">
        <f t="shared" si="35"/>
        <v>Sheldon, IA</v>
      </c>
      <c r="I738" s="178" t="s">
        <v>1351</v>
      </c>
      <c r="J738" s="27" t="s">
        <v>247</v>
      </c>
      <c r="K738" s="27">
        <v>744</v>
      </c>
      <c r="L738" s="179">
        <v>7809</v>
      </c>
      <c r="M738" s="180" t="s">
        <v>1352</v>
      </c>
      <c r="N738" s="181" t="s">
        <v>247</v>
      </c>
      <c r="O738" s="182" t="s">
        <v>1353</v>
      </c>
    </row>
    <row r="739" spans="1:15" ht="12">
      <c r="A739" s="148"/>
      <c r="B739" s="174" t="s">
        <v>1354</v>
      </c>
      <c r="C739" s="175" t="s">
        <v>1394</v>
      </c>
      <c r="D739" s="176" t="s">
        <v>1395</v>
      </c>
      <c r="E739" s="177" t="s">
        <v>1355</v>
      </c>
      <c r="F739" s="175">
        <f t="shared" si="33"/>
        <v>12</v>
      </c>
      <c r="G739" s="175" t="str">
        <f t="shared" si="34"/>
        <v>Shenandoah</v>
      </c>
      <c r="H739" s="175" t="str">
        <f t="shared" si="35"/>
        <v>Shenandoah, IA</v>
      </c>
      <c r="I739" s="178" t="s">
        <v>1728</v>
      </c>
      <c r="J739" s="27" t="s">
        <v>448</v>
      </c>
      <c r="K739" s="27">
        <v>1037</v>
      </c>
      <c r="L739" s="179">
        <v>6413</v>
      </c>
      <c r="M739" s="180" t="s">
        <v>1729</v>
      </c>
      <c r="N739" s="181" t="s">
        <v>448</v>
      </c>
      <c r="O739" s="182" t="s">
        <v>1730</v>
      </c>
    </row>
    <row r="740" spans="1:15" ht="12">
      <c r="A740" s="148"/>
      <c r="B740" s="174" t="s">
        <v>1356</v>
      </c>
      <c r="C740" s="175" t="s">
        <v>1474</v>
      </c>
      <c r="D740" s="176" t="s">
        <v>1475</v>
      </c>
      <c r="E740" s="177" t="s">
        <v>1357</v>
      </c>
      <c r="F740" s="175">
        <f t="shared" si="33"/>
        <v>10</v>
      </c>
      <c r="G740" s="175" t="str">
        <f t="shared" si="34"/>
        <v>Sheridan</v>
      </c>
      <c r="H740" s="175" t="str">
        <f t="shared" si="35"/>
        <v>Sheridan, WY</v>
      </c>
      <c r="I740" s="178" t="s">
        <v>1477</v>
      </c>
      <c r="J740" s="27" t="s">
        <v>1475</v>
      </c>
      <c r="K740" s="27">
        <v>439</v>
      </c>
      <c r="L740" s="179">
        <v>7804</v>
      </c>
      <c r="M740" s="180" t="s">
        <v>1478</v>
      </c>
      <c r="N740" s="181" t="s">
        <v>1475</v>
      </c>
      <c r="O740" s="182" t="s">
        <v>2418</v>
      </c>
    </row>
    <row r="741" spans="1:15" ht="12">
      <c r="A741" s="148"/>
      <c r="B741" s="174" t="s">
        <v>1358</v>
      </c>
      <c r="C741" s="175" t="s">
        <v>1372</v>
      </c>
      <c r="D741" s="176" t="s">
        <v>1373</v>
      </c>
      <c r="E741" s="177" t="s">
        <v>2318</v>
      </c>
      <c r="F741" s="175">
        <f t="shared" si="33"/>
        <v>10</v>
      </c>
      <c r="G741" s="175" t="str">
        <f t="shared" si="34"/>
        <v>Show Low</v>
      </c>
      <c r="H741" s="175" t="str">
        <f t="shared" si="35"/>
        <v>Show Low, AZ</v>
      </c>
      <c r="I741" s="178" t="s">
        <v>418</v>
      </c>
      <c r="J741" s="27" t="s">
        <v>416</v>
      </c>
      <c r="K741" s="27">
        <v>1244</v>
      </c>
      <c r="L741" s="179">
        <v>4425</v>
      </c>
      <c r="M741" s="180" t="s">
        <v>419</v>
      </c>
      <c r="N741" s="181" t="s">
        <v>416</v>
      </c>
      <c r="O741" s="182" t="s">
        <v>420</v>
      </c>
    </row>
    <row r="742" spans="1:15" ht="12">
      <c r="A742" s="148"/>
      <c r="B742" s="174" t="s">
        <v>2319</v>
      </c>
      <c r="C742" s="175" t="s">
        <v>281</v>
      </c>
      <c r="D742" s="176" t="s">
        <v>282</v>
      </c>
      <c r="E742" s="177" t="s">
        <v>2320</v>
      </c>
      <c r="F742" s="175">
        <f t="shared" si="33"/>
        <v>12</v>
      </c>
      <c r="G742" s="175" t="str">
        <f t="shared" si="34"/>
        <v>Shreveport</v>
      </c>
      <c r="H742" s="175" t="str">
        <f t="shared" si="35"/>
        <v>Shreveport, LA</v>
      </c>
      <c r="I742" s="178" t="s">
        <v>381</v>
      </c>
      <c r="J742" s="27" t="s">
        <v>282</v>
      </c>
      <c r="K742" s="27">
        <v>2368</v>
      </c>
      <c r="L742" s="179">
        <v>2264</v>
      </c>
      <c r="M742" s="180" t="s">
        <v>382</v>
      </c>
      <c r="N742" s="181" t="s">
        <v>282</v>
      </c>
      <c r="O742" s="182" t="s">
        <v>383</v>
      </c>
    </row>
    <row r="743" spans="1:15" ht="12">
      <c r="A743" s="148"/>
      <c r="B743" s="174" t="s">
        <v>2321</v>
      </c>
      <c r="C743" s="175" t="s">
        <v>281</v>
      </c>
      <c r="D743" s="176" t="s">
        <v>282</v>
      </c>
      <c r="E743" s="177" t="s">
        <v>2320</v>
      </c>
      <c r="F743" s="175">
        <f t="shared" si="33"/>
        <v>12</v>
      </c>
      <c r="G743" s="175" t="str">
        <f t="shared" si="34"/>
        <v>Shreveport</v>
      </c>
      <c r="H743" s="175" t="str">
        <f t="shared" si="35"/>
        <v>Shreveport, LA</v>
      </c>
      <c r="I743" s="178" t="s">
        <v>381</v>
      </c>
      <c r="J743" s="27" t="s">
        <v>282</v>
      </c>
      <c r="K743" s="27">
        <v>2368</v>
      </c>
      <c r="L743" s="179">
        <v>2264</v>
      </c>
      <c r="M743" s="180" t="s">
        <v>382</v>
      </c>
      <c r="N743" s="181" t="s">
        <v>282</v>
      </c>
      <c r="O743" s="182" t="s">
        <v>383</v>
      </c>
    </row>
    <row r="744" spans="1:15" ht="12">
      <c r="A744" s="148"/>
      <c r="B744" s="174" t="s">
        <v>2322</v>
      </c>
      <c r="C744" s="175" t="s">
        <v>1372</v>
      </c>
      <c r="D744" s="176" t="s">
        <v>1373</v>
      </c>
      <c r="E744" s="177" t="s">
        <v>2323</v>
      </c>
      <c r="F744" s="175">
        <f t="shared" si="33"/>
        <v>22</v>
      </c>
      <c r="G744" s="175" t="str">
        <f t="shared" si="34"/>
        <v>Sierra Vista/Nogales</v>
      </c>
      <c r="H744" s="175" t="str">
        <f t="shared" si="35"/>
        <v>Sierra Vista/Nogales, AZ</v>
      </c>
      <c r="I744" s="178" t="s">
        <v>1470</v>
      </c>
      <c r="J744" s="27" t="s">
        <v>1373</v>
      </c>
      <c r="K744" s="27">
        <v>2954</v>
      </c>
      <c r="L744" s="179">
        <v>1678</v>
      </c>
      <c r="M744" s="178" t="s">
        <v>1471</v>
      </c>
      <c r="N744" s="27" t="s">
        <v>1373</v>
      </c>
      <c r="O744" s="182" t="s">
        <v>1472</v>
      </c>
    </row>
    <row r="745" spans="1:15" ht="12">
      <c r="A745" s="148"/>
      <c r="B745" s="174" t="s">
        <v>2324</v>
      </c>
      <c r="C745" s="175" t="s">
        <v>1438</v>
      </c>
      <c r="D745" s="176" t="s">
        <v>1439</v>
      </c>
      <c r="E745" s="177" t="s">
        <v>2325</v>
      </c>
      <c r="F745" s="175">
        <f t="shared" si="33"/>
        <v>10</v>
      </c>
      <c r="G745" s="175" t="str">
        <f t="shared" si="34"/>
        <v>Sikeston</v>
      </c>
      <c r="H745" s="175" t="str">
        <f t="shared" si="35"/>
        <v>Sikeston, MO</v>
      </c>
      <c r="I745" s="178" t="s">
        <v>1446</v>
      </c>
      <c r="J745" s="27" t="s">
        <v>2364</v>
      </c>
      <c r="K745" s="27">
        <v>1376</v>
      </c>
      <c r="L745" s="179">
        <v>4708</v>
      </c>
      <c r="M745" s="178" t="s">
        <v>1447</v>
      </c>
      <c r="N745" s="27" t="s">
        <v>2364</v>
      </c>
      <c r="O745" s="182" t="s">
        <v>1448</v>
      </c>
    </row>
    <row r="746" spans="1:15" ht="12">
      <c r="A746" s="148"/>
      <c r="B746" s="174" t="s">
        <v>2326</v>
      </c>
      <c r="C746" s="175" t="s">
        <v>487</v>
      </c>
      <c r="D746" s="176" t="s">
        <v>430</v>
      </c>
      <c r="E746" s="177" t="s">
        <v>2327</v>
      </c>
      <c r="F746" s="175">
        <f t="shared" si="33"/>
        <v>15</v>
      </c>
      <c r="G746" s="175" t="str">
        <f t="shared" si="34"/>
        <v>Silver Spring</v>
      </c>
      <c r="H746" s="175" t="str">
        <f t="shared" si="35"/>
        <v>Silver Spring, MD</v>
      </c>
      <c r="I746" s="178" t="s">
        <v>427</v>
      </c>
      <c r="J746" s="27" t="s">
        <v>428</v>
      </c>
      <c r="K746" s="27">
        <v>1549</v>
      </c>
      <c r="L746" s="179">
        <v>4047</v>
      </c>
      <c r="M746" s="180" t="s">
        <v>429</v>
      </c>
      <c r="N746" s="181" t="s">
        <v>430</v>
      </c>
      <c r="O746" s="182" t="s">
        <v>431</v>
      </c>
    </row>
    <row r="747" spans="1:15" ht="12">
      <c r="A747" s="148"/>
      <c r="B747" s="174" t="s">
        <v>2328</v>
      </c>
      <c r="C747" s="175" t="s">
        <v>1394</v>
      </c>
      <c r="D747" s="176" t="s">
        <v>1395</v>
      </c>
      <c r="E747" s="177" t="s">
        <v>2329</v>
      </c>
      <c r="F747" s="175">
        <f t="shared" si="33"/>
        <v>12</v>
      </c>
      <c r="G747" s="175" t="str">
        <f t="shared" si="34"/>
        <v>Sioux City</v>
      </c>
      <c r="H747" s="175" t="str">
        <f t="shared" si="35"/>
        <v>Sioux City, IA</v>
      </c>
      <c r="I747" s="178" t="s">
        <v>1458</v>
      </c>
      <c r="J747" s="27" t="s">
        <v>1395</v>
      </c>
      <c r="K747" s="27">
        <v>907</v>
      </c>
      <c r="L747" s="179">
        <v>6893</v>
      </c>
      <c r="M747" s="178" t="s">
        <v>1459</v>
      </c>
      <c r="N747" s="27" t="s">
        <v>1395</v>
      </c>
      <c r="O747" s="182" t="s">
        <v>1460</v>
      </c>
    </row>
    <row r="748" spans="1:15" ht="12">
      <c r="A748" s="148"/>
      <c r="B748" s="174" t="s">
        <v>2330</v>
      </c>
      <c r="C748" s="175" t="s">
        <v>1394</v>
      </c>
      <c r="D748" s="176" t="s">
        <v>1395</v>
      </c>
      <c r="E748" s="177" t="s">
        <v>2329</v>
      </c>
      <c r="F748" s="175">
        <f t="shared" si="33"/>
        <v>12</v>
      </c>
      <c r="G748" s="175" t="str">
        <f t="shared" si="34"/>
        <v>Sioux City</v>
      </c>
      <c r="H748" s="175" t="str">
        <f t="shared" si="35"/>
        <v>Sioux City, IA</v>
      </c>
      <c r="I748" s="178" t="s">
        <v>1458</v>
      </c>
      <c r="J748" s="27" t="s">
        <v>1395</v>
      </c>
      <c r="K748" s="27">
        <v>907</v>
      </c>
      <c r="L748" s="179">
        <v>6893</v>
      </c>
      <c r="M748" s="178" t="s">
        <v>1459</v>
      </c>
      <c r="N748" s="27" t="s">
        <v>1395</v>
      </c>
      <c r="O748" s="182" t="s">
        <v>1460</v>
      </c>
    </row>
    <row r="749" spans="1:15" ht="12">
      <c r="A749" s="148"/>
      <c r="B749" s="174" t="s">
        <v>2331</v>
      </c>
      <c r="C749" s="175" t="s">
        <v>246</v>
      </c>
      <c r="D749" s="176" t="s">
        <v>247</v>
      </c>
      <c r="E749" s="177" t="s">
        <v>2332</v>
      </c>
      <c r="F749" s="175">
        <f t="shared" si="33"/>
        <v>13</v>
      </c>
      <c r="G749" s="175" t="str">
        <f t="shared" si="34"/>
        <v>Sioux Falls</v>
      </c>
      <c r="H749" s="175" t="str">
        <f t="shared" si="35"/>
        <v>Sioux Falls, SD</v>
      </c>
      <c r="I749" s="178" t="s">
        <v>1351</v>
      </c>
      <c r="J749" s="27" t="s">
        <v>247</v>
      </c>
      <c r="K749" s="27">
        <v>744</v>
      </c>
      <c r="L749" s="179">
        <v>7809</v>
      </c>
      <c r="M749" s="180" t="s">
        <v>1352</v>
      </c>
      <c r="N749" s="181" t="s">
        <v>247</v>
      </c>
      <c r="O749" s="182" t="s">
        <v>1353</v>
      </c>
    </row>
    <row r="750" spans="1:15" ht="12">
      <c r="A750" s="148"/>
      <c r="B750" s="174" t="s">
        <v>2333</v>
      </c>
      <c r="C750" s="175" t="s">
        <v>246</v>
      </c>
      <c r="D750" s="176" t="s">
        <v>247</v>
      </c>
      <c r="E750" s="177" t="s">
        <v>2332</v>
      </c>
      <c r="F750" s="175">
        <f t="shared" si="33"/>
        <v>13</v>
      </c>
      <c r="G750" s="175" t="str">
        <f t="shared" si="34"/>
        <v>Sioux Falls</v>
      </c>
      <c r="H750" s="175" t="str">
        <f t="shared" si="35"/>
        <v>Sioux Falls, SD</v>
      </c>
      <c r="I750" s="178" t="s">
        <v>1351</v>
      </c>
      <c r="J750" s="27" t="s">
        <v>247</v>
      </c>
      <c r="K750" s="27">
        <v>744</v>
      </c>
      <c r="L750" s="179">
        <v>7809</v>
      </c>
      <c r="M750" s="180" t="s">
        <v>1352</v>
      </c>
      <c r="N750" s="181" t="s">
        <v>247</v>
      </c>
      <c r="O750" s="182" t="s">
        <v>1353</v>
      </c>
    </row>
    <row r="751" spans="1:15" ht="12">
      <c r="A751" s="148"/>
      <c r="B751" s="174" t="s">
        <v>2334</v>
      </c>
      <c r="C751" s="175" t="s">
        <v>433</v>
      </c>
      <c r="D751" s="176" t="s">
        <v>434</v>
      </c>
      <c r="E751" s="177" t="s">
        <v>2335</v>
      </c>
      <c r="F751" s="175">
        <f t="shared" si="33"/>
        <v>19</v>
      </c>
      <c r="G751" s="175" t="str">
        <f t="shared" si="34"/>
        <v>So. San Francisco</v>
      </c>
      <c r="H751" s="175" t="str">
        <f t="shared" si="35"/>
        <v>So. San Francisco, CA</v>
      </c>
      <c r="I751" s="178" t="s">
        <v>187</v>
      </c>
      <c r="J751" s="27" t="s">
        <v>434</v>
      </c>
      <c r="K751" s="27">
        <v>65</v>
      </c>
      <c r="L751" s="179">
        <v>3005</v>
      </c>
      <c r="M751" s="178" t="s">
        <v>188</v>
      </c>
      <c r="N751" s="27" t="s">
        <v>434</v>
      </c>
      <c r="O751" s="182" t="s">
        <v>189</v>
      </c>
    </row>
    <row r="752" spans="1:15" ht="12">
      <c r="A752" s="148"/>
      <c r="B752" s="174" t="s">
        <v>2336</v>
      </c>
      <c r="C752" s="175" t="s">
        <v>415</v>
      </c>
      <c r="D752" s="176" t="s">
        <v>416</v>
      </c>
      <c r="E752" s="177" t="s">
        <v>2337</v>
      </c>
      <c r="F752" s="175">
        <f t="shared" si="33"/>
        <v>9</v>
      </c>
      <c r="G752" s="175" t="str">
        <f t="shared" si="34"/>
        <v>Socorro</v>
      </c>
      <c r="H752" s="175" t="str">
        <f t="shared" si="35"/>
        <v>Socorro, NM</v>
      </c>
      <c r="I752" s="178" t="s">
        <v>418</v>
      </c>
      <c r="J752" s="27" t="s">
        <v>416</v>
      </c>
      <c r="K752" s="27">
        <v>1244</v>
      </c>
      <c r="L752" s="179">
        <v>4425</v>
      </c>
      <c r="M752" s="180" t="s">
        <v>419</v>
      </c>
      <c r="N752" s="181" t="s">
        <v>416</v>
      </c>
      <c r="O752" s="182" t="s">
        <v>420</v>
      </c>
    </row>
    <row r="753" spans="1:15" ht="12">
      <c r="A753" s="148"/>
      <c r="B753" s="174" t="s">
        <v>2338</v>
      </c>
      <c r="C753" s="175" t="s">
        <v>516</v>
      </c>
      <c r="D753" s="176" t="s">
        <v>517</v>
      </c>
      <c r="E753" s="177" t="s">
        <v>2339</v>
      </c>
      <c r="F753" s="175">
        <f t="shared" si="33"/>
        <v>10</v>
      </c>
      <c r="G753" s="175" t="str">
        <f t="shared" si="34"/>
        <v>Somerset</v>
      </c>
      <c r="H753" s="175" t="str">
        <f t="shared" si="35"/>
        <v>Somerset, KY</v>
      </c>
      <c r="I753" s="178" t="s">
        <v>1586</v>
      </c>
      <c r="J753" s="27" t="s">
        <v>517</v>
      </c>
      <c r="K753" s="27">
        <v>1140</v>
      </c>
      <c r="L753" s="179">
        <v>4783</v>
      </c>
      <c r="M753" s="180" t="s">
        <v>1587</v>
      </c>
      <c r="N753" s="181" t="s">
        <v>517</v>
      </c>
      <c r="O753" s="182" t="s">
        <v>1588</v>
      </c>
    </row>
    <row r="754" spans="1:15" ht="12">
      <c r="A754" s="148"/>
      <c r="B754" s="174" t="s">
        <v>2340</v>
      </c>
      <c r="C754" s="175" t="s">
        <v>516</v>
      </c>
      <c r="D754" s="176" t="s">
        <v>517</v>
      </c>
      <c r="E754" s="177" t="s">
        <v>2339</v>
      </c>
      <c r="F754" s="175">
        <f t="shared" si="33"/>
        <v>10</v>
      </c>
      <c r="G754" s="175" t="str">
        <f t="shared" si="34"/>
        <v>Somerset</v>
      </c>
      <c r="H754" s="175" t="str">
        <f t="shared" si="35"/>
        <v>Somerset, KY</v>
      </c>
      <c r="I754" s="178" t="s">
        <v>1586</v>
      </c>
      <c r="J754" s="27" t="s">
        <v>517</v>
      </c>
      <c r="K754" s="27">
        <v>1140</v>
      </c>
      <c r="L754" s="179">
        <v>4783</v>
      </c>
      <c r="M754" s="180" t="s">
        <v>1587</v>
      </c>
      <c r="N754" s="181" t="s">
        <v>517</v>
      </c>
      <c r="O754" s="182" t="s">
        <v>1588</v>
      </c>
    </row>
    <row r="755" spans="1:15" ht="12">
      <c r="A755" s="148"/>
      <c r="B755" s="174" t="s">
        <v>2341</v>
      </c>
      <c r="C755" s="175" t="s">
        <v>440</v>
      </c>
      <c r="D755" s="176" t="s">
        <v>441</v>
      </c>
      <c r="E755" s="177" t="s">
        <v>2339</v>
      </c>
      <c r="F755" s="175">
        <f t="shared" si="33"/>
        <v>10</v>
      </c>
      <c r="G755" s="175" t="str">
        <f t="shared" si="34"/>
        <v>Somerset</v>
      </c>
      <c r="H755" s="175" t="str">
        <f t="shared" si="35"/>
        <v>Somerset, PA</v>
      </c>
      <c r="I755" s="178" t="s">
        <v>455</v>
      </c>
      <c r="J755" s="27" t="s">
        <v>441</v>
      </c>
      <c r="K755" s="27">
        <v>654</v>
      </c>
      <c r="L755" s="179">
        <v>5968</v>
      </c>
      <c r="M755" s="180" t="s">
        <v>456</v>
      </c>
      <c r="N755" s="181" t="s">
        <v>441</v>
      </c>
      <c r="O755" s="182" t="s">
        <v>457</v>
      </c>
    </row>
    <row r="756" spans="1:15" ht="12">
      <c r="A756" s="148"/>
      <c r="B756" s="174" t="s">
        <v>2342</v>
      </c>
      <c r="C756" s="175" t="s">
        <v>2363</v>
      </c>
      <c r="D756" s="176" t="s">
        <v>2364</v>
      </c>
      <c r="E756" s="177" t="s">
        <v>2343</v>
      </c>
      <c r="F756" s="175">
        <f t="shared" si="33"/>
        <v>12</v>
      </c>
      <c r="G756" s="175" t="str">
        <f t="shared" si="34"/>
        <v>South Bend</v>
      </c>
      <c r="H756" s="175" t="str">
        <f t="shared" si="35"/>
        <v>South Bend, IN</v>
      </c>
      <c r="I756" s="178" t="s">
        <v>2035</v>
      </c>
      <c r="J756" s="27" t="s">
        <v>2364</v>
      </c>
      <c r="K756" s="27">
        <v>824</v>
      </c>
      <c r="L756" s="179">
        <v>6273</v>
      </c>
      <c r="M756" s="178" t="s">
        <v>2070</v>
      </c>
      <c r="N756" s="27" t="s">
        <v>2364</v>
      </c>
      <c r="O756" s="182" t="s">
        <v>2071</v>
      </c>
    </row>
    <row r="757" spans="1:15" ht="12">
      <c r="A757" s="148"/>
      <c r="B757" s="174" t="s">
        <v>2344</v>
      </c>
      <c r="C757" s="175" t="s">
        <v>2363</v>
      </c>
      <c r="D757" s="176" t="s">
        <v>2364</v>
      </c>
      <c r="E757" s="177" t="s">
        <v>2343</v>
      </c>
      <c r="F757" s="175">
        <f t="shared" si="33"/>
        <v>12</v>
      </c>
      <c r="G757" s="175" t="str">
        <f t="shared" si="34"/>
        <v>South Bend</v>
      </c>
      <c r="H757" s="175" t="str">
        <f t="shared" si="35"/>
        <v>South Bend, IN</v>
      </c>
      <c r="I757" s="178" t="s">
        <v>2031</v>
      </c>
      <c r="J757" s="27" t="s">
        <v>2364</v>
      </c>
      <c r="K757" s="27">
        <v>728</v>
      </c>
      <c r="L757" s="179">
        <v>6331</v>
      </c>
      <c r="M757" s="178" t="s">
        <v>2070</v>
      </c>
      <c r="N757" s="27" t="s">
        <v>2364</v>
      </c>
      <c r="O757" s="182" t="s">
        <v>2071</v>
      </c>
    </row>
    <row r="758" spans="1:15" ht="12">
      <c r="A758" s="148"/>
      <c r="B758" s="174" t="s">
        <v>1703</v>
      </c>
      <c r="C758" s="175" t="s">
        <v>1708</v>
      </c>
      <c r="D758" s="176" t="s">
        <v>1709</v>
      </c>
      <c r="E758" s="177" t="s">
        <v>2348</v>
      </c>
      <c r="F758" s="175">
        <f t="shared" si="33"/>
        <v>20</v>
      </c>
      <c r="G758" s="175" t="str">
        <f t="shared" si="34"/>
        <v>South Chicago Sub.</v>
      </c>
      <c r="H758" s="175" t="str">
        <f t="shared" si="35"/>
        <v>South Chicago Sub., IL</v>
      </c>
      <c r="I758" s="178" t="s">
        <v>2473</v>
      </c>
      <c r="J758" s="27" t="s">
        <v>1709</v>
      </c>
      <c r="K758" s="27">
        <v>752</v>
      </c>
      <c r="L758" s="179">
        <v>6536</v>
      </c>
      <c r="M758" s="178" t="s">
        <v>2474</v>
      </c>
      <c r="N758" s="27" t="s">
        <v>1709</v>
      </c>
      <c r="O758" s="182" t="s">
        <v>2475</v>
      </c>
    </row>
    <row r="759" spans="1:15" ht="12">
      <c r="A759" s="148"/>
      <c r="B759" s="174" t="s">
        <v>1280</v>
      </c>
      <c r="C759" s="175" t="s">
        <v>1708</v>
      </c>
      <c r="D759" s="176" t="s">
        <v>1709</v>
      </c>
      <c r="E759" s="177" t="s">
        <v>2348</v>
      </c>
      <c r="F759" s="175">
        <f t="shared" si="33"/>
        <v>20</v>
      </c>
      <c r="G759" s="175" t="str">
        <f t="shared" si="34"/>
        <v>South Chicago Sub.</v>
      </c>
      <c r="H759" s="175" t="str">
        <f t="shared" si="35"/>
        <v>South Chicago Sub., IL</v>
      </c>
      <c r="I759" s="178" t="s">
        <v>2473</v>
      </c>
      <c r="J759" s="27" t="s">
        <v>1709</v>
      </c>
      <c r="K759" s="27">
        <v>752</v>
      </c>
      <c r="L759" s="179">
        <v>6536</v>
      </c>
      <c r="M759" s="178" t="s">
        <v>2474</v>
      </c>
      <c r="N759" s="27" t="s">
        <v>1709</v>
      </c>
      <c r="O759" s="182" t="s">
        <v>2475</v>
      </c>
    </row>
    <row r="760" spans="1:15" ht="12">
      <c r="A760" s="148"/>
      <c r="B760" s="186" t="s">
        <v>1281</v>
      </c>
      <c r="C760" s="175" t="s">
        <v>1609</v>
      </c>
      <c r="D760" s="176" t="s">
        <v>1610</v>
      </c>
      <c r="E760" s="177" t="s">
        <v>1282</v>
      </c>
      <c r="F760" s="175">
        <f t="shared" si="33"/>
        <v>14</v>
      </c>
      <c r="G760" s="175" t="str">
        <f t="shared" si="34"/>
        <v>South Jersey</v>
      </c>
      <c r="H760" s="175" t="str">
        <f t="shared" si="35"/>
        <v>South Jersey, NJ</v>
      </c>
      <c r="I760" s="178" t="s">
        <v>1612</v>
      </c>
      <c r="J760" s="27" t="s">
        <v>1610</v>
      </c>
      <c r="K760" s="27">
        <v>826</v>
      </c>
      <c r="L760" s="179">
        <v>5169</v>
      </c>
      <c r="M760" s="180" t="s">
        <v>1613</v>
      </c>
      <c r="N760" s="181" t="s">
        <v>1610</v>
      </c>
      <c r="O760" s="182" t="s">
        <v>1614</v>
      </c>
    </row>
    <row r="761" spans="1:15" ht="12">
      <c r="A761" s="148"/>
      <c r="B761" s="186" t="s">
        <v>1283</v>
      </c>
      <c r="C761" s="175" t="s">
        <v>1609</v>
      </c>
      <c r="D761" s="176" t="s">
        <v>1610</v>
      </c>
      <c r="E761" s="177" t="s">
        <v>1282</v>
      </c>
      <c r="F761" s="175">
        <f t="shared" si="33"/>
        <v>14</v>
      </c>
      <c r="G761" s="175" t="str">
        <f t="shared" si="34"/>
        <v>South Jersey</v>
      </c>
      <c r="H761" s="175" t="str">
        <f t="shared" si="35"/>
        <v>South Jersey, NJ</v>
      </c>
      <c r="I761" s="178" t="s">
        <v>1056</v>
      </c>
      <c r="J761" s="27" t="s">
        <v>1797</v>
      </c>
      <c r="K761" s="27">
        <v>1046</v>
      </c>
      <c r="L761" s="179">
        <v>4937</v>
      </c>
      <c r="M761" s="180" t="s">
        <v>1057</v>
      </c>
      <c r="N761" s="181" t="s">
        <v>1797</v>
      </c>
      <c r="O761" s="182" t="s">
        <v>1058</v>
      </c>
    </row>
    <row r="762" spans="1:15" ht="12">
      <c r="A762" s="148"/>
      <c r="B762" s="174" t="s">
        <v>1284</v>
      </c>
      <c r="C762" s="175" t="s">
        <v>1220</v>
      </c>
      <c r="D762" s="176" t="s">
        <v>1221</v>
      </c>
      <c r="E762" s="177" t="s">
        <v>1285</v>
      </c>
      <c r="F762" s="175">
        <f t="shared" si="33"/>
        <v>28</v>
      </c>
      <c r="G762" s="175" t="str">
        <f t="shared" si="34"/>
        <v>Southeast Utah/Green River</v>
      </c>
      <c r="H762" s="175" t="str">
        <f t="shared" si="35"/>
        <v>Southeast Utah/Green River, UT</v>
      </c>
      <c r="I762" s="178" t="s">
        <v>1815</v>
      </c>
      <c r="J762" s="27" t="s">
        <v>394</v>
      </c>
      <c r="K762" s="27">
        <v>1183</v>
      </c>
      <c r="L762" s="179">
        <v>5548</v>
      </c>
      <c r="M762" s="178" t="s">
        <v>1816</v>
      </c>
      <c r="N762" s="27" t="s">
        <v>394</v>
      </c>
      <c r="O762" s="182" t="s">
        <v>1817</v>
      </c>
    </row>
    <row r="763" spans="1:15" ht="12">
      <c r="A763" s="148"/>
      <c r="B763" s="174" t="s">
        <v>1286</v>
      </c>
      <c r="C763" s="175" t="s">
        <v>440</v>
      </c>
      <c r="D763" s="176" t="s">
        <v>441</v>
      </c>
      <c r="E763" s="177" t="s">
        <v>1287</v>
      </c>
      <c r="F763" s="175">
        <f t="shared" si="33"/>
        <v>14</v>
      </c>
      <c r="G763" s="175" t="str">
        <f t="shared" si="34"/>
        <v>Southeastern</v>
      </c>
      <c r="H763" s="175" t="str">
        <f t="shared" si="35"/>
        <v>Southeastern, PA</v>
      </c>
      <c r="I763" s="178" t="s">
        <v>1056</v>
      </c>
      <c r="J763" s="27" t="s">
        <v>1797</v>
      </c>
      <c r="K763" s="27">
        <v>1046</v>
      </c>
      <c r="L763" s="179">
        <v>4937</v>
      </c>
      <c r="M763" s="180" t="s">
        <v>1057</v>
      </c>
      <c r="N763" s="181" t="s">
        <v>1797</v>
      </c>
      <c r="O763" s="182" t="s">
        <v>1058</v>
      </c>
    </row>
    <row r="764" spans="1:15" ht="12">
      <c r="A764" s="148"/>
      <c r="B764" s="174" t="s">
        <v>1288</v>
      </c>
      <c r="C764" s="175" t="s">
        <v>440</v>
      </c>
      <c r="D764" s="176" t="s">
        <v>441</v>
      </c>
      <c r="E764" s="177" t="s">
        <v>1287</v>
      </c>
      <c r="F764" s="175">
        <f t="shared" si="33"/>
        <v>14</v>
      </c>
      <c r="G764" s="175" t="str">
        <f t="shared" si="34"/>
        <v>Southeastern</v>
      </c>
      <c r="H764" s="175" t="str">
        <f t="shared" si="35"/>
        <v>Southeastern, PA</v>
      </c>
      <c r="I764" s="178" t="s">
        <v>1056</v>
      </c>
      <c r="J764" s="27" t="s">
        <v>1797</v>
      </c>
      <c r="K764" s="27">
        <v>1046</v>
      </c>
      <c r="L764" s="179">
        <v>4937</v>
      </c>
      <c r="M764" s="180" t="s">
        <v>1057</v>
      </c>
      <c r="N764" s="181" t="s">
        <v>1797</v>
      </c>
      <c r="O764" s="182" t="s">
        <v>1058</v>
      </c>
    </row>
    <row r="765" spans="1:15" ht="12">
      <c r="A765" s="148"/>
      <c r="B765" s="174" t="s">
        <v>1289</v>
      </c>
      <c r="C765" s="175" t="s">
        <v>1220</v>
      </c>
      <c r="D765" s="176" t="s">
        <v>1221</v>
      </c>
      <c r="E765" s="177" t="s">
        <v>1290</v>
      </c>
      <c r="F765" s="175">
        <f t="shared" si="33"/>
        <v>27</v>
      </c>
      <c r="G765" s="175" t="str">
        <f t="shared" si="34"/>
        <v>Southwest Utah/Cedar City</v>
      </c>
      <c r="H765" s="175" t="str">
        <f t="shared" si="35"/>
        <v>Southwest Utah/Cedar City, UT</v>
      </c>
      <c r="I765" s="178" t="s">
        <v>1291</v>
      </c>
      <c r="J765" s="27" t="s">
        <v>1221</v>
      </c>
      <c r="K765" s="27">
        <v>647</v>
      </c>
      <c r="L765" s="179">
        <v>6511</v>
      </c>
      <c r="M765" s="178" t="s">
        <v>1816</v>
      </c>
      <c r="N765" s="27" t="s">
        <v>394</v>
      </c>
      <c r="O765" s="182" t="s">
        <v>1817</v>
      </c>
    </row>
    <row r="766" spans="1:15" ht="12">
      <c r="A766" s="148"/>
      <c r="B766" s="174" t="s">
        <v>1292</v>
      </c>
      <c r="C766" s="175" t="s">
        <v>274</v>
      </c>
      <c r="D766" s="176" t="s">
        <v>275</v>
      </c>
      <c r="E766" s="177" t="s">
        <v>1293</v>
      </c>
      <c r="F766" s="175">
        <f t="shared" si="33"/>
        <v>13</v>
      </c>
      <c r="G766" s="175" t="str">
        <f t="shared" si="34"/>
        <v>Spartanburg</v>
      </c>
      <c r="H766" s="175" t="str">
        <f t="shared" si="35"/>
        <v>Spartanburg, SC</v>
      </c>
      <c r="I766" s="178" t="s">
        <v>2445</v>
      </c>
      <c r="J766" s="27" t="s">
        <v>275</v>
      </c>
      <c r="K766" s="27">
        <v>1473</v>
      </c>
      <c r="L766" s="179">
        <v>3272</v>
      </c>
      <c r="M766" s="180" t="s">
        <v>2446</v>
      </c>
      <c r="N766" s="181" t="s">
        <v>473</v>
      </c>
      <c r="O766" s="182" t="s">
        <v>2447</v>
      </c>
    </row>
    <row r="767" spans="1:15" ht="12">
      <c r="A767" s="148"/>
      <c r="B767" s="174" t="s">
        <v>1294</v>
      </c>
      <c r="C767" s="175" t="s">
        <v>1394</v>
      </c>
      <c r="D767" s="176" t="s">
        <v>1395</v>
      </c>
      <c r="E767" s="177" t="s">
        <v>1295</v>
      </c>
      <c r="F767" s="175">
        <f t="shared" si="33"/>
        <v>9</v>
      </c>
      <c r="G767" s="175" t="str">
        <f t="shared" si="34"/>
        <v>Spencer</v>
      </c>
      <c r="H767" s="175" t="str">
        <f t="shared" si="35"/>
        <v>Spencer, IA</v>
      </c>
      <c r="I767" s="178" t="s">
        <v>1351</v>
      </c>
      <c r="J767" s="27" t="s">
        <v>247</v>
      </c>
      <c r="K767" s="27">
        <v>744</v>
      </c>
      <c r="L767" s="179">
        <v>7809</v>
      </c>
      <c r="M767" s="180" t="s">
        <v>1352</v>
      </c>
      <c r="N767" s="181" t="s">
        <v>247</v>
      </c>
      <c r="O767" s="182" t="s">
        <v>1353</v>
      </c>
    </row>
    <row r="768" spans="1:15" ht="12">
      <c r="A768" s="148"/>
      <c r="B768" s="174" t="s">
        <v>1296</v>
      </c>
      <c r="C768" s="175" t="s">
        <v>547</v>
      </c>
      <c r="D768" s="176" t="s">
        <v>1699</v>
      </c>
      <c r="E768" s="177" t="s">
        <v>1297</v>
      </c>
      <c r="F768" s="175">
        <f t="shared" si="33"/>
        <v>9</v>
      </c>
      <c r="G768" s="175" t="str">
        <f t="shared" si="34"/>
        <v>Spokane</v>
      </c>
      <c r="H768" s="175" t="str">
        <f t="shared" si="35"/>
        <v>Spokane, WA</v>
      </c>
      <c r="I768" s="178" t="s">
        <v>1563</v>
      </c>
      <c r="J768" s="27" t="s">
        <v>1699</v>
      </c>
      <c r="K768" s="27">
        <v>398</v>
      </c>
      <c r="L768" s="179">
        <v>6842</v>
      </c>
      <c r="M768" s="180" t="s">
        <v>1564</v>
      </c>
      <c r="N768" s="181" t="s">
        <v>1699</v>
      </c>
      <c r="O768" s="182" t="s">
        <v>1565</v>
      </c>
    </row>
    <row r="769" spans="1:15" ht="12">
      <c r="A769" s="148"/>
      <c r="B769" s="174" t="s">
        <v>1298</v>
      </c>
      <c r="C769" s="175" t="s">
        <v>547</v>
      </c>
      <c r="D769" s="176" t="s">
        <v>1699</v>
      </c>
      <c r="E769" s="177" t="s">
        <v>1297</v>
      </c>
      <c r="F769" s="175">
        <f t="shared" si="33"/>
        <v>9</v>
      </c>
      <c r="G769" s="175" t="str">
        <f t="shared" si="34"/>
        <v>Spokane</v>
      </c>
      <c r="H769" s="175" t="str">
        <f t="shared" si="35"/>
        <v>Spokane, WA</v>
      </c>
      <c r="I769" s="178" t="s">
        <v>1563</v>
      </c>
      <c r="J769" s="27" t="s">
        <v>1699</v>
      </c>
      <c r="K769" s="27">
        <v>398</v>
      </c>
      <c r="L769" s="179">
        <v>6842</v>
      </c>
      <c r="M769" s="180" t="s">
        <v>1564</v>
      </c>
      <c r="N769" s="181" t="s">
        <v>1699</v>
      </c>
      <c r="O769" s="182" t="s">
        <v>1565</v>
      </c>
    </row>
    <row r="770" spans="1:15" ht="12">
      <c r="A770" s="148"/>
      <c r="B770" s="174" t="s">
        <v>1299</v>
      </c>
      <c r="C770" s="175" t="s">
        <v>547</v>
      </c>
      <c r="D770" s="176" t="s">
        <v>1699</v>
      </c>
      <c r="E770" s="177" t="s">
        <v>1297</v>
      </c>
      <c r="F770" s="175">
        <f t="shared" si="33"/>
        <v>9</v>
      </c>
      <c r="G770" s="175" t="str">
        <f t="shared" si="34"/>
        <v>Spokane</v>
      </c>
      <c r="H770" s="175" t="str">
        <f t="shared" si="35"/>
        <v>Spokane, WA</v>
      </c>
      <c r="I770" s="178" t="s">
        <v>1563</v>
      </c>
      <c r="J770" s="27" t="s">
        <v>1699</v>
      </c>
      <c r="K770" s="27">
        <v>398</v>
      </c>
      <c r="L770" s="179">
        <v>6842</v>
      </c>
      <c r="M770" s="180" t="s">
        <v>1564</v>
      </c>
      <c r="N770" s="181" t="s">
        <v>1699</v>
      </c>
      <c r="O770" s="182" t="s">
        <v>1565</v>
      </c>
    </row>
    <row r="771" spans="1:15" ht="12">
      <c r="A771" s="148"/>
      <c r="B771" s="174" t="s">
        <v>1300</v>
      </c>
      <c r="C771" s="175" t="s">
        <v>33</v>
      </c>
      <c r="D771" s="176" t="s">
        <v>1763</v>
      </c>
      <c r="E771" s="177" t="s">
        <v>1301</v>
      </c>
      <c r="F771" s="175">
        <f t="shared" si="33"/>
        <v>9</v>
      </c>
      <c r="G771" s="175" t="str">
        <f t="shared" si="34"/>
        <v>Spooner</v>
      </c>
      <c r="H771" s="175" t="str">
        <f t="shared" si="35"/>
        <v>Spooner, WI</v>
      </c>
      <c r="I771" s="178" t="s">
        <v>637</v>
      </c>
      <c r="J771" s="27" t="s">
        <v>1688</v>
      </c>
      <c r="K771" s="27">
        <v>415</v>
      </c>
      <c r="L771" s="179">
        <v>8928</v>
      </c>
      <c r="M771" s="180" t="s">
        <v>953</v>
      </c>
      <c r="N771" s="181" t="s">
        <v>1763</v>
      </c>
      <c r="O771" s="182" t="s">
        <v>954</v>
      </c>
    </row>
    <row r="772" spans="1:15" ht="12">
      <c r="A772" s="148"/>
      <c r="B772" s="174" t="s">
        <v>1302</v>
      </c>
      <c r="C772" s="175" t="s">
        <v>1708</v>
      </c>
      <c r="D772" s="176" t="s">
        <v>1709</v>
      </c>
      <c r="E772" s="177" t="s">
        <v>1303</v>
      </c>
      <c r="F772" s="175">
        <f t="shared" si="33"/>
        <v>13</v>
      </c>
      <c r="G772" s="175" t="str">
        <f t="shared" si="34"/>
        <v>Springfield</v>
      </c>
      <c r="H772" s="175" t="str">
        <f t="shared" si="35"/>
        <v>Springfield, IL</v>
      </c>
      <c r="I772" s="178" t="s">
        <v>1711</v>
      </c>
      <c r="J772" s="27" t="s">
        <v>1709</v>
      </c>
      <c r="K772" s="27">
        <v>1141</v>
      </c>
      <c r="L772" s="179">
        <v>5688</v>
      </c>
      <c r="M772" s="178" t="s">
        <v>1712</v>
      </c>
      <c r="N772" s="27" t="s">
        <v>1709</v>
      </c>
      <c r="O772" s="182" t="s">
        <v>2361</v>
      </c>
    </row>
    <row r="773" spans="1:15" ht="12">
      <c r="A773" s="148"/>
      <c r="B773" s="174" t="s">
        <v>1304</v>
      </c>
      <c r="C773" s="175" t="s">
        <v>1708</v>
      </c>
      <c r="D773" s="176" t="s">
        <v>1709</v>
      </c>
      <c r="E773" s="177" t="s">
        <v>1303</v>
      </c>
      <c r="F773" s="175">
        <f t="shared" si="33"/>
        <v>13</v>
      </c>
      <c r="G773" s="175" t="str">
        <f t="shared" si="34"/>
        <v>Springfield</v>
      </c>
      <c r="H773" s="175" t="str">
        <f t="shared" si="35"/>
        <v>Springfield, IL</v>
      </c>
      <c r="I773" s="178" t="s">
        <v>1711</v>
      </c>
      <c r="J773" s="27" t="s">
        <v>1709</v>
      </c>
      <c r="K773" s="27">
        <v>1141</v>
      </c>
      <c r="L773" s="179">
        <v>5688</v>
      </c>
      <c r="M773" s="178" t="s">
        <v>1712</v>
      </c>
      <c r="N773" s="27" t="s">
        <v>1709</v>
      </c>
      <c r="O773" s="182" t="s">
        <v>2361</v>
      </c>
    </row>
    <row r="774" spans="1:15" ht="12">
      <c r="A774" s="148"/>
      <c r="B774" s="174" t="s">
        <v>1305</v>
      </c>
      <c r="C774" s="175" t="s">
        <v>1708</v>
      </c>
      <c r="D774" s="176" t="s">
        <v>1709</v>
      </c>
      <c r="E774" s="177" t="s">
        <v>1303</v>
      </c>
      <c r="F774" s="175">
        <f t="shared" ref="F774:F837" si="36">LEN(E774)</f>
        <v>13</v>
      </c>
      <c r="G774" s="175" t="str">
        <f t="shared" ref="G774:G837" si="37">MID(E774,2,F774-2)</f>
        <v>Springfield</v>
      </c>
      <c r="H774" s="175" t="str">
        <f t="shared" ref="H774:H837" si="38">CONCATENATE(G774,", ",+D774)</f>
        <v>Springfield, IL</v>
      </c>
      <c r="I774" s="178" t="s">
        <v>1711</v>
      </c>
      <c r="J774" s="27" t="s">
        <v>1709</v>
      </c>
      <c r="K774" s="27">
        <v>1141</v>
      </c>
      <c r="L774" s="179">
        <v>5688</v>
      </c>
      <c r="M774" s="178" t="s">
        <v>1712</v>
      </c>
      <c r="N774" s="27" t="s">
        <v>1709</v>
      </c>
      <c r="O774" s="182" t="s">
        <v>2361</v>
      </c>
    </row>
    <row r="775" spans="1:15" ht="12">
      <c r="A775" s="148"/>
      <c r="B775" s="186" t="s">
        <v>1306</v>
      </c>
      <c r="C775" s="175" t="s">
        <v>2382</v>
      </c>
      <c r="D775" s="176" t="s">
        <v>2383</v>
      </c>
      <c r="E775" s="177" t="s">
        <v>1303</v>
      </c>
      <c r="F775" s="175">
        <f t="shared" si="36"/>
        <v>13</v>
      </c>
      <c r="G775" s="175" t="str">
        <f t="shared" si="37"/>
        <v>Springfield</v>
      </c>
      <c r="H775" s="175" t="str">
        <f t="shared" si="38"/>
        <v>Springfield, MA</v>
      </c>
      <c r="I775" s="178" t="s">
        <v>603</v>
      </c>
      <c r="J775" s="27" t="s">
        <v>2383</v>
      </c>
      <c r="K775" s="27">
        <v>333</v>
      </c>
      <c r="L775" s="179">
        <v>6979</v>
      </c>
      <c r="M775" s="178" t="s">
        <v>711</v>
      </c>
      <c r="N775" s="27" t="s">
        <v>644</v>
      </c>
      <c r="O775" s="182" t="s">
        <v>712</v>
      </c>
    </row>
    <row r="776" spans="1:15" ht="12">
      <c r="A776" s="148"/>
      <c r="B776" s="186" t="s">
        <v>1307</v>
      </c>
      <c r="C776" s="175" t="s">
        <v>2382</v>
      </c>
      <c r="D776" s="176" t="s">
        <v>2383</v>
      </c>
      <c r="E776" s="177" t="s">
        <v>1303</v>
      </c>
      <c r="F776" s="175">
        <f t="shared" si="36"/>
        <v>13</v>
      </c>
      <c r="G776" s="175" t="str">
        <f t="shared" si="37"/>
        <v>Springfield</v>
      </c>
      <c r="H776" s="175" t="str">
        <f t="shared" si="38"/>
        <v>Springfield, MA</v>
      </c>
      <c r="I776" s="178" t="s">
        <v>714</v>
      </c>
      <c r="J776" s="27" t="s">
        <v>644</v>
      </c>
      <c r="K776" s="27">
        <v>677</v>
      </c>
      <c r="L776" s="179">
        <v>6151</v>
      </c>
      <c r="M776" s="178" t="s">
        <v>711</v>
      </c>
      <c r="N776" s="27" t="s">
        <v>644</v>
      </c>
      <c r="O776" s="182" t="s">
        <v>712</v>
      </c>
    </row>
    <row r="777" spans="1:15" ht="12">
      <c r="A777" s="148"/>
      <c r="B777" s="174" t="s">
        <v>1308</v>
      </c>
      <c r="C777" s="175" t="s">
        <v>1438</v>
      </c>
      <c r="D777" s="176" t="s">
        <v>1439</v>
      </c>
      <c r="E777" s="177" t="s">
        <v>1303</v>
      </c>
      <c r="F777" s="175">
        <f t="shared" si="36"/>
        <v>13</v>
      </c>
      <c r="G777" s="175" t="str">
        <f t="shared" si="37"/>
        <v>Springfield</v>
      </c>
      <c r="H777" s="175" t="str">
        <f t="shared" si="38"/>
        <v>Springfield, MO</v>
      </c>
      <c r="I777" s="178" t="s">
        <v>1985</v>
      </c>
      <c r="J777" s="27" t="s">
        <v>1439</v>
      </c>
      <c r="K777" s="27">
        <v>1320</v>
      </c>
      <c r="L777" s="179">
        <v>4638</v>
      </c>
      <c r="M777" s="180" t="s">
        <v>1712</v>
      </c>
      <c r="N777" s="181" t="s">
        <v>1439</v>
      </c>
      <c r="O777" s="182" t="s">
        <v>1986</v>
      </c>
    </row>
    <row r="778" spans="1:15" ht="12">
      <c r="A778" s="148"/>
      <c r="B778" s="174" t="s">
        <v>1309</v>
      </c>
      <c r="C778" s="175" t="s">
        <v>1438</v>
      </c>
      <c r="D778" s="176" t="s">
        <v>1439</v>
      </c>
      <c r="E778" s="177" t="s">
        <v>1303</v>
      </c>
      <c r="F778" s="175">
        <f t="shared" si="36"/>
        <v>13</v>
      </c>
      <c r="G778" s="175" t="str">
        <f t="shared" si="37"/>
        <v>Springfield</v>
      </c>
      <c r="H778" s="175" t="str">
        <f t="shared" si="38"/>
        <v>Springfield, MO</v>
      </c>
      <c r="I778" s="178" t="s">
        <v>1985</v>
      </c>
      <c r="J778" s="27" t="s">
        <v>1439</v>
      </c>
      <c r="K778" s="27">
        <v>1320</v>
      </c>
      <c r="L778" s="179">
        <v>4638</v>
      </c>
      <c r="M778" s="180" t="s">
        <v>1712</v>
      </c>
      <c r="N778" s="181" t="s">
        <v>1439</v>
      </c>
      <c r="O778" s="182" t="s">
        <v>1986</v>
      </c>
    </row>
    <row r="779" spans="1:15" ht="12">
      <c r="A779" s="148"/>
      <c r="B779" s="174" t="s">
        <v>1310</v>
      </c>
      <c r="C779" s="175" t="s">
        <v>1438</v>
      </c>
      <c r="D779" s="176" t="s">
        <v>1439</v>
      </c>
      <c r="E779" s="177" t="s">
        <v>1303</v>
      </c>
      <c r="F779" s="175">
        <f t="shared" si="36"/>
        <v>13</v>
      </c>
      <c r="G779" s="175" t="str">
        <f t="shared" si="37"/>
        <v>Springfield</v>
      </c>
      <c r="H779" s="175" t="str">
        <f t="shared" si="38"/>
        <v>Springfield, MO</v>
      </c>
      <c r="I779" s="178" t="s">
        <v>1985</v>
      </c>
      <c r="J779" s="27" t="s">
        <v>1439</v>
      </c>
      <c r="K779" s="27">
        <v>1320</v>
      </c>
      <c r="L779" s="179">
        <v>4638</v>
      </c>
      <c r="M779" s="180" t="s">
        <v>1712</v>
      </c>
      <c r="N779" s="181" t="s">
        <v>1439</v>
      </c>
      <c r="O779" s="182" t="s">
        <v>1986</v>
      </c>
    </row>
    <row r="780" spans="1:15" ht="12">
      <c r="A780" s="148"/>
      <c r="B780" s="174" t="s">
        <v>1311</v>
      </c>
      <c r="C780" s="175" t="s">
        <v>385</v>
      </c>
      <c r="D780" s="176" t="s">
        <v>386</v>
      </c>
      <c r="E780" s="177" t="s">
        <v>1303</v>
      </c>
      <c r="F780" s="175">
        <f t="shared" si="36"/>
        <v>13</v>
      </c>
      <c r="G780" s="175" t="str">
        <f t="shared" si="37"/>
        <v>Springfield</v>
      </c>
      <c r="H780" s="175" t="str">
        <f t="shared" si="38"/>
        <v>Springfield, OH</v>
      </c>
      <c r="I780" s="178" t="s">
        <v>1755</v>
      </c>
      <c r="J780" s="27" t="s">
        <v>386</v>
      </c>
      <c r="K780" s="27">
        <v>886</v>
      </c>
      <c r="L780" s="179">
        <v>5708</v>
      </c>
      <c r="M780" s="180" t="s">
        <v>1752</v>
      </c>
      <c r="N780" s="181" t="s">
        <v>386</v>
      </c>
      <c r="O780" s="182" t="s">
        <v>1753</v>
      </c>
    </row>
    <row r="781" spans="1:15" ht="12">
      <c r="A781" s="148"/>
      <c r="B781" s="186" t="s">
        <v>1312</v>
      </c>
      <c r="C781" s="175" t="s">
        <v>1683</v>
      </c>
      <c r="D781" s="176" t="s">
        <v>1684</v>
      </c>
      <c r="E781" s="177" t="s">
        <v>1313</v>
      </c>
      <c r="F781" s="175">
        <f t="shared" si="36"/>
        <v>15</v>
      </c>
      <c r="G781" s="175" t="str">
        <f t="shared" si="37"/>
        <v>St. Johnsbury</v>
      </c>
      <c r="H781" s="175" t="str">
        <f t="shared" si="38"/>
        <v>St. Johnsbury, VT</v>
      </c>
      <c r="I781" s="178" t="s">
        <v>1401</v>
      </c>
      <c r="J781" s="27" t="s">
        <v>1684</v>
      </c>
      <c r="K781" s="27">
        <v>388</v>
      </c>
      <c r="L781" s="179">
        <v>7771</v>
      </c>
      <c r="M781" s="180" t="s">
        <v>1402</v>
      </c>
      <c r="N781" s="181" t="s">
        <v>1684</v>
      </c>
      <c r="O781" s="182" t="s">
        <v>1403</v>
      </c>
    </row>
    <row r="782" spans="1:15" ht="12">
      <c r="A782" s="148"/>
      <c r="B782" s="174" t="s">
        <v>1314</v>
      </c>
      <c r="C782" s="175" t="s">
        <v>624</v>
      </c>
      <c r="D782" s="176" t="s">
        <v>625</v>
      </c>
      <c r="E782" s="177" t="s">
        <v>1315</v>
      </c>
      <c r="F782" s="175">
        <f t="shared" si="36"/>
        <v>16</v>
      </c>
      <c r="G782" s="175" t="str">
        <f t="shared" si="37"/>
        <v>St. Petersburg</v>
      </c>
      <c r="H782" s="175" t="str">
        <f t="shared" si="38"/>
        <v>St. Petersburg, FL</v>
      </c>
      <c r="I782" s="178" t="s">
        <v>627</v>
      </c>
      <c r="J782" s="27" t="s">
        <v>625</v>
      </c>
      <c r="K782" s="27">
        <v>3427</v>
      </c>
      <c r="L782" s="179">
        <v>725</v>
      </c>
      <c r="M782" s="178" t="s">
        <v>628</v>
      </c>
      <c r="N782" s="27" t="s">
        <v>625</v>
      </c>
      <c r="O782" s="182" t="s">
        <v>629</v>
      </c>
    </row>
    <row r="783" spans="1:15" ht="12">
      <c r="A783" s="148"/>
      <c r="B783" s="186" t="s">
        <v>1316</v>
      </c>
      <c r="C783" s="175" t="s">
        <v>643</v>
      </c>
      <c r="D783" s="176" t="s">
        <v>644</v>
      </c>
      <c r="E783" s="177" t="s">
        <v>1317</v>
      </c>
      <c r="F783" s="175">
        <f t="shared" si="36"/>
        <v>10</v>
      </c>
      <c r="G783" s="175" t="str">
        <f t="shared" si="37"/>
        <v>Stamford</v>
      </c>
      <c r="H783" s="175" t="str">
        <f t="shared" si="38"/>
        <v>Stamford, CT</v>
      </c>
      <c r="I783" s="178" t="s">
        <v>646</v>
      </c>
      <c r="J783" s="27" t="s">
        <v>644</v>
      </c>
      <c r="K783" s="27">
        <v>724</v>
      </c>
      <c r="L783" s="179">
        <v>5537</v>
      </c>
      <c r="M783" s="178" t="s">
        <v>647</v>
      </c>
      <c r="N783" s="27" t="s">
        <v>644</v>
      </c>
      <c r="O783" s="182" t="s">
        <v>648</v>
      </c>
    </row>
    <row r="784" spans="1:15" ht="12">
      <c r="A784" s="148"/>
      <c r="B784" s="186" t="s">
        <v>1318</v>
      </c>
      <c r="C784" s="175" t="s">
        <v>643</v>
      </c>
      <c r="D784" s="176" t="s">
        <v>644</v>
      </c>
      <c r="E784" s="177" t="s">
        <v>1317</v>
      </c>
      <c r="F784" s="175">
        <f t="shared" si="36"/>
        <v>10</v>
      </c>
      <c r="G784" s="175" t="str">
        <f t="shared" si="37"/>
        <v>Stamford</v>
      </c>
      <c r="H784" s="175" t="str">
        <f t="shared" si="38"/>
        <v>Stamford, CT</v>
      </c>
      <c r="I784" s="178" t="s">
        <v>646</v>
      </c>
      <c r="J784" s="27" t="s">
        <v>644</v>
      </c>
      <c r="K784" s="27">
        <v>724</v>
      </c>
      <c r="L784" s="179">
        <v>5537</v>
      </c>
      <c r="M784" s="178" t="s">
        <v>647</v>
      </c>
      <c r="N784" s="27" t="s">
        <v>644</v>
      </c>
      <c r="O784" s="182" t="s">
        <v>648</v>
      </c>
    </row>
    <row r="785" spans="1:15" ht="12">
      <c r="A785" s="148"/>
      <c r="B785" s="174" t="s">
        <v>1319</v>
      </c>
      <c r="C785" s="175" t="s">
        <v>440</v>
      </c>
      <c r="D785" s="176" t="s">
        <v>441</v>
      </c>
      <c r="E785" s="177" t="s">
        <v>1320</v>
      </c>
      <c r="F785" s="175">
        <f t="shared" si="36"/>
        <v>15</v>
      </c>
      <c r="G785" s="175" t="str">
        <f t="shared" si="37"/>
        <v>State College</v>
      </c>
      <c r="H785" s="175" t="str">
        <f t="shared" si="38"/>
        <v>State College, PA</v>
      </c>
      <c r="I785" s="178" t="s">
        <v>1804</v>
      </c>
      <c r="J785" s="27" t="s">
        <v>441</v>
      </c>
      <c r="K785" s="27">
        <v>622</v>
      </c>
      <c r="L785" s="179">
        <v>6087</v>
      </c>
      <c r="M785" s="180" t="s">
        <v>2430</v>
      </c>
      <c r="N785" s="181" t="s">
        <v>441</v>
      </c>
      <c r="O785" s="182" t="s">
        <v>2431</v>
      </c>
    </row>
    <row r="786" spans="1:15" ht="12">
      <c r="A786" s="148"/>
      <c r="B786" s="174" t="s">
        <v>1321</v>
      </c>
      <c r="C786" s="175" t="s">
        <v>407</v>
      </c>
      <c r="D786" s="176" t="s">
        <v>408</v>
      </c>
      <c r="E786" s="177" t="s">
        <v>1322</v>
      </c>
      <c r="F786" s="175">
        <f t="shared" si="36"/>
        <v>15</v>
      </c>
      <c r="G786" s="175" t="str">
        <f t="shared" si="37"/>
        <v>Staten Island</v>
      </c>
      <c r="H786" s="175" t="str">
        <f t="shared" si="38"/>
        <v>Staten Island, NY</v>
      </c>
      <c r="I786" s="178" t="s">
        <v>2359</v>
      </c>
      <c r="J786" s="27" t="s">
        <v>408</v>
      </c>
      <c r="K786" s="27">
        <v>1052</v>
      </c>
      <c r="L786" s="179">
        <v>4910</v>
      </c>
      <c r="M786" s="180" t="s">
        <v>2360</v>
      </c>
      <c r="N786" s="181" t="s">
        <v>408</v>
      </c>
      <c r="O786" s="182" t="s">
        <v>1359</v>
      </c>
    </row>
    <row r="787" spans="1:15" ht="12">
      <c r="A787" s="148"/>
      <c r="B787" s="174" t="s">
        <v>1323</v>
      </c>
      <c r="C787" s="175" t="s">
        <v>425</v>
      </c>
      <c r="D787" s="176" t="s">
        <v>426</v>
      </c>
      <c r="E787" s="177" t="s">
        <v>1324</v>
      </c>
      <c r="F787" s="175">
        <f t="shared" si="36"/>
        <v>10</v>
      </c>
      <c r="G787" s="175" t="str">
        <f t="shared" si="37"/>
        <v>Staunton</v>
      </c>
      <c r="H787" s="175" t="str">
        <f t="shared" si="38"/>
        <v>Staunton, VA</v>
      </c>
      <c r="I787" s="178" t="s">
        <v>2370</v>
      </c>
      <c r="J787" s="27" t="s">
        <v>426</v>
      </c>
      <c r="K787" s="27">
        <v>1052</v>
      </c>
      <c r="L787" s="179">
        <v>4360</v>
      </c>
      <c r="M787" s="180" t="s">
        <v>2371</v>
      </c>
      <c r="N787" s="181" t="s">
        <v>426</v>
      </c>
      <c r="O787" s="182" t="s">
        <v>2372</v>
      </c>
    </row>
    <row r="788" spans="1:15" ht="12">
      <c r="A788" s="148"/>
      <c r="B788" s="174" t="s">
        <v>1325</v>
      </c>
      <c r="C788" s="175" t="s">
        <v>254</v>
      </c>
      <c r="D788" s="176" t="s">
        <v>255</v>
      </c>
      <c r="E788" s="177" t="s">
        <v>1326</v>
      </c>
      <c r="F788" s="175">
        <f t="shared" si="36"/>
        <v>14</v>
      </c>
      <c r="G788" s="175" t="str">
        <f t="shared" si="37"/>
        <v>Stephenville</v>
      </c>
      <c r="H788" s="175" t="str">
        <f t="shared" si="38"/>
        <v>Stephenville, TX</v>
      </c>
      <c r="I788" s="178" t="s">
        <v>257</v>
      </c>
      <c r="J788" s="27" t="s">
        <v>255</v>
      </c>
      <c r="K788" s="27">
        <v>2451</v>
      </c>
      <c r="L788" s="179">
        <v>2584</v>
      </c>
      <c r="M788" s="180" t="s">
        <v>258</v>
      </c>
      <c r="N788" s="181" t="s">
        <v>255</v>
      </c>
      <c r="O788" s="182" t="s">
        <v>259</v>
      </c>
    </row>
    <row r="789" spans="1:15" ht="12">
      <c r="A789" s="148"/>
      <c r="B789" s="174" t="s">
        <v>790</v>
      </c>
      <c r="C789" s="175" t="s">
        <v>433</v>
      </c>
      <c r="D789" s="176" t="s">
        <v>434</v>
      </c>
      <c r="E789" s="177" t="s">
        <v>791</v>
      </c>
      <c r="F789" s="175">
        <f t="shared" si="36"/>
        <v>10</v>
      </c>
      <c r="G789" s="175" t="str">
        <f t="shared" si="37"/>
        <v>Stockton</v>
      </c>
      <c r="H789" s="175" t="str">
        <f t="shared" si="38"/>
        <v>Stockton, CA</v>
      </c>
      <c r="I789" s="178" t="s">
        <v>792</v>
      </c>
      <c r="J789" s="27" t="s">
        <v>434</v>
      </c>
      <c r="K789" s="27">
        <v>1470</v>
      </c>
      <c r="L789" s="179">
        <v>2707</v>
      </c>
      <c r="M789" s="178" t="s">
        <v>595</v>
      </c>
      <c r="N789" s="27" t="s">
        <v>434</v>
      </c>
      <c r="O789" s="182" t="s">
        <v>596</v>
      </c>
    </row>
    <row r="790" spans="1:15" ht="12">
      <c r="A790" s="148"/>
      <c r="B790" s="174" t="s">
        <v>793</v>
      </c>
      <c r="C790" s="175" t="s">
        <v>440</v>
      </c>
      <c r="D790" s="176" t="s">
        <v>441</v>
      </c>
      <c r="E790" s="177" t="s">
        <v>794</v>
      </c>
      <c r="F790" s="175">
        <f t="shared" si="36"/>
        <v>13</v>
      </c>
      <c r="G790" s="175" t="str">
        <f t="shared" si="37"/>
        <v>Stroudsburg</v>
      </c>
      <c r="H790" s="175" t="str">
        <f t="shared" si="38"/>
        <v>Stroudsburg, PA</v>
      </c>
      <c r="I790" s="178" t="s">
        <v>443</v>
      </c>
      <c r="J790" s="27" t="s">
        <v>441</v>
      </c>
      <c r="K790" s="27">
        <v>773</v>
      </c>
      <c r="L790" s="179">
        <v>5785</v>
      </c>
      <c r="M790" s="178" t="s">
        <v>444</v>
      </c>
      <c r="N790" s="27" t="s">
        <v>441</v>
      </c>
      <c r="O790" s="182" t="s">
        <v>445</v>
      </c>
    </row>
    <row r="791" spans="1:15" ht="12">
      <c r="A791" s="148"/>
      <c r="B791" s="174" t="s">
        <v>795</v>
      </c>
      <c r="C791" s="175" t="s">
        <v>385</v>
      </c>
      <c r="D791" s="176" t="s">
        <v>386</v>
      </c>
      <c r="E791" s="177" t="s">
        <v>796</v>
      </c>
      <c r="F791" s="175">
        <f t="shared" si="36"/>
        <v>14</v>
      </c>
      <c r="G791" s="175" t="str">
        <f t="shared" si="37"/>
        <v>Stuebenville</v>
      </c>
      <c r="H791" s="175" t="str">
        <f t="shared" si="38"/>
        <v>Stuebenville, OH</v>
      </c>
      <c r="I791" s="178" t="s">
        <v>455</v>
      </c>
      <c r="J791" s="27" t="s">
        <v>441</v>
      </c>
      <c r="K791" s="27">
        <v>654</v>
      </c>
      <c r="L791" s="179">
        <v>5968</v>
      </c>
      <c r="M791" s="180" t="s">
        <v>456</v>
      </c>
      <c r="N791" s="181" t="s">
        <v>441</v>
      </c>
      <c r="O791" s="182" t="s">
        <v>457</v>
      </c>
    </row>
    <row r="792" spans="1:15" ht="12">
      <c r="A792" s="148"/>
      <c r="B792" s="174" t="s">
        <v>797</v>
      </c>
      <c r="C792" s="175" t="s">
        <v>407</v>
      </c>
      <c r="D792" s="176" t="s">
        <v>408</v>
      </c>
      <c r="E792" s="177" t="s">
        <v>798</v>
      </c>
      <c r="F792" s="175">
        <f t="shared" si="36"/>
        <v>9</v>
      </c>
      <c r="G792" s="175" t="str">
        <f t="shared" si="37"/>
        <v>Suffern</v>
      </c>
      <c r="H792" s="175" t="str">
        <f t="shared" si="38"/>
        <v>Suffern, NY</v>
      </c>
      <c r="I792" s="178" t="s">
        <v>646</v>
      </c>
      <c r="J792" s="27" t="s">
        <v>644</v>
      </c>
      <c r="K792" s="27">
        <v>724</v>
      </c>
      <c r="L792" s="179">
        <v>5537</v>
      </c>
      <c r="M792" s="178" t="s">
        <v>647</v>
      </c>
      <c r="N792" s="27" t="s">
        <v>644</v>
      </c>
      <c r="O792" s="182" t="s">
        <v>648</v>
      </c>
    </row>
    <row r="793" spans="1:15" ht="12">
      <c r="A793" s="148"/>
      <c r="B793" s="186" t="s">
        <v>799</v>
      </c>
      <c r="C793" s="175" t="s">
        <v>1609</v>
      </c>
      <c r="D793" s="176" t="s">
        <v>1610</v>
      </c>
      <c r="E793" s="177" t="s">
        <v>800</v>
      </c>
      <c r="F793" s="175">
        <f t="shared" si="36"/>
        <v>8</v>
      </c>
      <c r="G793" s="175" t="str">
        <f t="shared" si="37"/>
        <v>Summit</v>
      </c>
      <c r="H793" s="175" t="str">
        <f t="shared" si="38"/>
        <v>Summit, NJ</v>
      </c>
      <c r="I793" s="178" t="s">
        <v>52</v>
      </c>
      <c r="J793" s="27" t="s">
        <v>1610</v>
      </c>
      <c r="K793" s="27">
        <v>1201</v>
      </c>
      <c r="L793" s="179">
        <v>4888</v>
      </c>
      <c r="M793" s="180" t="s">
        <v>53</v>
      </c>
      <c r="N793" s="181" t="s">
        <v>1610</v>
      </c>
      <c r="O793" s="182" t="s">
        <v>54</v>
      </c>
    </row>
    <row r="794" spans="1:15" ht="12">
      <c r="A794" s="148"/>
      <c r="B794" s="174" t="s">
        <v>801</v>
      </c>
      <c r="C794" s="175" t="s">
        <v>440</v>
      </c>
      <c r="D794" s="176" t="s">
        <v>441</v>
      </c>
      <c r="E794" s="177" t="s">
        <v>802</v>
      </c>
      <c r="F794" s="175">
        <f t="shared" si="36"/>
        <v>9</v>
      </c>
      <c r="G794" s="175" t="str">
        <f t="shared" si="37"/>
        <v>Sunbury</v>
      </c>
      <c r="H794" s="175" t="str">
        <f t="shared" si="38"/>
        <v>Sunbury, PA</v>
      </c>
      <c r="I794" s="178" t="s">
        <v>1804</v>
      </c>
      <c r="J794" s="27" t="s">
        <v>441</v>
      </c>
      <c r="K794" s="27">
        <v>622</v>
      </c>
      <c r="L794" s="179">
        <v>6087</v>
      </c>
      <c r="M794" s="180" t="s">
        <v>2430</v>
      </c>
      <c r="N794" s="181" t="s">
        <v>441</v>
      </c>
      <c r="O794" s="182" t="s">
        <v>2431</v>
      </c>
    </row>
    <row r="795" spans="1:15" ht="12">
      <c r="A795" s="148"/>
      <c r="B795" s="174" t="s">
        <v>803</v>
      </c>
      <c r="C795" s="175" t="s">
        <v>433</v>
      </c>
      <c r="D795" s="176" t="s">
        <v>434</v>
      </c>
      <c r="E795" s="177" t="s">
        <v>804</v>
      </c>
      <c r="F795" s="175">
        <f t="shared" si="36"/>
        <v>12</v>
      </c>
      <c r="G795" s="175" t="str">
        <f t="shared" si="37"/>
        <v>Susanville</v>
      </c>
      <c r="H795" s="175" t="str">
        <f t="shared" si="38"/>
        <v>Susanville, CA</v>
      </c>
      <c r="I795" s="178" t="s">
        <v>805</v>
      </c>
      <c r="J795" s="27" t="s">
        <v>1463</v>
      </c>
      <c r="K795" s="27">
        <v>538</v>
      </c>
      <c r="L795" s="179">
        <v>6315</v>
      </c>
      <c r="M795" s="178" t="s">
        <v>595</v>
      </c>
      <c r="N795" s="27" t="s">
        <v>434</v>
      </c>
      <c r="O795" s="182" t="s">
        <v>596</v>
      </c>
    </row>
    <row r="796" spans="1:15" ht="12">
      <c r="A796" s="148"/>
      <c r="B796" s="174" t="s">
        <v>806</v>
      </c>
      <c r="C796" s="175" t="s">
        <v>400</v>
      </c>
      <c r="D796" s="176" t="s">
        <v>401</v>
      </c>
      <c r="E796" s="177" t="s">
        <v>807</v>
      </c>
      <c r="F796" s="175">
        <f t="shared" si="36"/>
        <v>12</v>
      </c>
      <c r="G796" s="175" t="str">
        <f t="shared" si="37"/>
        <v>Swainsboro</v>
      </c>
      <c r="H796" s="175" t="str">
        <f t="shared" si="38"/>
        <v>Swainsboro, GA</v>
      </c>
      <c r="I796" s="178" t="s">
        <v>1668</v>
      </c>
      <c r="J796" s="27" t="s">
        <v>401</v>
      </c>
      <c r="K796" s="27">
        <v>2365</v>
      </c>
      <c r="L796" s="179">
        <v>1847</v>
      </c>
      <c r="M796" s="180" t="s">
        <v>1669</v>
      </c>
      <c r="N796" s="181" t="s">
        <v>401</v>
      </c>
      <c r="O796" s="182" t="s">
        <v>1670</v>
      </c>
    </row>
    <row r="797" spans="1:15" ht="12">
      <c r="A797" s="148"/>
      <c r="B797" s="174" t="s">
        <v>808</v>
      </c>
      <c r="C797" s="175" t="s">
        <v>407</v>
      </c>
      <c r="D797" s="176" t="s">
        <v>408</v>
      </c>
      <c r="E797" s="177" t="s">
        <v>809</v>
      </c>
      <c r="F797" s="175">
        <f t="shared" si="36"/>
        <v>10</v>
      </c>
      <c r="G797" s="175" t="str">
        <f t="shared" si="37"/>
        <v>Syracuse</v>
      </c>
      <c r="H797" s="175" t="str">
        <f t="shared" si="38"/>
        <v>Syracuse, NY</v>
      </c>
      <c r="I797" s="178" t="s">
        <v>81</v>
      </c>
      <c r="J797" s="27" t="s">
        <v>408</v>
      </c>
      <c r="K797" s="27">
        <v>438</v>
      </c>
      <c r="L797" s="179">
        <v>6834</v>
      </c>
      <c r="M797" s="180" t="s">
        <v>1063</v>
      </c>
      <c r="N797" s="181" t="s">
        <v>408</v>
      </c>
      <c r="O797" s="182" t="s">
        <v>1064</v>
      </c>
    </row>
    <row r="798" spans="1:15" ht="12">
      <c r="A798" s="148"/>
      <c r="B798" s="174" t="s">
        <v>810</v>
      </c>
      <c r="C798" s="175" t="s">
        <v>407</v>
      </c>
      <c r="D798" s="176" t="s">
        <v>408</v>
      </c>
      <c r="E798" s="177" t="s">
        <v>809</v>
      </c>
      <c r="F798" s="175">
        <f t="shared" si="36"/>
        <v>10</v>
      </c>
      <c r="G798" s="175" t="str">
        <f t="shared" si="37"/>
        <v>Syracuse</v>
      </c>
      <c r="H798" s="175" t="str">
        <f t="shared" si="38"/>
        <v>Syracuse, NY</v>
      </c>
      <c r="I798" s="178" t="s">
        <v>1384</v>
      </c>
      <c r="J798" s="27" t="s">
        <v>408</v>
      </c>
      <c r="K798" s="27">
        <v>425</v>
      </c>
      <c r="L798" s="179">
        <v>6734</v>
      </c>
      <c r="M798" s="180" t="s">
        <v>1063</v>
      </c>
      <c r="N798" s="181" t="s">
        <v>408</v>
      </c>
      <c r="O798" s="182" t="s">
        <v>1064</v>
      </c>
    </row>
    <row r="799" spans="1:15" ht="12">
      <c r="A799" s="148"/>
      <c r="B799" s="174" t="s">
        <v>811</v>
      </c>
      <c r="C799" s="175" t="s">
        <v>407</v>
      </c>
      <c r="D799" s="176" t="s">
        <v>408</v>
      </c>
      <c r="E799" s="177" t="s">
        <v>809</v>
      </c>
      <c r="F799" s="175">
        <f t="shared" si="36"/>
        <v>10</v>
      </c>
      <c r="G799" s="175" t="str">
        <f t="shared" si="37"/>
        <v>Syracuse</v>
      </c>
      <c r="H799" s="175" t="str">
        <f t="shared" si="38"/>
        <v>Syracuse, NY</v>
      </c>
      <c r="I799" s="178" t="s">
        <v>81</v>
      </c>
      <c r="J799" s="27" t="s">
        <v>408</v>
      </c>
      <c r="K799" s="27">
        <v>438</v>
      </c>
      <c r="L799" s="179">
        <v>6834</v>
      </c>
      <c r="M799" s="180" t="s">
        <v>1063</v>
      </c>
      <c r="N799" s="181" t="s">
        <v>408</v>
      </c>
      <c r="O799" s="182" t="s">
        <v>1064</v>
      </c>
    </row>
    <row r="800" spans="1:15" ht="12">
      <c r="A800" s="148"/>
      <c r="B800" s="174" t="s">
        <v>812</v>
      </c>
      <c r="C800" s="175" t="s">
        <v>547</v>
      </c>
      <c r="D800" s="176" t="s">
        <v>1699</v>
      </c>
      <c r="E800" s="177" t="s">
        <v>813</v>
      </c>
      <c r="F800" s="175">
        <f t="shared" si="36"/>
        <v>8</v>
      </c>
      <c r="G800" s="175" t="str">
        <f t="shared" si="37"/>
        <v>Tacoma</v>
      </c>
      <c r="H800" s="175" t="str">
        <f t="shared" si="38"/>
        <v>Tacoma, WA</v>
      </c>
      <c r="I800" s="178" t="s">
        <v>814</v>
      </c>
      <c r="J800" s="27" t="s">
        <v>1699</v>
      </c>
      <c r="K800" s="27">
        <v>190</v>
      </c>
      <c r="L800" s="179">
        <v>4908</v>
      </c>
      <c r="M800" s="180" t="s">
        <v>2506</v>
      </c>
      <c r="N800" s="181" t="s">
        <v>1699</v>
      </c>
      <c r="O800" s="182" t="s">
        <v>2507</v>
      </c>
    </row>
    <row r="801" spans="1:15" ht="12">
      <c r="A801" s="148"/>
      <c r="B801" s="174" t="s">
        <v>815</v>
      </c>
      <c r="C801" s="175" t="s">
        <v>547</v>
      </c>
      <c r="D801" s="176" t="s">
        <v>1699</v>
      </c>
      <c r="E801" s="177" t="s">
        <v>813</v>
      </c>
      <c r="F801" s="175">
        <f t="shared" si="36"/>
        <v>8</v>
      </c>
      <c r="G801" s="175" t="str">
        <f t="shared" si="37"/>
        <v>Tacoma</v>
      </c>
      <c r="H801" s="175" t="str">
        <f t="shared" si="38"/>
        <v>Tacoma, WA</v>
      </c>
      <c r="I801" s="178" t="s">
        <v>814</v>
      </c>
      <c r="J801" s="27" t="s">
        <v>1699</v>
      </c>
      <c r="K801" s="27">
        <v>190</v>
      </c>
      <c r="L801" s="179">
        <v>4908</v>
      </c>
      <c r="M801" s="180" t="s">
        <v>2506</v>
      </c>
      <c r="N801" s="181" t="s">
        <v>1699</v>
      </c>
      <c r="O801" s="182" t="s">
        <v>2507</v>
      </c>
    </row>
    <row r="802" spans="1:15" ht="12">
      <c r="A802" s="148"/>
      <c r="B802" s="174" t="s">
        <v>816</v>
      </c>
      <c r="C802" s="175" t="s">
        <v>624</v>
      </c>
      <c r="D802" s="176" t="s">
        <v>625</v>
      </c>
      <c r="E802" s="177" t="s">
        <v>817</v>
      </c>
      <c r="F802" s="175">
        <f t="shared" si="36"/>
        <v>13</v>
      </c>
      <c r="G802" s="175" t="str">
        <f t="shared" si="37"/>
        <v>Tallahassee</v>
      </c>
      <c r="H802" s="175" t="str">
        <f t="shared" si="38"/>
        <v>Tallahassee, FL</v>
      </c>
      <c r="I802" s="178" t="s">
        <v>818</v>
      </c>
      <c r="J802" s="27" t="s">
        <v>625</v>
      </c>
      <c r="K802" s="27">
        <v>2518</v>
      </c>
      <c r="L802" s="179">
        <v>1705</v>
      </c>
      <c r="M802" s="180" t="s">
        <v>565</v>
      </c>
      <c r="N802" s="181" t="s">
        <v>625</v>
      </c>
      <c r="O802" s="182" t="s">
        <v>566</v>
      </c>
    </row>
    <row r="803" spans="1:15" ht="12">
      <c r="A803" s="148"/>
      <c r="B803" s="174" t="s">
        <v>819</v>
      </c>
      <c r="C803" s="175" t="s">
        <v>624</v>
      </c>
      <c r="D803" s="176" t="s">
        <v>625</v>
      </c>
      <c r="E803" s="177" t="s">
        <v>820</v>
      </c>
      <c r="F803" s="175">
        <f t="shared" si="36"/>
        <v>7</v>
      </c>
      <c r="G803" s="175" t="str">
        <f t="shared" si="37"/>
        <v>Tampa</v>
      </c>
      <c r="H803" s="175" t="str">
        <f t="shared" si="38"/>
        <v>Tampa, FL</v>
      </c>
      <c r="I803" s="178" t="s">
        <v>627</v>
      </c>
      <c r="J803" s="27" t="s">
        <v>625</v>
      </c>
      <c r="K803" s="27">
        <v>3427</v>
      </c>
      <c r="L803" s="179">
        <v>725</v>
      </c>
      <c r="M803" s="178" t="s">
        <v>628</v>
      </c>
      <c r="N803" s="27" t="s">
        <v>625</v>
      </c>
      <c r="O803" s="182" t="s">
        <v>629</v>
      </c>
    </row>
    <row r="804" spans="1:15" ht="12">
      <c r="A804" s="148"/>
      <c r="B804" s="174" t="s">
        <v>821</v>
      </c>
      <c r="C804" s="175" t="s">
        <v>624</v>
      </c>
      <c r="D804" s="176" t="s">
        <v>625</v>
      </c>
      <c r="E804" s="177" t="s">
        <v>820</v>
      </c>
      <c r="F804" s="175">
        <f t="shared" si="36"/>
        <v>7</v>
      </c>
      <c r="G804" s="175" t="str">
        <f t="shared" si="37"/>
        <v>Tampa</v>
      </c>
      <c r="H804" s="175" t="str">
        <f t="shared" si="38"/>
        <v>Tampa, FL</v>
      </c>
      <c r="I804" s="178" t="s">
        <v>627</v>
      </c>
      <c r="J804" s="27" t="s">
        <v>625</v>
      </c>
      <c r="K804" s="27">
        <v>3427</v>
      </c>
      <c r="L804" s="179">
        <v>725</v>
      </c>
      <c r="M804" s="178" t="s">
        <v>628</v>
      </c>
      <c r="N804" s="27" t="s">
        <v>625</v>
      </c>
      <c r="O804" s="182" t="s">
        <v>629</v>
      </c>
    </row>
    <row r="805" spans="1:15" ht="12">
      <c r="A805" s="148"/>
      <c r="B805" s="174" t="s">
        <v>822</v>
      </c>
      <c r="C805" s="175" t="s">
        <v>425</v>
      </c>
      <c r="D805" s="176" t="s">
        <v>426</v>
      </c>
      <c r="E805" s="177" t="s">
        <v>823</v>
      </c>
      <c r="F805" s="175">
        <f t="shared" si="36"/>
        <v>10</v>
      </c>
      <c r="G805" s="175" t="str">
        <f t="shared" si="37"/>
        <v>Tazewell</v>
      </c>
      <c r="H805" s="175" t="str">
        <f t="shared" si="38"/>
        <v>Tazewell, VA</v>
      </c>
      <c r="I805" s="178" t="s">
        <v>2370</v>
      </c>
      <c r="J805" s="27" t="s">
        <v>426</v>
      </c>
      <c r="K805" s="27">
        <v>1052</v>
      </c>
      <c r="L805" s="179">
        <v>4360</v>
      </c>
      <c r="M805" s="180" t="s">
        <v>2371</v>
      </c>
      <c r="N805" s="181" t="s">
        <v>426</v>
      </c>
      <c r="O805" s="182" t="s">
        <v>2372</v>
      </c>
    </row>
    <row r="806" spans="1:15" ht="12">
      <c r="A806" s="148"/>
      <c r="B806" s="174" t="s">
        <v>824</v>
      </c>
      <c r="C806" s="175" t="s">
        <v>254</v>
      </c>
      <c r="D806" s="176" t="s">
        <v>255</v>
      </c>
      <c r="E806" s="177" t="s">
        <v>825</v>
      </c>
      <c r="F806" s="175">
        <f t="shared" si="36"/>
        <v>8</v>
      </c>
      <c r="G806" s="175" t="str">
        <f t="shared" si="37"/>
        <v>Temple</v>
      </c>
      <c r="H806" s="175" t="str">
        <f t="shared" si="38"/>
        <v>Temple, TX</v>
      </c>
      <c r="I806" s="178" t="s">
        <v>2220</v>
      </c>
      <c r="J806" s="27" t="s">
        <v>255</v>
      </c>
      <c r="K806" s="27">
        <v>2816</v>
      </c>
      <c r="L806" s="179">
        <v>2179</v>
      </c>
      <c r="M806" s="180" t="s">
        <v>2221</v>
      </c>
      <c r="N806" s="181" t="s">
        <v>255</v>
      </c>
      <c r="O806" s="182" t="s">
        <v>2222</v>
      </c>
    </row>
    <row r="807" spans="1:15" ht="12">
      <c r="A807" s="148"/>
      <c r="B807" s="174" t="s">
        <v>826</v>
      </c>
      <c r="C807" s="175" t="s">
        <v>2363</v>
      </c>
      <c r="D807" s="176" t="s">
        <v>2364</v>
      </c>
      <c r="E807" s="177" t="s">
        <v>827</v>
      </c>
      <c r="F807" s="175">
        <f t="shared" si="36"/>
        <v>13</v>
      </c>
      <c r="G807" s="175" t="str">
        <f t="shared" si="37"/>
        <v>Terre Haute</v>
      </c>
      <c r="H807" s="175" t="str">
        <f t="shared" si="38"/>
        <v>Terre Haute, IN</v>
      </c>
      <c r="I807" s="178" t="s">
        <v>2365</v>
      </c>
      <c r="J807" s="27" t="s">
        <v>2364</v>
      </c>
      <c r="K807" s="27">
        <v>1014</v>
      </c>
      <c r="L807" s="179">
        <v>5615</v>
      </c>
      <c r="M807" s="178" t="s">
        <v>2366</v>
      </c>
      <c r="N807" s="27" t="s">
        <v>2364</v>
      </c>
      <c r="O807" s="182" t="s">
        <v>2367</v>
      </c>
    </row>
    <row r="808" spans="1:15" ht="12">
      <c r="A808" s="148"/>
      <c r="B808" s="174" t="s">
        <v>828</v>
      </c>
      <c r="C808" s="175" t="s">
        <v>254</v>
      </c>
      <c r="D808" s="176" t="s">
        <v>255</v>
      </c>
      <c r="E808" s="177" t="s">
        <v>829</v>
      </c>
      <c r="F808" s="175">
        <f t="shared" si="36"/>
        <v>11</v>
      </c>
      <c r="G808" s="175" t="str">
        <f t="shared" si="37"/>
        <v>Texarkana</v>
      </c>
      <c r="H808" s="175" t="str">
        <f t="shared" si="38"/>
        <v>Texarkana, TX</v>
      </c>
      <c r="I808" s="178" t="s">
        <v>381</v>
      </c>
      <c r="J808" s="27" t="s">
        <v>282</v>
      </c>
      <c r="K808" s="27">
        <v>2368</v>
      </c>
      <c r="L808" s="179">
        <v>2264</v>
      </c>
      <c r="M808" s="180" t="s">
        <v>382</v>
      </c>
      <c r="N808" s="181" t="s">
        <v>282</v>
      </c>
      <c r="O808" s="182" t="s">
        <v>383</v>
      </c>
    </row>
    <row r="809" spans="1:15" ht="12">
      <c r="A809" s="148"/>
      <c r="B809" s="174" t="s">
        <v>830</v>
      </c>
      <c r="C809" s="175" t="s">
        <v>281</v>
      </c>
      <c r="D809" s="176" t="s">
        <v>282</v>
      </c>
      <c r="E809" s="177" t="s">
        <v>831</v>
      </c>
      <c r="F809" s="175">
        <f t="shared" si="36"/>
        <v>11</v>
      </c>
      <c r="G809" s="175" t="str">
        <f t="shared" si="37"/>
        <v>Thibodaux</v>
      </c>
      <c r="H809" s="175" t="str">
        <f t="shared" si="38"/>
        <v>Thibodaux, LA</v>
      </c>
      <c r="I809" s="178" t="s">
        <v>2143</v>
      </c>
      <c r="J809" s="27" t="s">
        <v>282</v>
      </c>
      <c r="K809" s="27">
        <v>2655</v>
      </c>
      <c r="L809" s="179">
        <v>1513</v>
      </c>
      <c r="M809" s="180" t="s">
        <v>2144</v>
      </c>
      <c r="N809" s="181" t="s">
        <v>282</v>
      </c>
      <c r="O809" s="182" t="s">
        <v>2145</v>
      </c>
    </row>
    <row r="810" spans="1:15" ht="12">
      <c r="A810" s="148"/>
      <c r="B810" s="174" t="s">
        <v>832</v>
      </c>
      <c r="C810" s="175" t="s">
        <v>1687</v>
      </c>
      <c r="D810" s="176" t="s">
        <v>1688</v>
      </c>
      <c r="E810" s="177" t="s">
        <v>833</v>
      </c>
      <c r="F810" s="175">
        <f t="shared" si="36"/>
        <v>19</v>
      </c>
      <c r="G810" s="175" t="str">
        <f t="shared" si="37"/>
        <v>Thief River Falls</v>
      </c>
      <c r="H810" s="175" t="str">
        <f t="shared" si="38"/>
        <v>Thief River Falls, MN</v>
      </c>
      <c r="I810" s="178" t="s">
        <v>1777</v>
      </c>
      <c r="J810" s="27" t="s">
        <v>251</v>
      </c>
      <c r="K810" s="27">
        <v>537</v>
      </c>
      <c r="L810" s="179">
        <v>9254</v>
      </c>
      <c r="M810" s="180" t="s">
        <v>250</v>
      </c>
      <c r="N810" s="181" t="s">
        <v>251</v>
      </c>
      <c r="O810" s="182" t="s">
        <v>252</v>
      </c>
    </row>
    <row r="811" spans="1:15" ht="12">
      <c r="A811" s="148"/>
      <c r="B811" s="174" t="s">
        <v>834</v>
      </c>
      <c r="C811" s="175" t="s">
        <v>624</v>
      </c>
      <c r="D811" s="176" t="s">
        <v>625</v>
      </c>
      <c r="E811" s="177" t="s">
        <v>835</v>
      </c>
      <c r="F811" s="175">
        <f t="shared" si="36"/>
        <v>12</v>
      </c>
      <c r="G811" s="175" t="str">
        <f t="shared" si="37"/>
        <v>Titusville</v>
      </c>
      <c r="H811" s="175" t="str">
        <f t="shared" si="38"/>
        <v>Titusville, FL</v>
      </c>
      <c r="I811" s="178" t="s">
        <v>1216</v>
      </c>
      <c r="J811" s="27" t="s">
        <v>625</v>
      </c>
      <c r="K811" s="27">
        <v>2919</v>
      </c>
      <c r="L811" s="179">
        <v>909</v>
      </c>
      <c r="M811" s="178" t="s">
        <v>1217</v>
      </c>
      <c r="N811" s="27" t="s">
        <v>625</v>
      </c>
      <c r="O811" s="182" t="s">
        <v>1218</v>
      </c>
    </row>
    <row r="812" spans="1:15" ht="12">
      <c r="A812" s="148"/>
      <c r="B812" s="174" t="s">
        <v>836</v>
      </c>
      <c r="C812" s="175" t="s">
        <v>385</v>
      </c>
      <c r="D812" s="176" t="s">
        <v>386</v>
      </c>
      <c r="E812" s="177" t="s">
        <v>837</v>
      </c>
      <c r="F812" s="175">
        <f t="shared" si="36"/>
        <v>8</v>
      </c>
      <c r="G812" s="175" t="str">
        <f t="shared" si="37"/>
        <v>Toledo</v>
      </c>
      <c r="H812" s="175" t="str">
        <f t="shared" si="38"/>
        <v>Toledo, OH</v>
      </c>
      <c r="I812" s="178" t="s">
        <v>620</v>
      </c>
      <c r="J812" s="27" t="s">
        <v>386</v>
      </c>
      <c r="K812" s="27">
        <v>610</v>
      </c>
      <c r="L812" s="179">
        <v>6579</v>
      </c>
      <c r="M812" s="180" t="s">
        <v>621</v>
      </c>
      <c r="N812" s="181" t="s">
        <v>386</v>
      </c>
      <c r="O812" s="182" t="s">
        <v>622</v>
      </c>
    </row>
    <row r="813" spans="1:15" ht="12">
      <c r="A813" s="148"/>
      <c r="B813" s="174" t="s">
        <v>838</v>
      </c>
      <c r="C813" s="175" t="s">
        <v>1462</v>
      </c>
      <c r="D813" s="176" t="s">
        <v>1463</v>
      </c>
      <c r="E813" s="177" t="s">
        <v>839</v>
      </c>
      <c r="F813" s="175">
        <f t="shared" si="36"/>
        <v>9</v>
      </c>
      <c r="G813" s="175" t="str">
        <f t="shared" si="37"/>
        <v>Tonopah</v>
      </c>
      <c r="H813" s="175" t="str">
        <f t="shared" si="38"/>
        <v>Tonopah, NV</v>
      </c>
      <c r="I813" s="178" t="s">
        <v>1291</v>
      </c>
      <c r="J813" s="27" t="s">
        <v>1221</v>
      </c>
      <c r="K813" s="27">
        <v>647</v>
      </c>
      <c r="L813" s="179">
        <v>6511</v>
      </c>
      <c r="M813" s="180" t="s">
        <v>929</v>
      </c>
      <c r="N813" s="181" t="s">
        <v>1463</v>
      </c>
      <c r="O813" s="182" t="s">
        <v>930</v>
      </c>
    </row>
    <row r="814" spans="1:15" ht="12">
      <c r="A814" s="148"/>
      <c r="B814" s="174" t="s">
        <v>840</v>
      </c>
      <c r="C814" s="175" t="s">
        <v>1567</v>
      </c>
      <c r="D814" s="176" t="s">
        <v>1568</v>
      </c>
      <c r="E814" s="177" t="s">
        <v>841</v>
      </c>
      <c r="F814" s="175">
        <f t="shared" si="36"/>
        <v>8</v>
      </c>
      <c r="G814" s="175" t="str">
        <f t="shared" si="37"/>
        <v>Topeka</v>
      </c>
      <c r="H814" s="175" t="str">
        <f t="shared" si="38"/>
        <v>Topeka, KS</v>
      </c>
      <c r="I814" s="178" t="s">
        <v>913</v>
      </c>
      <c r="J814" s="27" t="s">
        <v>1568</v>
      </c>
      <c r="K814" s="27">
        <v>1304</v>
      </c>
      <c r="L814" s="179">
        <v>5265</v>
      </c>
      <c r="M814" s="180" t="s">
        <v>601</v>
      </c>
      <c r="N814" s="181" t="s">
        <v>1568</v>
      </c>
      <c r="O814" s="182" t="s">
        <v>602</v>
      </c>
    </row>
    <row r="815" spans="1:15" ht="12">
      <c r="A815" s="148"/>
      <c r="B815" s="174" t="s">
        <v>842</v>
      </c>
      <c r="C815" s="175" t="s">
        <v>1567</v>
      </c>
      <c r="D815" s="176" t="s">
        <v>1568</v>
      </c>
      <c r="E815" s="177" t="s">
        <v>841</v>
      </c>
      <c r="F815" s="175">
        <f t="shared" si="36"/>
        <v>8</v>
      </c>
      <c r="G815" s="175" t="str">
        <f t="shared" si="37"/>
        <v>Topeka</v>
      </c>
      <c r="H815" s="175" t="str">
        <f t="shared" si="38"/>
        <v>Topeka, KS</v>
      </c>
      <c r="I815" s="178" t="s">
        <v>913</v>
      </c>
      <c r="J815" s="27" t="s">
        <v>1568</v>
      </c>
      <c r="K815" s="27">
        <v>1304</v>
      </c>
      <c r="L815" s="179">
        <v>5265</v>
      </c>
      <c r="M815" s="180" t="s">
        <v>601</v>
      </c>
      <c r="N815" s="181" t="s">
        <v>1568</v>
      </c>
      <c r="O815" s="182" t="s">
        <v>602</v>
      </c>
    </row>
    <row r="816" spans="1:15" ht="12">
      <c r="A816" s="148"/>
      <c r="B816" s="174" t="s">
        <v>843</v>
      </c>
      <c r="C816" s="175" t="s">
        <v>1567</v>
      </c>
      <c r="D816" s="176" t="s">
        <v>1568</v>
      </c>
      <c r="E816" s="177" t="s">
        <v>841</v>
      </c>
      <c r="F816" s="175">
        <f t="shared" si="36"/>
        <v>8</v>
      </c>
      <c r="G816" s="175" t="str">
        <f t="shared" si="37"/>
        <v>Topeka</v>
      </c>
      <c r="H816" s="175" t="str">
        <f t="shared" si="38"/>
        <v>Topeka, KS</v>
      </c>
      <c r="I816" s="178" t="s">
        <v>913</v>
      </c>
      <c r="J816" s="27" t="s">
        <v>1568</v>
      </c>
      <c r="K816" s="27">
        <v>1304</v>
      </c>
      <c r="L816" s="179">
        <v>5265</v>
      </c>
      <c r="M816" s="180" t="s">
        <v>601</v>
      </c>
      <c r="N816" s="181" t="s">
        <v>1568</v>
      </c>
      <c r="O816" s="182" t="s">
        <v>602</v>
      </c>
    </row>
    <row r="817" spans="1:15" ht="12">
      <c r="A817" s="148"/>
      <c r="B817" s="174" t="s">
        <v>844</v>
      </c>
      <c r="C817" s="175" t="s">
        <v>433</v>
      </c>
      <c r="D817" s="176" t="s">
        <v>434</v>
      </c>
      <c r="E817" s="177" t="s">
        <v>845</v>
      </c>
      <c r="F817" s="175">
        <f t="shared" si="36"/>
        <v>10</v>
      </c>
      <c r="G817" s="175" t="str">
        <f t="shared" si="37"/>
        <v>Torrance</v>
      </c>
      <c r="H817" s="175" t="str">
        <f t="shared" si="38"/>
        <v>Torrance, CA</v>
      </c>
      <c r="I817" s="178" t="s">
        <v>462</v>
      </c>
      <c r="J817" s="27" t="s">
        <v>434</v>
      </c>
      <c r="K817" s="27">
        <v>1201</v>
      </c>
      <c r="L817" s="179">
        <v>1430</v>
      </c>
      <c r="M817" s="178" t="s">
        <v>437</v>
      </c>
      <c r="N817" s="27" t="s">
        <v>434</v>
      </c>
      <c r="O817" s="182" t="s">
        <v>438</v>
      </c>
    </row>
    <row r="818" spans="1:15" ht="12">
      <c r="A818" s="148"/>
      <c r="B818" s="174" t="s">
        <v>846</v>
      </c>
      <c r="C818" s="175" t="s">
        <v>480</v>
      </c>
      <c r="D818" s="176" t="s">
        <v>481</v>
      </c>
      <c r="E818" s="177" t="s">
        <v>1820</v>
      </c>
      <c r="F818" s="175">
        <f t="shared" si="36"/>
        <v>15</v>
      </c>
      <c r="G818" s="175" t="str">
        <f t="shared" si="37"/>
        <v>Traverse City</v>
      </c>
      <c r="H818" s="175" t="str">
        <f t="shared" si="38"/>
        <v>Traverse City, MI</v>
      </c>
      <c r="I818" s="178" t="s">
        <v>1821</v>
      </c>
      <c r="J818" s="27" t="s">
        <v>481</v>
      </c>
      <c r="K818" s="27">
        <v>231</v>
      </c>
      <c r="L818" s="179">
        <v>8284</v>
      </c>
      <c r="M818" s="180" t="s">
        <v>763</v>
      </c>
      <c r="N818" s="181" t="s">
        <v>481</v>
      </c>
      <c r="O818" s="182" t="s">
        <v>764</v>
      </c>
    </row>
    <row r="819" spans="1:15" ht="12">
      <c r="A819" s="148"/>
      <c r="B819" s="186" t="s">
        <v>1822</v>
      </c>
      <c r="C819" s="175" t="s">
        <v>1609</v>
      </c>
      <c r="D819" s="176" t="s">
        <v>1610</v>
      </c>
      <c r="E819" s="177" t="s">
        <v>1823</v>
      </c>
      <c r="F819" s="175">
        <f t="shared" si="36"/>
        <v>9</v>
      </c>
      <c r="G819" s="175" t="str">
        <f t="shared" si="37"/>
        <v>Trenton</v>
      </c>
      <c r="H819" s="175" t="str">
        <f t="shared" si="38"/>
        <v>Trenton, NJ</v>
      </c>
      <c r="I819" s="178" t="s">
        <v>52</v>
      </c>
      <c r="J819" s="27" t="s">
        <v>1610</v>
      </c>
      <c r="K819" s="27">
        <v>1201</v>
      </c>
      <c r="L819" s="179">
        <v>4888</v>
      </c>
      <c r="M819" s="180" t="s">
        <v>53</v>
      </c>
      <c r="N819" s="181" t="s">
        <v>1610</v>
      </c>
      <c r="O819" s="182" t="s">
        <v>54</v>
      </c>
    </row>
    <row r="820" spans="1:15" ht="12">
      <c r="A820" s="148"/>
      <c r="B820" s="186" t="s">
        <v>1824</v>
      </c>
      <c r="C820" s="175" t="s">
        <v>1609</v>
      </c>
      <c r="D820" s="176" t="s">
        <v>1610</v>
      </c>
      <c r="E820" s="177" t="s">
        <v>1823</v>
      </c>
      <c r="F820" s="175">
        <f t="shared" si="36"/>
        <v>9</v>
      </c>
      <c r="G820" s="175" t="str">
        <f t="shared" si="37"/>
        <v>Trenton</v>
      </c>
      <c r="H820" s="175" t="str">
        <f t="shared" si="38"/>
        <v>Trenton, NJ</v>
      </c>
      <c r="I820" s="178" t="s">
        <v>52</v>
      </c>
      <c r="J820" s="27" t="s">
        <v>1610</v>
      </c>
      <c r="K820" s="27">
        <v>1201</v>
      </c>
      <c r="L820" s="179">
        <v>4888</v>
      </c>
      <c r="M820" s="180" t="s">
        <v>53</v>
      </c>
      <c r="N820" s="181" t="s">
        <v>1610</v>
      </c>
      <c r="O820" s="182" t="s">
        <v>54</v>
      </c>
    </row>
    <row r="821" spans="1:15" ht="12">
      <c r="A821" s="148"/>
      <c r="B821" s="174" t="s">
        <v>1825</v>
      </c>
      <c r="C821" s="175" t="s">
        <v>415</v>
      </c>
      <c r="D821" s="176" t="s">
        <v>416</v>
      </c>
      <c r="E821" s="177" t="s">
        <v>1826</v>
      </c>
      <c r="F821" s="175">
        <f t="shared" si="36"/>
        <v>18</v>
      </c>
      <c r="G821" s="175" t="str">
        <f t="shared" si="37"/>
        <v>Truth or Conseq.</v>
      </c>
      <c r="H821" s="175" t="str">
        <f t="shared" si="38"/>
        <v>Truth or Conseq., NM</v>
      </c>
      <c r="I821" s="178" t="s">
        <v>44</v>
      </c>
      <c r="J821" s="27" t="s">
        <v>255</v>
      </c>
      <c r="K821" s="27">
        <v>2094</v>
      </c>
      <c r="L821" s="179">
        <v>2708</v>
      </c>
      <c r="M821" s="180" t="s">
        <v>41</v>
      </c>
      <c r="N821" s="181" t="s">
        <v>255</v>
      </c>
      <c r="O821" s="182" t="s">
        <v>42</v>
      </c>
    </row>
    <row r="822" spans="1:15" ht="12">
      <c r="A822" s="148"/>
      <c r="B822" s="174" t="s">
        <v>1827</v>
      </c>
      <c r="C822" s="175" t="s">
        <v>1372</v>
      </c>
      <c r="D822" s="176" t="s">
        <v>1373</v>
      </c>
      <c r="E822" s="177" t="s">
        <v>1828</v>
      </c>
      <c r="F822" s="175">
        <f t="shared" si="36"/>
        <v>8</v>
      </c>
      <c r="G822" s="175" t="str">
        <f t="shared" si="37"/>
        <v>Tucson</v>
      </c>
      <c r="H822" s="175" t="str">
        <f t="shared" si="38"/>
        <v>Tucson, AZ</v>
      </c>
      <c r="I822" s="178" t="s">
        <v>1470</v>
      </c>
      <c r="J822" s="27" t="s">
        <v>1373</v>
      </c>
      <c r="K822" s="27">
        <v>2954</v>
      </c>
      <c r="L822" s="179">
        <v>1678</v>
      </c>
      <c r="M822" s="178" t="s">
        <v>1471</v>
      </c>
      <c r="N822" s="27" t="s">
        <v>1373</v>
      </c>
      <c r="O822" s="182" t="s">
        <v>1472</v>
      </c>
    </row>
    <row r="823" spans="1:15" ht="12">
      <c r="A823" s="148"/>
      <c r="B823" s="174" t="s">
        <v>1829</v>
      </c>
      <c r="C823" s="175" t="s">
        <v>415</v>
      </c>
      <c r="D823" s="176" t="s">
        <v>416</v>
      </c>
      <c r="E823" s="177" t="s">
        <v>1830</v>
      </c>
      <c r="F823" s="175">
        <f t="shared" si="36"/>
        <v>11</v>
      </c>
      <c r="G823" s="175" t="str">
        <f t="shared" si="37"/>
        <v>Tucumcari</v>
      </c>
      <c r="H823" s="175" t="str">
        <f t="shared" si="38"/>
        <v>Tucumcari, NM</v>
      </c>
      <c r="I823" s="178" t="s">
        <v>656</v>
      </c>
      <c r="J823" s="27" t="s">
        <v>416</v>
      </c>
      <c r="K823" s="27">
        <v>772</v>
      </c>
      <c r="L823" s="179">
        <v>5064</v>
      </c>
      <c r="M823" s="180" t="s">
        <v>271</v>
      </c>
      <c r="N823" s="181" t="s">
        <v>255</v>
      </c>
      <c r="O823" s="182" t="s">
        <v>272</v>
      </c>
    </row>
    <row r="824" spans="1:15" ht="12">
      <c r="A824" s="148"/>
      <c r="B824" s="174" t="s">
        <v>1831</v>
      </c>
      <c r="C824" s="175" t="s">
        <v>500</v>
      </c>
      <c r="D824" s="176" t="s">
        <v>501</v>
      </c>
      <c r="E824" s="177" t="s">
        <v>1832</v>
      </c>
      <c r="F824" s="175">
        <f t="shared" si="36"/>
        <v>7</v>
      </c>
      <c r="G824" s="175" t="str">
        <f t="shared" si="37"/>
        <v>Tulsa</v>
      </c>
      <c r="H824" s="175" t="str">
        <f t="shared" si="38"/>
        <v>Tulsa, OK</v>
      </c>
      <c r="I824" s="178" t="s">
        <v>560</v>
      </c>
      <c r="J824" s="27" t="s">
        <v>501</v>
      </c>
      <c r="K824" s="27">
        <v>1859</v>
      </c>
      <c r="L824" s="179">
        <v>3659</v>
      </c>
      <c r="M824" s="180" t="s">
        <v>2558</v>
      </c>
      <c r="N824" s="181" t="s">
        <v>501</v>
      </c>
      <c r="O824" s="182" t="s">
        <v>2559</v>
      </c>
    </row>
    <row r="825" spans="1:15" ht="12">
      <c r="A825" s="148"/>
      <c r="B825" s="174" t="s">
        <v>1833</v>
      </c>
      <c r="C825" s="175" t="s">
        <v>500</v>
      </c>
      <c r="D825" s="176" t="s">
        <v>501</v>
      </c>
      <c r="E825" s="177" t="s">
        <v>1832</v>
      </c>
      <c r="F825" s="175">
        <f t="shared" si="36"/>
        <v>7</v>
      </c>
      <c r="G825" s="175" t="str">
        <f t="shared" si="37"/>
        <v>Tulsa</v>
      </c>
      <c r="H825" s="175" t="str">
        <f t="shared" si="38"/>
        <v>Tulsa, OK</v>
      </c>
      <c r="I825" s="178" t="s">
        <v>2557</v>
      </c>
      <c r="J825" s="27" t="s">
        <v>501</v>
      </c>
      <c r="K825" s="27">
        <v>2017</v>
      </c>
      <c r="L825" s="179">
        <v>3691</v>
      </c>
      <c r="M825" s="180" t="s">
        <v>2558</v>
      </c>
      <c r="N825" s="181" t="s">
        <v>501</v>
      </c>
      <c r="O825" s="182" t="s">
        <v>2559</v>
      </c>
    </row>
    <row r="826" spans="1:15" ht="12">
      <c r="A826" s="148"/>
      <c r="B826" s="174" t="s">
        <v>1834</v>
      </c>
      <c r="C826" s="175" t="s">
        <v>584</v>
      </c>
      <c r="D826" s="176" t="s">
        <v>1407</v>
      </c>
      <c r="E826" s="177" t="s">
        <v>1835</v>
      </c>
      <c r="F826" s="175">
        <f t="shared" si="36"/>
        <v>8</v>
      </c>
      <c r="G826" s="175" t="str">
        <f t="shared" si="37"/>
        <v>Tupelo</v>
      </c>
      <c r="H826" s="175" t="str">
        <f t="shared" si="38"/>
        <v>Tupelo, MS</v>
      </c>
      <c r="I826" s="178" t="s">
        <v>1836</v>
      </c>
      <c r="J826" s="27" t="s">
        <v>1407</v>
      </c>
      <c r="K826" s="27">
        <v>1908</v>
      </c>
      <c r="L826" s="179">
        <v>3079</v>
      </c>
      <c r="M826" s="180" t="s">
        <v>2139</v>
      </c>
      <c r="N826" s="181" t="s">
        <v>1407</v>
      </c>
      <c r="O826" s="182" t="s">
        <v>2140</v>
      </c>
    </row>
    <row r="827" spans="1:15" ht="12">
      <c r="A827" s="148"/>
      <c r="B827" s="174" t="s">
        <v>1837</v>
      </c>
      <c r="C827" s="175" t="s">
        <v>493</v>
      </c>
      <c r="D827" s="176" t="s">
        <v>494</v>
      </c>
      <c r="E827" s="177" t="s">
        <v>1838</v>
      </c>
      <c r="F827" s="175">
        <f t="shared" si="36"/>
        <v>12</v>
      </c>
      <c r="G827" s="175" t="str">
        <f t="shared" si="37"/>
        <v>Tuscaloosa</v>
      </c>
      <c r="H827" s="175" t="str">
        <f t="shared" si="38"/>
        <v>Tuscaloosa, AL</v>
      </c>
      <c r="I827" s="178" t="s">
        <v>1406</v>
      </c>
      <c r="J827" s="27" t="s">
        <v>1407</v>
      </c>
      <c r="K827" s="27">
        <v>2138</v>
      </c>
      <c r="L827" s="179">
        <v>2444</v>
      </c>
      <c r="M827" s="180" t="s">
        <v>497</v>
      </c>
      <c r="N827" s="181" t="s">
        <v>494</v>
      </c>
      <c r="O827" s="182" t="s">
        <v>498</v>
      </c>
    </row>
    <row r="828" spans="1:15" ht="12">
      <c r="A828" s="148"/>
      <c r="B828" s="174" t="s">
        <v>1839</v>
      </c>
      <c r="C828" s="175" t="s">
        <v>2374</v>
      </c>
      <c r="D828" s="176" t="s">
        <v>2375</v>
      </c>
      <c r="E828" s="177" t="s">
        <v>1840</v>
      </c>
      <c r="F828" s="175">
        <f t="shared" si="36"/>
        <v>12</v>
      </c>
      <c r="G828" s="175" t="str">
        <f t="shared" si="37"/>
        <v>Twin Falls</v>
      </c>
      <c r="H828" s="175" t="str">
        <f t="shared" si="38"/>
        <v>Twin Falls, ID</v>
      </c>
      <c r="I828" s="178" t="s">
        <v>63</v>
      </c>
      <c r="J828" s="27" t="s">
        <v>2375</v>
      </c>
      <c r="K828" s="27">
        <v>421</v>
      </c>
      <c r="L828" s="179">
        <v>7180</v>
      </c>
      <c r="M828" s="180" t="s">
        <v>64</v>
      </c>
      <c r="N828" s="181" t="s">
        <v>2375</v>
      </c>
      <c r="O828" s="182" t="s">
        <v>65</v>
      </c>
    </row>
    <row r="829" spans="1:15" ht="12">
      <c r="A829" s="148"/>
      <c r="B829" s="174" t="s">
        <v>1841</v>
      </c>
      <c r="C829" s="175" t="s">
        <v>254</v>
      </c>
      <c r="D829" s="176" t="s">
        <v>255</v>
      </c>
      <c r="E829" s="177" t="s">
        <v>1842</v>
      </c>
      <c r="F829" s="175">
        <f t="shared" si="36"/>
        <v>7</v>
      </c>
      <c r="G829" s="175" t="str">
        <f t="shared" si="37"/>
        <v>Tyler</v>
      </c>
      <c r="H829" s="175" t="str">
        <f t="shared" si="38"/>
        <v>Tyler, TX</v>
      </c>
      <c r="I829" s="178" t="s">
        <v>503</v>
      </c>
      <c r="J829" s="27" t="s">
        <v>255</v>
      </c>
      <c r="K829" s="27">
        <v>2603</v>
      </c>
      <c r="L829" s="179">
        <v>2407</v>
      </c>
      <c r="M829" s="180" t="s">
        <v>504</v>
      </c>
      <c r="N829" s="181" t="s">
        <v>255</v>
      </c>
      <c r="O829" s="182" t="s">
        <v>505</v>
      </c>
    </row>
    <row r="830" spans="1:15" ht="12">
      <c r="A830" s="148"/>
      <c r="B830" s="174" t="s">
        <v>1843</v>
      </c>
      <c r="C830" s="175" t="s">
        <v>440</v>
      </c>
      <c r="D830" s="176" t="s">
        <v>441</v>
      </c>
      <c r="E830" s="177" t="s">
        <v>1844</v>
      </c>
      <c r="F830" s="175">
        <f t="shared" si="36"/>
        <v>11</v>
      </c>
      <c r="G830" s="175" t="str">
        <f t="shared" si="37"/>
        <v>Uniontown</v>
      </c>
      <c r="H830" s="175" t="str">
        <f t="shared" si="38"/>
        <v>Uniontown, PA</v>
      </c>
      <c r="I830" s="178" t="s">
        <v>455</v>
      </c>
      <c r="J830" s="27" t="s">
        <v>441</v>
      </c>
      <c r="K830" s="27">
        <v>654</v>
      </c>
      <c r="L830" s="179">
        <v>5968</v>
      </c>
      <c r="M830" s="180" t="s">
        <v>456</v>
      </c>
      <c r="N830" s="181" t="s">
        <v>441</v>
      </c>
      <c r="O830" s="182" t="s">
        <v>457</v>
      </c>
    </row>
    <row r="831" spans="1:15" ht="12">
      <c r="A831" s="148"/>
      <c r="B831" s="174" t="s">
        <v>1845</v>
      </c>
      <c r="C831" s="175" t="s">
        <v>407</v>
      </c>
      <c r="D831" s="176" t="s">
        <v>408</v>
      </c>
      <c r="E831" s="177" t="s">
        <v>1846</v>
      </c>
      <c r="F831" s="175">
        <f t="shared" si="36"/>
        <v>7</v>
      </c>
      <c r="G831" s="175" t="str">
        <f t="shared" si="37"/>
        <v>Utica</v>
      </c>
      <c r="H831" s="175" t="str">
        <f t="shared" si="38"/>
        <v>Utica, NY</v>
      </c>
      <c r="I831" s="178" t="s">
        <v>1498</v>
      </c>
      <c r="J831" s="27" t="s">
        <v>408</v>
      </c>
      <c r="K831" s="27">
        <v>337</v>
      </c>
      <c r="L831" s="179">
        <v>7273</v>
      </c>
      <c r="M831" s="180" t="s">
        <v>1499</v>
      </c>
      <c r="N831" s="181" t="s">
        <v>441</v>
      </c>
      <c r="O831" s="182" t="s">
        <v>1500</v>
      </c>
    </row>
    <row r="832" spans="1:15" ht="12">
      <c r="A832" s="148"/>
      <c r="B832" s="174" t="s">
        <v>1847</v>
      </c>
      <c r="C832" s="175" t="s">
        <v>407</v>
      </c>
      <c r="D832" s="176" t="s">
        <v>408</v>
      </c>
      <c r="E832" s="177" t="s">
        <v>1846</v>
      </c>
      <c r="F832" s="175">
        <f t="shared" si="36"/>
        <v>7</v>
      </c>
      <c r="G832" s="175" t="str">
        <f t="shared" si="37"/>
        <v>Utica</v>
      </c>
      <c r="H832" s="175" t="str">
        <f t="shared" si="38"/>
        <v>Utica, NY</v>
      </c>
      <c r="I832" s="178" t="s">
        <v>1498</v>
      </c>
      <c r="J832" s="27" t="s">
        <v>408</v>
      </c>
      <c r="K832" s="27">
        <v>337</v>
      </c>
      <c r="L832" s="179">
        <v>7273</v>
      </c>
      <c r="M832" s="180" t="s">
        <v>1499</v>
      </c>
      <c r="N832" s="181" t="s">
        <v>441</v>
      </c>
      <c r="O832" s="182" t="s">
        <v>1500</v>
      </c>
    </row>
    <row r="833" spans="1:15" ht="12">
      <c r="A833" s="148"/>
      <c r="B833" s="174" t="s">
        <v>1848</v>
      </c>
      <c r="C833" s="175" t="s">
        <v>407</v>
      </c>
      <c r="D833" s="176" t="s">
        <v>408</v>
      </c>
      <c r="E833" s="177" t="s">
        <v>1846</v>
      </c>
      <c r="F833" s="175">
        <f t="shared" si="36"/>
        <v>7</v>
      </c>
      <c r="G833" s="175" t="str">
        <f t="shared" si="37"/>
        <v>Utica</v>
      </c>
      <c r="H833" s="175" t="str">
        <f t="shared" si="38"/>
        <v>Utica, NY</v>
      </c>
      <c r="I833" s="178" t="s">
        <v>81</v>
      </c>
      <c r="J833" s="27" t="s">
        <v>408</v>
      </c>
      <c r="K833" s="27">
        <v>438</v>
      </c>
      <c r="L833" s="179">
        <v>6834</v>
      </c>
      <c r="M833" s="180" t="s">
        <v>1063</v>
      </c>
      <c r="N833" s="181" t="s">
        <v>408</v>
      </c>
      <c r="O833" s="182" t="s">
        <v>1064</v>
      </c>
    </row>
    <row r="834" spans="1:15" ht="12">
      <c r="A834" s="148"/>
      <c r="B834" s="174" t="s">
        <v>1849</v>
      </c>
      <c r="C834" s="175" t="s">
        <v>254</v>
      </c>
      <c r="D834" s="176" t="s">
        <v>255</v>
      </c>
      <c r="E834" s="177" t="s">
        <v>1850</v>
      </c>
      <c r="F834" s="175">
        <f t="shared" si="36"/>
        <v>8</v>
      </c>
      <c r="G834" s="175" t="str">
        <f t="shared" si="37"/>
        <v>Uvalde</v>
      </c>
      <c r="H834" s="175" t="str">
        <f t="shared" si="38"/>
        <v>Uvalde, TX</v>
      </c>
      <c r="I834" s="178" t="s">
        <v>1851</v>
      </c>
      <c r="J834" s="27" t="s">
        <v>255</v>
      </c>
      <c r="K834" s="27">
        <v>3142</v>
      </c>
      <c r="L834" s="179">
        <v>1506</v>
      </c>
      <c r="M834" s="180" t="s">
        <v>982</v>
      </c>
      <c r="N834" s="181" t="s">
        <v>255</v>
      </c>
      <c r="O834" s="182" t="s">
        <v>983</v>
      </c>
    </row>
    <row r="835" spans="1:15" ht="12">
      <c r="A835" s="148"/>
      <c r="B835" s="174" t="s">
        <v>1852</v>
      </c>
      <c r="C835" s="175" t="s">
        <v>400</v>
      </c>
      <c r="D835" s="176" t="s">
        <v>401</v>
      </c>
      <c r="E835" s="177" t="s">
        <v>1853</v>
      </c>
      <c r="F835" s="175">
        <f t="shared" si="36"/>
        <v>10</v>
      </c>
      <c r="G835" s="175" t="str">
        <f t="shared" si="37"/>
        <v>Valdosta</v>
      </c>
      <c r="H835" s="175" t="str">
        <f t="shared" si="38"/>
        <v>Valdosta, GA</v>
      </c>
      <c r="I835" s="178" t="s">
        <v>818</v>
      </c>
      <c r="J835" s="27" t="s">
        <v>625</v>
      </c>
      <c r="K835" s="27">
        <v>2518</v>
      </c>
      <c r="L835" s="179">
        <v>1705</v>
      </c>
      <c r="M835" s="180" t="s">
        <v>565</v>
      </c>
      <c r="N835" s="181" t="s">
        <v>625</v>
      </c>
      <c r="O835" s="182" t="s">
        <v>566</v>
      </c>
    </row>
    <row r="836" spans="1:15" ht="12">
      <c r="A836" s="148"/>
      <c r="B836" s="174" t="s">
        <v>1854</v>
      </c>
      <c r="C836" s="175" t="s">
        <v>447</v>
      </c>
      <c r="D836" s="176" t="s">
        <v>448</v>
      </c>
      <c r="E836" s="177" t="s">
        <v>1855</v>
      </c>
      <c r="F836" s="175">
        <f t="shared" si="36"/>
        <v>11</v>
      </c>
      <c r="G836" s="175" t="str">
        <f t="shared" si="37"/>
        <v>Valentine</v>
      </c>
      <c r="H836" s="175" t="str">
        <f t="shared" si="38"/>
        <v>Valentine, NE</v>
      </c>
      <c r="I836" s="178" t="s">
        <v>1856</v>
      </c>
      <c r="J836" s="27" t="s">
        <v>448</v>
      </c>
      <c r="K836" s="27">
        <v>752</v>
      </c>
      <c r="L836" s="179">
        <v>7282</v>
      </c>
      <c r="M836" s="180" t="s">
        <v>1205</v>
      </c>
      <c r="N836" s="181" t="s">
        <v>448</v>
      </c>
      <c r="O836" s="182" t="s">
        <v>1206</v>
      </c>
    </row>
    <row r="837" spans="1:15" ht="12">
      <c r="A837" s="148"/>
      <c r="B837" s="174" t="s">
        <v>1857</v>
      </c>
      <c r="C837" s="175" t="s">
        <v>433</v>
      </c>
      <c r="D837" s="176" t="s">
        <v>434</v>
      </c>
      <c r="E837" s="177" t="s">
        <v>1858</v>
      </c>
      <c r="F837" s="175">
        <f t="shared" si="36"/>
        <v>10</v>
      </c>
      <c r="G837" s="175" t="str">
        <f t="shared" si="37"/>
        <v>Van Nuys</v>
      </c>
      <c r="H837" s="175" t="str">
        <f t="shared" si="38"/>
        <v>Van Nuys, CA</v>
      </c>
      <c r="I837" s="178" t="s">
        <v>1636</v>
      </c>
      <c r="J837" s="27" t="s">
        <v>434</v>
      </c>
      <c r="K837" s="27">
        <v>2365</v>
      </c>
      <c r="L837" s="179">
        <v>2182</v>
      </c>
      <c r="M837" s="178" t="s">
        <v>437</v>
      </c>
      <c r="N837" s="27" t="s">
        <v>434</v>
      </c>
      <c r="O837" s="182" t="s">
        <v>438</v>
      </c>
    </row>
    <row r="838" spans="1:15" ht="12">
      <c r="A838" s="148"/>
      <c r="B838" s="174" t="s">
        <v>1859</v>
      </c>
      <c r="C838" s="175" t="s">
        <v>433</v>
      </c>
      <c r="D838" s="176" t="s">
        <v>434</v>
      </c>
      <c r="E838" s="177" t="s">
        <v>1858</v>
      </c>
      <c r="F838" s="175">
        <f t="shared" ref="F838:F901" si="39">LEN(E838)</f>
        <v>10</v>
      </c>
      <c r="G838" s="175" t="str">
        <f t="shared" ref="G838:G901" si="40">MID(E838,2,F838-2)</f>
        <v>Van Nuys</v>
      </c>
      <c r="H838" s="175" t="str">
        <f t="shared" ref="H838:H901" si="41">CONCATENATE(G838,", ",+D838)</f>
        <v>Van Nuys, CA</v>
      </c>
      <c r="I838" s="178" t="s">
        <v>436</v>
      </c>
      <c r="J838" s="27" t="s">
        <v>434</v>
      </c>
      <c r="K838" s="27">
        <v>1537</v>
      </c>
      <c r="L838" s="179">
        <v>1154</v>
      </c>
      <c r="M838" s="178" t="s">
        <v>437</v>
      </c>
      <c r="N838" s="27" t="s">
        <v>434</v>
      </c>
      <c r="O838" s="182" t="s">
        <v>438</v>
      </c>
    </row>
    <row r="839" spans="1:15" ht="12">
      <c r="A839" s="148"/>
      <c r="B839" s="174" t="s">
        <v>1860</v>
      </c>
      <c r="C839" s="175" t="s">
        <v>547</v>
      </c>
      <c r="D839" s="176" t="s">
        <v>1699</v>
      </c>
      <c r="E839" s="177" t="s">
        <v>1861</v>
      </c>
      <c r="F839" s="175">
        <f t="shared" si="39"/>
        <v>11</v>
      </c>
      <c r="G839" s="175" t="str">
        <f t="shared" si="40"/>
        <v>Vancouver</v>
      </c>
      <c r="H839" s="175" t="str">
        <f t="shared" si="41"/>
        <v>Vancouver, WA</v>
      </c>
      <c r="I839" s="178" t="s">
        <v>2568</v>
      </c>
      <c r="J839" s="27" t="s">
        <v>1695</v>
      </c>
      <c r="K839" s="27">
        <v>371</v>
      </c>
      <c r="L839" s="179">
        <v>4522</v>
      </c>
      <c r="M839" s="180" t="s">
        <v>1620</v>
      </c>
      <c r="N839" s="181" t="s">
        <v>1695</v>
      </c>
      <c r="O839" s="182" t="s">
        <v>2569</v>
      </c>
    </row>
    <row r="840" spans="1:15" ht="12">
      <c r="A840" s="148"/>
      <c r="B840" s="174" t="s">
        <v>1862</v>
      </c>
      <c r="C840" s="175" t="s">
        <v>433</v>
      </c>
      <c r="D840" s="176" t="s">
        <v>434</v>
      </c>
      <c r="E840" s="177" t="s">
        <v>1863</v>
      </c>
      <c r="F840" s="175">
        <f t="shared" si="39"/>
        <v>16</v>
      </c>
      <c r="G840" s="175" t="str">
        <f t="shared" si="40"/>
        <v>Ventura/Oxnard</v>
      </c>
      <c r="H840" s="175" t="str">
        <f t="shared" si="41"/>
        <v>Ventura/Oxnard, CA</v>
      </c>
      <c r="I840" s="178" t="s">
        <v>1636</v>
      </c>
      <c r="J840" s="27" t="s">
        <v>434</v>
      </c>
      <c r="K840" s="27">
        <v>2365</v>
      </c>
      <c r="L840" s="179">
        <v>2182</v>
      </c>
      <c r="M840" s="178" t="s">
        <v>437</v>
      </c>
      <c r="N840" s="27" t="s">
        <v>434</v>
      </c>
      <c r="O840" s="182" t="s">
        <v>438</v>
      </c>
    </row>
    <row r="841" spans="1:15" ht="12">
      <c r="A841" s="148"/>
      <c r="B841" s="174" t="s">
        <v>1864</v>
      </c>
      <c r="C841" s="175" t="s">
        <v>254</v>
      </c>
      <c r="D841" s="176" t="s">
        <v>255</v>
      </c>
      <c r="E841" s="177" t="s">
        <v>1865</v>
      </c>
      <c r="F841" s="175">
        <f t="shared" si="39"/>
        <v>10</v>
      </c>
      <c r="G841" s="175" t="str">
        <f t="shared" si="40"/>
        <v>Victoria</v>
      </c>
      <c r="H841" s="175" t="str">
        <f t="shared" si="41"/>
        <v>Victoria, TX</v>
      </c>
      <c r="I841" s="178" t="s">
        <v>981</v>
      </c>
      <c r="J841" s="27" t="s">
        <v>255</v>
      </c>
      <c r="K841" s="27">
        <v>3118</v>
      </c>
      <c r="L841" s="179">
        <v>1296</v>
      </c>
      <c r="M841" s="180" t="s">
        <v>1723</v>
      </c>
      <c r="N841" s="181" t="s">
        <v>255</v>
      </c>
      <c r="O841" s="182" t="s">
        <v>1724</v>
      </c>
    </row>
    <row r="842" spans="1:15" ht="12">
      <c r="A842" s="148"/>
      <c r="B842" s="174" t="s">
        <v>1866</v>
      </c>
      <c r="C842" s="175" t="s">
        <v>500</v>
      </c>
      <c r="D842" s="176" t="s">
        <v>501</v>
      </c>
      <c r="E842" s="177" t="s">
        <v>1867</v>
      </c>
      <c r="F842" s="175">
        <f t="shared" si="39"/>
        <v>8</v>
      </c>
      <c r="G842" s="175" t="str">
        <f t="shared" si="40"/>
        <v>Vinita</v>
      </c>
      <c r="H842" s="175" t="str">
        <f t="shared" si="41"/>
        <v>Vinita, OK</v>
      </c>
      <c r="I842" s="178" t="s">
        <v>2557</v>
      </c>
      <c r="J842" s="27" t="s">
        <v>501</v>
      </c>
      <c r="K842" s="27">
        <v>2017</v>
      </c>
      <c r="L842" s="179">
        <v>3691</v>
      </c>
      <c r="M842" s="180" t="s">
        <v>2558</v>
      </c>
      <c r="N842" s="181" t="s">
        <v>501</v>
      </c>
      <c r="O842" s="182" t="s">
        <v>2559</v>
      </c>
    </row>
    <row r="843" spans="1:15" ht="12">
      <c r="A843" s="148"/>
      <c r="B843" s="174" t="s">
        <v>1868</v>
      </c>
      <c r="C843" s="175" t="s">
        <v>254</v>
      </c>
      <c r="D843" s="176" t="s">
        <v>255</v>
      </c>
      <c r="E843" s="177" t="s">
        <v>1869</v>
      </c>
      <c r="F843" s="175">
        <f t="shared" si="39"/>
        <v>6</v>
      </c>
      <c r="G843" s="175" t="str">
        <f t="shared" si="40"/>
        <v>Waco</v>
      </c>
      <c r="H843" s="175" t="str">
        <f t="shared" si="41"/>
        <v>Waco, TX</v>
      </c>
      <c r="I843" s="178" t="s">
        <v>2220</v>
      </c>
      <c r="J843" s="27" t="s">
        <v>255</v>
      </c>
      <c r="K843" s="27">
        <v>2816</v>
      </c>
      <c r="L843" s="179">
        <v>2179</v>
      </c>
      <c r="M843" s="180" t="s">
        <v>2221</v>
      </c>
      <c r="N843" s="181" t="s">
        <v>255</v>
      </c>
      <c r="O843" s="182" t="s">
        <v>2222</v>
      </c>
    </row>
    <row r="844" spans="1:15" ht="12">
      <c r="A844" s="148"/>
      <c r="B844" s="174" t="s">
        <v>1870</v>
      </c>
      <c r="C844" s="175" t="s">
        <v>254</v>
      </c>
      <c r="D844" s="176" t="s">
        <v>255</v>
      </c>
      <c r="E844" s="177" t="s">
        <v>1869</v>
      </c>
      <c r="F844" s="175">
        <f t="shared" si="39"/>
        <v>6</v>
      </c>
      <c r="G844" s="175" t="str">
        <f t="shared" si="40"/>
        <v>Waco</v>
      </c>
      <c r="H844" s="175" t="str">
        <f t="shared" si="41"/>
        <v>Waco, TX</v>
      </c>
      <c r="I844" s="178" t="s">
        <v>2220</v>
      </c>
      <c r="J844" s="27" t="s">
        <v>255</v>
      </c>
      <c r="K844" s="27">
        <v>2816</v>
      </c>
      <c r="L844" s="179">
        <v>2179</v>
      </c>
      <c r="M844" s="180" t="s">
        <v>2221</v>
      </c>
      <c r="N844" s="181" t="s">
        <v>255</v>
      </c>
      <c r="O844" s="182" t="s">
        <v>2222</v>
      </c>
    </row>
    <row r="845" spans="1:15" ht="12">
      <c r="A845" s="148"/>
      <c r="B845" s="174" t="s">
        <v>1871</v>
      </c>
      <c r="C845" s="175" t="s">
        <v>487</v>
      </c>
      <c r="D845" s="176" t="s">
        <v>430</v>
      </c>
      <c r="E845" s="177" t="s">
        <v>1872</v>
      </c>
      <c r="F845" s="175">
        <f t="shared" si="39"/>
        <v>9</v>
      </c>
      <c r="G845" s="175" t="str">
        <f t="shared" si="40"/>
        <v>Waldorf</v>
      </c>
      <c r="H845" s="175" t="str">
        <f t="shared" si="41"/>
        <v>Waldorf, MD</v>
      </c>
      <c r="I845" s="178" t="s">
        <v>427</v>
      </c>
      <c r="J845" s="27" t="s">
        <v>428</v>
      </c>
      <c r="K845" s="27">
        <v>1549</v>
      </c>
      <c r="L845" s="179">
        <v>4047</v>
      </c>
      <c r="M845" s="180" t="s">
        <v>429</v>
      </c>
      <c r="N845" s="181" t="s">
        <v>430</v>
      </c>
      <c r="O845" s="182" t="s">
        <v>431</v>
      </c>
    </row>
    <row r="846" spans="1:15" ht="12">
      <c r="A846" s="148"/>
      <c r="B846" s="174" t="s">
        <v>1873</v>
      </c>
      <c r="C846" s="175" t="s">
        <v>1874</v>
      </c>
      <c r="D846" s="176" t="s">
        <v>428</v>
      </c>
      <c r="E846" s="177" t="s">
        <v>547</v>
      </c>
      <c r="F846" s="175">
        <f t="shared" si="39"/>
        <v>12</v>
      </c>
      <c r="G846" s="175" t="str">
        <f t="shared" si="40"/>
        <v>Washington</v>
      </c>
      <c r="H846" s="175" t="str">
        <f t="shared" si="41"/>
        <v>Washington, DC</v>
      </c>
      <c r="I846" s="178" t="s">
        <v>427</v>
      </c>
      <c r="J846" s="27" t="s">
        <v>428</v>
      </c>
      <c r="K846" s="27">
        <v>1549</v>
      </c>
      <c r="L846" s="179">
        <v>4047</v>
      </c>
      <c r="M846" s="180" t="s">
        <v>429</v>
      </c>
      <c r="N846" s="181" t="s">
        <v>430</v>
      </c>
      <c r="O846" s="182" t="s">
        <v>431</v>
      </c>
    </row>
    <row r="847" spans="1:15" ht="12">
      <c r="A847" s="148"/>
      <c r="B847" s="174" t="s">
        <v>1875</v>
      </c>
      <c r="C847" s="175" t="s">
        <v>1874</v>
      </c>
      <c r="D847" s="176" t="s">
        <v>428</v>
      </c>
      <c r="E847" s="177" t="s">
        <v>547</v>
      </c>
      <c r="F847" s="175">
        <f t="shared" si="39"/>
        <v>12</v>
      </c>
      <c r="G847" s="175" t="str">
        <f t="shared" si="40"/>
        <v>Washington</v>
      </c>
      <c r="H847" s="175" t="str">
        <f t="shared" si="41"/>
        <v>Washington, DC</v>
      </c>
      <c r="I847" s="178" t="s">
        <v>427</v>
      </c>
      <c r="J847" s="27" t="s">
        <v>428</v>
      </c>
      <c r="K847" s="27">
        <v>1549</v>
      </c>
      <c r="L847" s="179">
        <v>4047</v>
      </c>
      <c r="M847" s="180" t="s">
        <v>429</v>
      </c>
      <c r="N847" s="181" t="s">
        <v>430</v>
      </c>
      <c r="O847" s="182" t="s">
        <v>431</v>
      </c>
    </row>
    <row r="848" spans="1:15" ht="12">
      <c r="A848" s="148"/>
      <c r="B848" s="174" t="s">
        <v>1876</v>
      </c>
      <c r="C848" s="175" t="s">
        <v>1874</v>
      </c>
      <c r="D848" s="176" t="s">
        <v>428</v>
      </c>
      <c r="E848" s="177" t="s">
        <v>547</v>
      </c>
      <c r="F848" s="175">
        <f t="shared" si="39"/>
        <v>12</v>
      </c>
      <c r="G848" s="175" t="str">
        <f t="shared" si="40"/>
        <v>Washington</v>
      </c>
      <c r="H848" s="175" t="str">
        <f t="shared" si="41"/>
        <v>Washington, DC</v>
      </c>
      <c r="I848" s="178" t="s">
        <v>427</v>
      </c>
      <c r="J848" s="27" t="s">
        <v>428</v>
      </c>
      <c r="K848" s="27">
        <v>1549</v>
      </c>
      <c r="L848" s="179">
        <v>4047</v>
      </c>
      <c r="M848" s="180" t="s">
        <v>429</v>
      </c>
      <c r="N848" s="181" t="s">
        <v>430</v>
      </c>
      <c r="O848" s="182" t="s">
        <v>431</v>
      </c>
    </row>
    <row r="849" spans="1:15" ht="12">
      <c r="A849" s="148"/>
      <c r="B849" s="174" t="s">
        <v>1877</v>
      </c>
      <c r="C849" s="175" t="s">
        <v>1874</v>
      </c>
      <c r="D849" s="176" t="s">
        <v>428</v>
      </c>
      <c r="E849" s="177" t="s">
        <v>547</v>
      </c>
      <c r="F849" s="175">
        <f t="shared" si="39"/>
        <v>12</v>
      </c>
      <c r="G849" s="175" t="str">
        <f t="shared" si="40"/>
        <v>Washington</v>
      </c>
      <c r="H849" s="175" t="str">
        <f t="shared" si="41"/>
        <v>Washington, DC</v>
      </c>
      <c r="I849" s="178" t="s">
        <v>427</v>
      </c>
      <c r="J849" s="27" t="s">
        <v>428</v>
      </c>
      <c r="K849" s="27">
        <v>1549</v>
      </c>
      <c r="L849" s="179">
        <v>4047</v>
      </c>
      <c r="M849" s="180" t="s">
        <v>429</v>
      </c>
      <c r="N849" s="181" t="s">
        <v>430</v>
      </c>
      <c r="O849" s="182" t="s">
        <v>431</v>
      </c>
    </row>
    <row r="850" spans="1:15" ht="12">
      <c r="A850" s="148"/>
      <c r="B850" s="174" t="s">
        <v>1878</v>
      </c>
      <c r="C850" s="175" t="s">
        <v>1874</v>
      </c>
      <c r="D850" s="176" t="s">
        <v>428</v>
      </c>
      <c r="E850" s="177" t="s">
        <v>547</v>
      </c>
      <c r="F850" s="175">
        <f t="shared" si="39"/>
        <v>12</v>
      </c>
      <c r="G850" s="175" t="str">
        <f t="shared" si="40"/>
        <v>Washington</v>
      </c>
      <c r="H850" s="175" t="str">
        <f t="shared" si="41"/>
        <v>Washington, DC</v>
      </c>
      <c r="I850" s="178" t="s">
        <v>427</v>
      </c>
      <c r="J850" s="27" t="s">
        <v>428</v>
      </c>
      <c r="K850" s="27">
        <v>1549</v>
      </c>
      <c r="L850" s="179">
        <v>4047</v>
      </c>
      <c r="M850" s="180" t="s">
        <v>429</v>
      </c>
      <c r="N850" s="181" t="s">
        <v>430</v>
      </c>
      <c r="O850" s="182" t="s">
        <v>431</v>
      </c>
    </row>
    <row r="851" spans="1:15" ht="12">
      <c r="A851" s="148"/>
      <c r="B851" s="174" t="s">
        <v>1879</v>
      </c>
      <c r="C851" s="175" t="s">
        <v>1874</v>
      </c>
      <c r="D851" s="176" t="s">
        <v>428</v>
      </c>
      <c r="E851" s="177" t="s">
        <v>547</v>
      </c>
      <c r="F851" s="175">
        <f t="shared" si="39"/>
        <v>12</v>
      </c>
      <c r="G851" s="175" t="str">
        <f t="shared" si="40"/>
        <v>Washington</v>
      </c>
      <c r="H851" s="175" t="str">
        <f t="shared" si="41"/>
        <v>Washington, DC</v>
      </c>
      <c r="I851" s="178" t="s">
        <v>427</v>
      </c>
      <c r="J851" s="27" t="s">
        <v>428</v>
      </c>
      <c r="K851" s="27">
        <v>1549</v>
      </c>
      <c r="L851" s="179">
        <v>4047</v>
      </c>
      <c r="M851" s="180" t="s">
        <v>429</v>
      </c>
      <c r="N851" s="181" t="s">
        <v>430</v>
      </c>
      <c r="O851" s="182" t="s">
        <v>431</v>
      </c>
    </row>
    <row r="852" spans="1:15" ht="12">
      <c r="A852" s="148"/>
      <c r="B852" s="174" t="s">
        <v>1880</v>
      </c>
      <c r="C852" s="175" t="s">
        <v>2363</v>
      </c>
      <c r="D852" s="176" t="s">
        <v>2364</v>
      </c>
      <c r="E852" s="177" t="s">
        <v>547</v>
      </c>
      <c r="F852" s="175">
        <f t="shared" si="39"/>
        <v>12</v>
      </c>
      <c r="G852" s="175" t="str">
        <f t="shared" si="40"/>
        <v>Washington</v>
      </c>
      <c r="H852" s="175" t="str">
        <f t="shared" si="41"/>
        <v>Washington, IN</v>
      </c>
      <c r="I852" s="178" t="s">
        <v>1446</v>
      </c>
      <c r="J852" s="27" t="s">
        <v>2364</v>
      </c>
      <c r="K852" s="27">
        <v>1376</v>
      </c>
      <c r="L852" s="179">
        <v>4708</v>
      </c>
      <c r="M852" s="178" t="s">
        <v>1447</v>
      </c>
      <c r="N852" s="27" t="s">
        <v>2364</v>
      </c>
      <c r="O852" s="182" t="s">
        <v>1448</v>
      </c>
    </row>
    <row r="853" spans="1:15" ht="12">
      <c r="A853" s="148"/>
      <c r="B853" s="174" t="s">
        <v>1881</v>
      </c>
      <c r="C853" s="175" t="s">
        <v>440</v>
      </c>
      <c r="D853" s="176" t="s">
        <v>441</v>
      </c>
      <c r="E853" s="177" t="s">
        <v>547</v>
      </c>
      <c r="F853" s="175">
        <f t="shared" si="39"/>
        <v>12</v>
      </c>
      <c r="G853" s="175" t="str">
        <f t="shared" si="40"/>
        <v>Washington</v>
      </c>
      <c r="H853" s="175" t="str">
        <f t="shared" si="41"/>
        <v>Washington, PA</v>
      </c>
      <c r="I853" s="178" t="s">
        <v>455</v>
      </c>
      <c r="J853" s="27" t="s">
        <v>441</v>
      </c>
      <c r="K853" s="27">
        <v>654</v>
      </c>
      <c r="L853" s="179">
        <v>5968</v>
      </c>
      <c r="M853" s="180" t="s">
        <v>456</v>
      </c>
      <c r="N853" s="181" t="s">
        <v>441</v>
      </c>
      <c r="O853" s="182" t="s">
        <v>457</v>
      </c>
    </row>
    <row r="854" spans="1:15" ht="12">
      <c r="A854" s="148"/>
      <c r="B854" s="186" t="s">
        <v>1882</v>
      </c>
      <c r="C854" s="175" t="s">
        <v>643</v>
      </c>
      <c r="D854" s="176" t="s">
        <v>644</v>
      </c>
      <c r="E854" s="177" t="s">
        <v>1883</v>
      </c>
      <c r="F854" s="175">
        <f t="shared" si="39"/>
        <v>11</v>
      </c>
      <c r="G854" s="175" t="str">
        <f t="shared" si="40"/>
        <v>Waterbury</v>
      </c>
      <c r="H854" s="175" t="str">
        <f t="shared" si="41"/>
        <v>Waterbury, CT</v>
      </c>
      <c r="I854" s="178" t="s">
        <v>714</v>
      </c>
      <c r="J854" s="27" t="s">
        <v>644</v>
      </c>
      <c r="K854" s="27">
        <v>677</v>
      </c>
      <c r="L854" s="179">
        <v>6151</v>
      </c>
      <c r="M854" s="178" t="s">
        <v>711</v>
      </c>
      <c r="N854" s="27" t="s">
        <v>644</v>
      </c>
      <c r="O854" s="182" t="s">
        <v>712</v>
      </c>
    </row>
    <row r="855" spans="1:15" ht="12">
      <c r="A855" s="148"/>
      <c r="B855" s="174" t="s">
        <v>1884</v>
      </c>
      <c r="C855" s="175" t="s">
        <v>1394</v>
      </c>
      <c r="D855" s="176" t="s">
        <v>1395</v>
      </c>
      <c r="E855" s="177" t="s">
        <v>1885</v>
      </c>
      <c r="F855" s="175">
        <f t="shared" si="39"/>
        <v>10</v>
      </c>
      <c r="G855" s="175" t="str">
        <f t="shared" si="40"/>
        <v>Waterloo</v>
      </c>
      <c r="H855" s="175" t="str">
        <f t="shared" si="41"/>
        <v>Waterloo, IA</v>
      </c>
      <c r="I855" s="178" t="s">
        <v>2424</v>
      </c>
      <c r="J855" s="27" t="s">
        <v>1395</v>
      </c>
      <c r="K855" s="27">
        <v>702</v>
      </c>
      <c r="L855" s="179">
        <v>7406</v>
      </c>
      <c r="M855" s="180" t="s">
        <v>1398</v>
      </c>
      <c r="N855" s="181" t="s">
        <v>1395</v>
      </c>
      <c r="O855" s="182" t="s">
        <v>1399</v>
      </c>
    </row>
    <row r="856" spans="1:15" ht="12">
      <c r="A856" s="148"/>
      <c r="B856" s="174" t="s">
        <v>1886</v>
      </c>
      <c r="C856" s="175" t="s">
        <v>1394</v>
      </c>
      <c r="D856" s="176" t="s">
        <v>1395</v>
      </c>
      <c r="E856" s="177" t="s">
        <v>1885</v>
      </c>
      <c r="F856" s="175">
        <f t="shared" si="39"/>
        <v>10</v>
      </c>
      <c r="G856" s="175" t="str">
        <f t="shared" si="40"/>
        <v>Waterloo</v>
      </c>
      <c r="H856" s="175" t="str">
        <f t="shared" si="41"/>
        <v>Waterloo, IA</v>
      </c>
      <c r="I856" s="178" t="s">
        <v>2424</v>
      </c>
      <c r="J856" s="27" t="s">
        <v>1395</v>
      </c>
      <c r="K856" s="27">
        <v>702</v>
      </c>
      <c r="L856" s="179">
        <v>7406</v>
      </c>
      <c r="M856" s="180" t="s">
        <v>1398</v>
      </c>
      <c r="N856" s="181" t="s">
        <v>1395</v>
      </c>
      <c r="O856" s="182" t="s">
        <v>1399</v>
      </c>
    </row>
    <row r="857" spans="1:15" ht="12">
      <c r="A857" s="148"/>
      <c r="B857" s="174" t="s">
        <v>1887</v>
      </c>
      <c r="C857" s="175" t="s">
        <v>407</v>
      </c>
      <c r="D857" s="176" t="s">
        <v>408</v>
      </c>
      <c r="E857" s="177" t="s">
        <v>1888</v>
      </c>
      <c r="F857" s="175">
        <f t="shared" si="39"/>
        <v>11</v>
      </c>
      <c r="G857" s="175" t="str">
        <f t="shared" si="40"/>
        <v>Watertown</v>
      </c>
      <c r="H857" s="175" t="str">
        <f t="shared" si="41"/>
        <v>Watertown, NY</v>
      </c>
      <c r="I857" s="178" t="s">
        <v>81</v>
      </c>
      <c r="J857" s="27" t="s">
        <v>408</v>
      </c>
      <c r="K857" s="27">
        <v>438</v>
      </c>
      <c r="L857" s="179">
        <v>6834</v>
      </c>
      <c r="M857" s="180" t="s">
        <v>1063</v>
      </c>
      <c r="N857" s="181" t="s">
        <v>408</v>
      </c>
      <c r="O857" s="182" t="s">
        <v>1064</v>
      </c>
    </row>
    <row r="858" spans="1:15" ht="12">
      <c r="A858" s="148"/>
      <c r="B858" s="174" t="s">
        <v>1889</v>
      </c>
      <c r="C858" s="175" t="s">
        <v>246</v>
      </c>
      <c r="D858" s="176" t="s">
        <v>247</v>
      </c>
      <c r="E858" s="177" t="s">
        <v>1888</v>
      </c>
      <c r="F858" s="175">
        <f t="shared" si="39"/>
        <v>11</v>
      </c>
      <c r="G858" s="175" t="str">
        <f t="shared" si="40"/>
        <v>Watertown</v>
      </c>
      <c r="H858" s="175" t="str">
        <f t="shared" si="41"/>
        <v>Watertown, SD</v>
      </c>
      <c r="I858" s="178" t="s">
        <v>1777</v>
      </c>
      <c r="J858" s="27" t="s">
        <v>251</v>
      </c>
      <c r="K858" s="27">
        <v>537</v>
      </c>
      <c r="L858" s="179">
        <v>9254</v>
      </c>
      <c r="M858" s="180" t="s">
        <v>250</v>
      </c>
      <c r="N858" s="181" t="s">
        <v>251</v>
      </c>
      <c r="O858" s="182" t="s">
        <v>252</v>
      </c>
    </row>
    <row r="859" spans="1:15" ht="12">
      <c r="A859" s="148"/>
      <c r="B859" s="186" t="s">
        <v>1890</v>
      </c>
      <c r="C859" s="175" t="s">
        <v>1616</v>
      </c>
      <c r="D859" s="176" t="s">
        <v>1617</v>
      </c>
      <c r="E859" s="177" t="s">
        <v>1891</v>
      </c>
      <c r="F859" s="175">
        <f t="shared" si="39"/>
        <v>12</v>
      </c>
      <c r="G859" s="175" t="str">
        <f t="shared" si="40"/>
        <v>Waterville</v>
      </c>
      <c r="H859" s="175" t="str">
        <f t="shared" si="41"/>
        <v>Waterville, ME</v>
      </c>
      <c r="I859" s="178" t="s">
        <v>1619</v>
      </c>
      <c r="J859" s="27" t="s">
        <v>1617</v>
      </c>
      <c r="K859" s="27">
        <v>268</v>
      </c>
      <c r="L859" s="179">
        <v>7378</v>
      </c>
      <c r="M859" s="180" t="s">
        <v>1620</v>
      </c>
      <c r="N859" s="181" t="s">
        <v>1617</v>
      </c>
      <c r="O859" s="182" t="s">
        <v>1621</v>
      </c>
    </row>
    <row r="860" spans="1:15" ht="12">
      <c r="A860" s="148"/>
      <c r="B860" s="174" t="s">
        <v>1892</v>
      </c>
      <c r="C860" s="175" t="s">
        <v>33</v>
      </c>
      <c r="D860" s="176" t="s">
        <v>1763</v>
      </c>
      <c r="E860" s="177" t="s">
        <v>1893</v>
      </c>
      <c r="F860" s="175">
        <f t="shared" si="39"/>
        <v>8</v>
      </c>
      <c r="G860" s="175" t="str">
        <f t="shared" si="40"/>
        <v>Wausau</v>
      </c>
      <c r="H860" s="175" t="str">
        <f t="shared" si="41"/>
        <v>Wausau, WI</v>
      </c>
      <c r="I860" s="178" t="s">
        <v>2116</v>
      </c>
      <c r="J860" s="27" t="s">
        <v>1763</v>
      </c>
      <c r="K860" s="27">
        <v>381</v>
      </c>
      <c r="L860" s="179">
        <v>8089</v>
      </c>
      <c r="M860" s="180" t="s">
        <v>2117</v>
      </c>
      <c r="N860" s="181" t="s">
        <v>1763</v>
      </c>
      <c r="O860" s="182" t="s">
        <v>2118</v>
      </c>
    </row>
    <row r="861" spans="1:15" ht="12">
      <c r="A861" s="148"/>
      <c r="B861" s="174" t="s">
        <v>1894</v>
      </c>
      <c r="C861" s="175" t="s">
        <v>400</v>
      </c>
      <c r="D861" s="176" t="s">
        <v>401</v>
      </c>
      <c r="E861" s="177" t="s">
        <v>1895</v>
      </c>
      <c r="F861" s="175">
        <f t="shared" si="39"/>
        <v>10</v>
      </c>
      <c r="G861" s="175" t="str">
        <f t="shared" si="40"/>
        <v>Waycross</v>
      </c>
      <c r="H861" s="175" t="str">
        <f t="shared" si="41"/>
        <v>Waycross, GA</v>
      </c>
      <c r="I861" s="178" t="s">
        <v>1668</v>
      </c>
      <c r="J861" s="27" t="s">
        <v>401</v>
      </c>
      <c r="K861" s="27">
        <v>2365</v>
      </c>
      <c r="L861" s="179">
        <v>1847</v>
      </c>
      <c r="M861" s="180" t="s">
        <v>1669</v>
      </c>
      <c r="N861" s="181" t="s">
        <v>401</v>
      </c>
      <c r="O861" s="182" t="s">
        <v>1670</v>
      </c>
    </row>
    <row r="862" spans="1:15" ht="12">
      <c r="A862" s="148"/>
      <c r="B862" s="174" t="s">
        <v>1896</v>
      </c>
      <c r="C862" s="175" t="s">
        <v>1678</v>
      </c>
      <c r="D862" s="176" t="s">
        <v>1591</v>
      </c>
      <c r="E862" s="177" t="s">
        <v>1897</v>
      </c>
      <c r="F862" s="175">
        <f t="shared" si="39"/>
        <v>7</v>
      </c>
      <c r="G862" s="175" t="str">
        <f t="shared" si="40"/>
        <v>Welch</v>
      </c>
      <c r="H862" s="175" t="str">
        <f t="shared" si="41"/>
        <v>Welch, WV</v>
      </c>
      <c r="I862" s="178" t="s">
        <v>1380</v>
      </c>
      <c r="J862" s="27" t="s">
        <v>1591</v>
      </c>
      <c r="K862" s="27">
        <v>1031</v>
      </c>
      <c r="L862" s="179">
        <v>4646</v>
      </c>
      <c r="M862" s="180" t="s">
        <v>1592</v>
      </c>
      <c r="N862" s="181" t="s">
        <v>1591</v>
      </c>
      <c r="O862" s="182" t="s">
        <v>1593</v>
      </c>
    </row>
    <row r="863" spans="1:15" ht="12">
      <c r="A863" s="148"/>
      <c r="B863" s="174" t="s">
        <v>1898</v>
      </c>
      <c r="C863" s="175" t="s">
        <v>440</v>
      </c>
      <c r="D863" s="176" t="s">
        <v>441</v>
      </c>
      <c r="E863" s="177" t="s">
        <v>1899</v>
      </c>
      <c r="F863" s="175">
        <f t="shared" si="39"/>
        <v>11</v>
      </c>
      <c r="G863" s="175" t="str">
        <f t="shared" si="40"/>
        <v>Wellsboro</v>
      </c>
      <c r="H863" s="175" t="str">
        <f t="shared" si="41"/>
        <v>Wellsboro, PA</v>
      </c>
      <c r="I863" s="178" t="s">
        <v>1498</v>
      </c>
      <c r="J863" s="27" t="s">
        <v>408</v>
      </c>
      <c r="K863" s="27">
        <v>337</v>
      </c>
      <c r="L863" s="179">
        <v>7273</v>
      </c>
      <c r="M863" s="180" t="s">
        <v>1499</v>
      </c>
      <c r="N863" s="181" t="s">
        <v>441</v>
      </c>
      <c r="O863" s="182" t="s">
        <v>1500</v>
      </c>
    </row>
    <row r="864" spans="1:15" ht="12">
      <c r="A864" s="148"/>
      <c r="B864" s="174" t="s">
        <v>1900</v>
      </c>
      <c r="C864" s="175" t="s">
        <v>547</v>
      </c>
      <c r="D864" s="176" t="s">
        <v>1699</v>
      </c>
      <c r="E864" s="177" t="s">
        <v>1901</v>
      </c>
      <c r="F864" s="175">
        <f t="shared" si="39"/>
        <v>11</v>
      </c>
      <c r="G864" s="175" t="str">
        <f t="shared" si="40"/>
        <v>Wenatchee</v>
      </c>
      <c r="H864" s="175" t="str">
        <f t="shared" si="41"/>
        <v>Wenatchee, WA</v>
      </c>
      <c r="I864" s="178" t="s">
        <v>1902</v>
      </c>
      <c r="J864" s="27" t="s">
        <v>1699</v>
      </c>
      <c r="K864" s="27">
        <v>458</v>
      </c>
      <c r="L864" s="179">
        <v>5967</v>
      </c>
      <c r="M864" s="180" t="s">
        <v>1698</v>
      </c>
      <c r="N864" s="181" t="s">
        <v>1699</v>
      </c>
      <c r="O864" s="182" t="s">
        <v>1700</v>
      </c>
    </row>
    <row r="865" spans="1:15" ht="12">
      <c r="A865" s="148"/>
      <c r="B865" s="174" t="s">
        <v>1903</v>
      </c>
      <c r="C865" s="175" t="s">
        <v>1650</v>
      </c>
      <c r="D865" s="176" t="s">
        <v>1651</v>
      </c>
      <c r="E865" s="177" t="s">
        <v>1904</v>
      </c>
      <c r="F865" s="175">
        <f t="shared" si="39"/>
        <v>14</v>
      </c>
      <c r="G865" s="175" t="str">
        <f t="shared" si="40"/>
        <v>West Memphis</v>
      </c>
      <c r="H865" s="175" t="str">
        <f t="shared" si="41"/>
        <v>West Memphis, AR</v>
      </c>
      <c r="I865" s="178" t="s">
        <v>1653</v>
      </c>
      <c r="J865" s="27" t="s">
        <v>1651</v>
      </c>
      <c r="K865" s="27">
        <v>1916</v>
      </c>
      <c r="L865" s="179">
        <v>3228</v>
      </c>
      <c r="M865" s="178" t="s">
        <v>1654</v>
      </c>
      <c r="N865" s="27" t="s">
        <v>1651</v>
      </c>
      <c r="O865" s="182" t="s">
        <v>1655</v>
      </c>
    </row>
    <row r="866" spans="1:15" ht="12">
      <c r="A866" s="148"/>
      <c r="B866" s="174" t="s">
        <v>1905</v>
      </c>
      <c r="C866" s="175" t="s">
        <v>624</v>
      </c>
      <c r="D866" s="176" t="s">
        <v>625</v>
      </c>
      <c r="E866" s="177" t="s">
        <v>1906</v>
      </c>
      <c r="F866" s="175">
        <f t="shared" si="39"/>
        <v>17</v>
      </c>
      <c r="G866" s="175" t="str">
        <f t="shared" si="40"/>
        <v>West Palm Beach</v>
      </c>
      <c r="H866" s="175" t="str">
        <f t="shared" si="41"/>
        <v>West Palm Beach, FL</v>
      </c>
      <c r="I866" s="178" t="s">
        <v>1907</v>
      </c>
      <c r="J866" s="27" t="s">
        <v>625</v>
      </c>
      <c r="K866" s="27">
        <v>3891</v>
      </c>
      <c r="L866" s="179">
        <v>323</v>
      </c>
      <c r="M866" s="180" t="s">
        <v>1908</v>
      </c>
      <c r="N866" s="181" t="s">
        <v>625</v>
      </c>
      <c r="O866" s="182" t="s">
        <v>1909</v>
      </c>
    </row>
    <row r="867" spans="1:15" ht="12">
      <c r="A867" s="148"/>
      <c r="B867" s="174" t="s">
        <v>1910</v>
      </c>
      <c r="C867" s="175" t="s">
        <v>407</v>
      </c>
      <c r="D867" s="176" t="s">
        <v>408</v>
      </c>
      <c r="E867" s="177" t="s">
        <v>1911</v>
      </c>
      <c r="F867" s="175">
        <f t="shared" si="39"/>
        <v>13</v>
      </c>
      <c r="G867" s="175" t="str">
        <f t="shared" si="40"/>
        <v>Westchester</v>
      </c>
      <c r="H867" s="175" t="str">
        <f t="shared" si="41"/>
        <v>Westchester, NY</v>
      </c>
      <c r="I867" s="178" t="s">
        <v>646</v>
      </c>
      <c r="J867" s="27" t="s">
        <v>644</v>
      </c>
      <c r="K867" s="27">
        <v>724</v>
      </c>
      <c r="L867" s="179">
        <v>5537</v>
      </c>
      <c r="M867" s="178" t="s">
        <v>647</v>
      </c>
      <c r="N867" s="27" t="s">
        <v>644</v>
      </c>
      <c r="O867" s="182" t="s">
        <v>648</v>
      </c>
    </row>
    <row r="868" spans="1:15" ht="12">
      <c r="A868" s="148"/>
      <c r="B868" s="174" t="s">
        <v>1912</v>
      </c>
      <c r="C868" s="175" t="s">
        <v>1474</v>
      </c>
      <c r="D868" s="176" t="s">
        <v>1475</v>
      </c>
      <c r="E868" s="177" t="s">
        <v>1913</v>
      </c>
      <c r="F868" s="175">
        <f t="shared" si="39"/>
        <v>11</v>
      </c>
      <c r="G868" s="175" t="str">
        <f t="shared" si="40"/>
        <v>Wheatland</v>
      </c>
      <c r="H868" s="175" t="str">
        <f t="shared" si="41"/>
        <v>Wheatland, WY</v>
      </c>
      <c r="I868" s="178" t="s">
        <v>1914</v>
      </c>
      <c r="J868" s="27" t="s">
        <v>448</v>
      </c>
      <c r="K868" s="27">
        <v>713</v>
      </c>
      <c r="L868" s="179">
        <v>6729</v>
      </c>
      <c r="M868" s="180" t="s">
        <v>2469</v>
      </c>
      <c r="N868" s="181" t="s">
        <v>1475</v>
      </c>
      <c r="O868" s="182" t="s">
        <v>2470</v>
      </c>
    </row>
    <row r="869" spans="1:15" ht="12">
      <c r="A869" s="148"/>
      <c r="B869" s="174" t="s">
        <v>1915</v>
      </c>
      <c r="C869" s="175" t="s">
        <v>1678</v>
      </c>
      <c r="D869" s="176" t="s">
        <v>1591</v>
      </c>
      <c r="E869" s="177" t="s">
        <v>1916</v>
      </c>
      <c r="F869" s="175">
        <f t="shared" si="39"/>
        <v>10</v>
      </c>
      <c r="G869" s="175" t="str">
        <f t="shared" si="40"/>
        <v>Wheeling</v>
      </c>
      <c r="H869" s="175" t="str">
        <f t="shared" si="41"/>
        <v>Wheeling, WV</v>
      </c>
      <c r="I869" s="178" t="s">
        <v>455</v>
      </c>
      <c r="J869" s="27" t="s">
        <v>441</v>
      </c>
      <c r="K869" s="27">
        <v>654</v>
      </c>
      <c r="L869" s="179">
        <v>5968</v>
      </c>
      <c r="M869" s="180" t="s">
        <v>456</v>
      </c>
      <c r="N869" s="181" t="s">
        <v>441</v>
      </c>
      <c r="O869" s="182" t="s">
        <v>457</v>
      </c>
    </row>
    <row r="870" spans="1:15" ht="12">
      <c r="A870" s="148"/>
      <c r="B870" s="174" t="s">
        <v>1917</v>
      </c>
      <c r="C870" s="175" t="s">
        <v>407</v>
      </c>
      <c r="D870" s="176" t="s">
        <v>408</v>
      </c>
      <c r="E870" s="177" t="s">
        <v>1918</v>
      </c>
      <c r="F870" s="175">
        <f t="shared" si="39"/>
        <v>14</v>
      </c>
      <c r="G870" s="175" t="str">
        <f t="shared" si="40"/>
        <v>White Plains</v>
      </c>
      <c r="H870" s="175" t="str">
        <f t="shared" si="41"/>
        <v>White Plains, NY</v>
      </c>
      <c r="I870" s="178" t="s">
        <v>646</v>
      </c>
      <c r="J870" s="27" t="s">
        <v>644</v>
      </c>
      <c r="K870" s="27">
        <v>724</v>
      </c>
      <c r="L870" s="179">
        <v>5537</v>
      </c>
      <c r="M870" s="178" t="s">
        <v>647</v>
      </c>
      <c r="N870" s="27" t="s">
        <v>644</v>
      </c>
      <c r="O870" s="182" t="s">
        <v>648</v>
      </c>
    </row>
    <row r="871" spans="1:15" ht="12">
      <c r="A871" s="148"/>
      <c r="B871" s="186" t="s">
        <v>1919</v>
      </c>
      <c r="C871" s="175" t="s">
        <v>1683</v>
      </c>
      <c r="D871" s="176" t="s">
        <v>1684</v>
      </c>
      <c r="E871" s="177" t="s">
        <v>1920</v>
      </c>
      <c r="F871" s="175">
        <f t="shared" si="39"/>
        <v>22</v>
      </c>
      <c r="G871" s="175" t="str">
        <f t="shared" si="40"/>
        <v>White River Junction</v>
      </c>
      <c r="H871" s="175" t="str">
        <f t="shared" si="41"/>
        <v>White River Junction, VT</v>
      </c>
      <c r="I871" s="178" t="s">
        <v>1401</v>
      </c>
      <c r="J871" s="27" t="s">
        <v>1684</v>
      </c>
      <c r="K871" s="27">
        <v>388</v>
      </c>
      <c r="L871" s="179">
        <v>7771</v>
      </c>
      <c r="M871" s="180" t="s">
        <v>1402</v>
      </c>
      <c r="N871" s="181" t="s">
        <v>1684</v>
      </c>
      <c r="O871" s="182" t="s">
        <v>1403</v>
      </c>
    </row>
    <row r="872" spans="1:15" ht="12">
      <c r="A872" s="148"/>
      <c r="B872" s="174" t="s">
        <v>1921</v>
      </c>
      <c r="C872" s="175" t="s">
        <v>433</v>
      </c>
      <c r="D872" s="176" t="s">
        <v>434</v>
      </c>
      <c r="E872" s="177" t="s">
        <v>669</v>
      </c>
      <c r="F872" s="175">
        <f t="shared" si="39"/>
        <v>10</v>
      </c>
      <c r="G872" s="175" t="str">
        <f t="shared" si="40"/>
        <v>Whittier</v>
      </c>
      <c r="H872" s="175" t="str">
        <f t="shared" si="41"/>
        <v>Whittier, CA</v>
      </c>
      <c r="I872" s="178" t="s">
        <v>462</v>
      </c>
      <c r="J872" s="27" t="s">
        <v>434</v>
      </c>
      <c r="K872" s="27">
        <v>1201</v>
      </c>
      <c r="L872" s="179">
        <v>1430</v>
      </c>
      <c r="M872" s="178" t="s">
        <v>437</v>
      </c>
      <c r="N872" s="27" t="s">
        <v>434</v>
      </c>
      <c r="O872" s="182" t="s">
        <v>438</v>
      </c>
    </row>
    <row r="873" spans="1:15" ht="12">
      <c r="A873" s="148"/>
      <c r="B873" s="174" t="s">
        <v>670</v>
      </c>
      <c r="C873" s="175" t="s">
        <v>254</v>
      </c>
      <c r="D873" s="176" t="s">
        <v>255</v>
      </c>
      <c r="E873" s="177" t="s">
        <v>671</v>
      </c>
      <c r="F873" s="175">
        <f t="shared" si="39"/>
        <v>15</v>
      </c>
      <c r="G873" s="175" t="str">
        <f t="shared" si="40"/>
        <v>Wichita Falls</v>
      </c>
      <c r="H873" s="175" t="str">
        <f t="shared" si="41"/>
        <v>Wichita Falls, TX</v>
      </c>
      <c r="I873" s="178" t="s">
        <v>2170</v>
      </c>
      <c r="J873" s="27" t="s">
        <v>255</v>
      </c>
      <c r="K873" s="27">
        <v>2340</v>
      </c>
      <c r="L873" s="179">
        <v>3042</v>
      </c>
      <c r="M873" s="180" t="s">
        <v>2171</v>
      </c>
      <c r="N873" s="181" t="s">
        <v>255</v>
      </c>
      <c r="O873" s="182" t="s">
        <v>2172</v>
      </c>
    </row>
    <row r="874" spans="1:15" ht="12">
      <c r="A874" s="148"/>
      <c r="B874" s="174" t="s">
        <v>672</v>
      </c>
      <c r="C874" s="175" t="s">
        <v>1567</v>
      </c>
      <c r="D874" s="176" t="s">
        <v>1568</v>
      </c>
      <c r="E874" s="177" t="s">
        <v>673</v>
      </c>
      <c r="F874" s="175">
        <f t="shared" si="39"/>
        <v>9</v>
      </c>
      <c r="G874" s="175" t="str">
        <f t="shared" si="40"/>
        <v>Wichita</v>
      </c>
      <c r="H874" s="175" t="str">
        <f t="shared" si="41"/>
        <v>Wichita, KS</v>
      </c>
      <c r="I874" s="178" t="s">
        <v>1070</v>
      </c>
      <c r="J874" s="27" t="s">
        <v>1568</v>
      </c>
      <c r="K874" s="27">
        <v>1628</v>
      </c>
      <c r="L874" s="179">
        <v>4791</v>
      </c>
      <c r="M874" s="180" t="s">
        <v>1788</v>
      </c>
      <c r="N874" s="181" t="s">
        <v>1568</v>
      </c>
      <c r="O874" s="182" t="s">
        <v>1789</v>
      </c>
    </row>
    <row r="875" spans="1:15" ht="12">
      <c r="A875" s="148"/>
      <c r="B875" s="174" t="s">
        <v>674</v>
      </c>
      <c r="C875" s="175" t="s">
        <v>1567</v>
      </c>
      <c r="D875" s="176" t="s">
        <v>1568</v>
      </c>
      <c r="E875" s="177" t="s">
        <v>673</v>
      </c>
      <c r="F875" s="175">
        <f t="shared" si="39"/>
        <v>9</v>
      </c>
      <c r="G875" s="175" t="str">
        <f t="shared" si="40"/>
        <v>Wichita</v>
      </c>
      <c r="H875" s="175" t="str">
        <f t="shared" si="41"/>
        <v>Wichita, KS</v>
      </c>
      <c r="I875" s="178" t="s">
        <v>1070</v>
      </c>
      <c r="J875" s="27" t="s">
        <v>1568</v>
      </c>
      <c r="K875" s="27">
        <v>1628</v>
      </c>
      <c r="L875" s="179">
        <v>4791</v>
      </c>
      <c r="M875" s="180" t="s">
        <v>1788</v>
      </c>
      <c r="N875" s="181" t="s">
        <v>1568</v>
      </c>
      <c r="O875" s="182" t="s">
        <v>1789</v>
      </c>
    </row>
    <row r="876" spans="1:15" ht="12">
      <c r="A876" s="148"/>
      <c r="B876" s="174" t="s">
        <v>675</v>
      </c>
      <c r="C876" s="175" t="s">
        <v>1567</v>
      </c>
      <c r="D876" s="176" t="s">
        <v>1568</v>
      </c>
      <c r="E876" s="177" t="s">
        <v>673</v>
      </c>
      <c r="F876" s="175">
        <f t="shared" si="39"/>
        <v>9</v>
      </c>
      <c r="G876" s="175" t="str">
        <f t="shared" si="40"/>
        <v>Wichita</v>
      </c>
      <c r="H876" s="175" t="str">
        <f t="shared" si="41"/>
        <v>Wichita, KS</v>
      </c>
      <c r="I876" s="178" t="s">
        <v>1070</v>
      </c>
      <c r="J876" s="27" t="s">
        <v>1568</v>
      </c>
      <c r="K876" s="27">
        <v>1628</v>
      </c>
      <c r="L876" s="179">
        <v>4791</v>
      </c>
      <c r="M876" s="180" t="s">
        <v>1788</v>
      </c>
      <c r="N876" s="181" t="s">
        <v>1568</v>
      </c>
      <c r="O876" s="182" t="s">
        <v>1789</v>
      </c>
    </row>
    <row r="877" spans="1:15" ht="12">
      <c r="A877" s="148"/>
      <c r="B877" s="174" t="s">
        <v>676</v>
      </c>
      <c r="C877" s="175" t="s">
        <v>440</v>
      </c>
      <c r="D877" s="176" t="s">
        <v>441</v>
      </c>
      <c r="E877" s="177" t="s">
        <v>677</v>
      </c>
      <c r="F877" s="175">
        <f t="shared" si="39"/>
        <v>14</v>
      </c>
      <c r="G877" s="175" t="str">
        <f t="shared" si="40"/>
        <v>Wilkes-Barre</v>
      </c>
      <c r="H877" s="175" t="str">
        <f t="shared" si="41"/>
        <v>Wilkes-Barre, PA</v>
      </c>
      <c r="I877" s="178" t="s">
        <v>731</v>
      </c>
      <c r="J877" s="27" t="s">
        <v>441</v>
      </c>
      <c r="K877" s="27">
        <v>539</v>
      </c>
      <c r="L877" s="179">
        <v>6291</v>
      </c>
      <c r="M877" s="180" t="s">
        <v>1499</v>
      </c>
      <c r="N877" s="181" t="s">
        <v>441</v>
      </c>
      <c r="O877" s="182" t="s">
        <v>1500</v>
      </c>
    </row>
    <row r="878" spans="1:15" ht="12">
      <c r="A878" s="148"/>
      <c r="B878" s="174" t="s">
        <v>678</v>
      </c>
      <c r="C878" s="175" t="s">
        <v>440</v>
      </c>
      <c r="D878" s="176" t="s">
        <v>441</v>
      </c>
      <c r="E878" s="177" t="s">
        <v>677</v>
      </c>
      <c r="F878" s="175">
        <f t="shared" si="39"/>
        <v>14</v>
      </c>
      <c r="G878" s="175" t="str">
        <f t="shared" si="40"/>
        <v>Wilkes-Barre</v>
      </c>
      <c r="H878" s="175" t="str">
        <f t="shared" si="41"/>
        <v>Wilkes-Barre, PA</v>
      </c>
      <c r="I878" s="178" t="s">
        <v>731</v>
      </c>
      <c r="J878" s="27" t="s">
        <v>441</v>
      </c>
      <c r="K878" s="27">
        <v>539</v>
      </c>
      <c r="L878" s="179">
        <v>6291</v>
      </c>
      <c r="M878" s="180" t="s">
        <v>1499</v>
      </c>
      <c r="N878" s="181" t="s">
        <v>441</v>
      </c>
      <c r="O878" s="182" t="s">
        <v>1500</v>
      </c>
    </row>
    <row r="879" spans="1:15" ht="12">
      <c r="A879" s="148"/>
      <c r="B879" s="174" t="s">
        <v>679</v>
      </c>
      <c r="C879" s="175" t="s">
        <v>440</v>
      </c>
      <c r="D879" s="176" t="s">
        <v>441</v>
      </c>
      <c r="E879" s="177" t="s">
        <v>680</v>
      </c>
      <c r="F879" s="175">
        <f t="shared" si="39"/>
        <v>14</v>
      </c>
      <c r="G879" s="175" t="str">
        <f t="shared" si="40"/>
        <v>Williamsport</v>
      </c>
      <c r="H879" s="175" t="str">
        <f t="shared" si="41"/>
        <v>Williamsport, PA</v>
      </c>
      <c r="I879" s="178" t="s">
        <v>1804</v>
      </c>
      <c r="J879" s="27" t="s">
        <v>441</v>
      </c>
      <c r="K879" s="27">
        <v>622</v>
      </c>
      <c r="L879" s="179">
        <v>6087</v>
      </c>
      <c r="M879" s="180" t="s">
        <v>2430</v>
      </c>
      <c r="N879" s="181" t="s">
        <v>441</v>
      </c>
      <c r="O879" s="182" t="s">
        <v>2431</v>
      </c>
    </row>
    <row r="880" spans="1:15" ht="12">
      <c r="A880" s="148"/>
      <c r="B880" s="186" t="s">
        <v>681</v>
      </c>
      <c r="C880" s="175" t="s">
        <v>643</v>
      </c>
      <c r="D880" s="176" t="s">
        <v>644</v>
      </c>
      <c r="E880" s="177" t="s">
        <v>682</v>
      </c>
      <c r="F880" s="175">
        <f t="shared" si="39"/>
        <v>13</v>
      </c>
      <c r="G880" s="175" t="str">
        <f t="shared" si="40"/>
        <v>Willimantic</v>
      </c>
      <c r="H880" s="175" t="str">
        <f t="shared" si="41"/>
        <v>Willimantic, CT</v>
      </c>
      <c r="I880" s="178" t="s">
        <v>603</v>
      </c>
      <c r="J880" s="27" t="s">
        <v>2383</v>
      </c>
      <c r="K880" s="27">
        <v>333</v>
      </c>
      <c r="L880" s="179">
        <v>6979</v>
      </c>
      <c r="M880" s="178" t="s">
        <v>711</v>
      </c>
      <c r="N880" s="27" t="s">
        <v>644</v>
      </c>
      <c r="O880" s="182" t="s">
        <v>712</v>
      </c>
    </row>
    <row r="881" spans="1:15" ht="12">
      <c r="A881" s="148"/>
      <c r="B881" s="174" t="s">
        <v>683</v>
      </c>
      <c r="C881" s="175" t="s">
        <v>1506</v>
      </c>
      <c r="D881" s="176" t="s">
        <v>251</v>
      </c>
      <c r="E881" s="177" t="s">
        <v>684</v>
      </c>
      <c r="F881" s="175">
        <f t="shared" si="39"/>
        <v>11</v>
      </c>
      <c r="G881" s="175" t="str">
        <f t="shared" si="40"/>
        <v>Williston</v>
      </c>
      <c r="H881" s="175" t="str">
        <f t="shared" si="41"/>
        <v>Williston, ND</v>
      </c>
      <c r="I881" s="178" t="s">
        <v>173</v>
      </c>
      <c r="J881" s="27" t="s">
        <v>251</v>
      </c>
      <c r="K881" s="27">
        <v>548</v>
      </c>
      <c r="L881" s="179">
        <v>9090</v>
      </c>
      <c r="M881" s="180" t="s">
        <v>1705</v>
      </c>
      <c r="N881" s="181" t="s">
        <v>251</v>
      </c>
      <c r="O881" s="182" t="s">
        <v>1706</v>
      </c>
    </row>
    <row r="882" spans="1:15" ht="12">
      <c r="A882" s="148"/>
      <c r="B882" s="174" t="s">
        <v>685</v>
      </c>
      <c r="C882" s="175" t="s">
        <v>1687</v>
      </c>
      <c r="D882" s="176" t="s">
        <v>1688</v>
      </c>
      <c r="E882" s="177" t="s">
        <v>686</v>
      </c>
      <c r="F882" s="175">
        <f t="shared" si="39"/>
        <v>9</v>
      </c>
      <c r="G882" s="175" t="str">
        <f t="shared" si="40"/>
        <v>Willmar</v>
      </c>
      <c r="H882" s="175" t="str">
        <f t="shared" si="41"/>
        <v>Willmar, MN</v>
      </c>
      <c r="I882" s="178" t="s">
        <v>687</v>
      </c>
      <c r="J882" s="27" t="s">
        <v>247</v>
      </c>
      <c r="K882" s="27">
        <v>743</v>
      </c>
      <c r="L882" s="179">
        <v>7923</v>
      </c>
      <c r="M882" s="178" t="s">
        <v>638</v>
      </c>
      <c r="N882" s="27" t="s">
        <v>1688</v>
      </c>
      <c r="O882" s="182" t="s">
        <v>639</v>
      </c>
    </row>
    <row r="883" spans="1:15" ht="12">
      <c r="A883" s="148"/>
      <c r="B883" s="174" t="s">
        <v>688</v>
      </c>
      <c r="C883" s="175" t="s">
        <v>1796</v>
      </c>
      <c r="D883" s="176" t="s">
        <v>1797</v>
      </c>
      <c r="E883" s="177" t="s">
        <v>689</v>
      </c>
      <c r="F883" s="175">
        <f t="shared" si="39"/>
        <v>12</v>
      </c>
      <c r="G883" s="175" t="str">
        <f t="shared" si="40"/>
        <v>Wilmington</v>
      </c>
      <c r="H883" s="175" t="str">
        <f t="shared" si="41"/>
        <v>Wilmington, DE</v>
      </c>
      <c r="I883" s="178" t="s">
        <v>1056</v>
      </c>
      <c r="J883" s="27" t="s">
        <v>1797</v>
      </c>
      <c r="K883" s="27">
        <v>1046</v>
      </c>
      <c r="L883" s="179">
        <v>4937</v>
      </c>
      <c r="M883" s="180" t="s">
        <v>1057</v>
      </c>
      <c r="N883" s="181" t="s">
        <v>1797</v>
      </c>
      <c r="O883" s="182" t="s">
        <v>1058</v>
      </c>
    </row>
    <row r="884" spans="1:15" ht="12">
      <c r="A884" s="148"/>
      <c r="B884" s="174" t="s">
        <v>690</v>
      </c>
      <c r="C884" s="175" t="s">
        <v>1796</v>
      </c>
      <c r="D884" s="176" t="s">
        <v>1797</v>
      </c>
      <c r="E884" s="177" t="s">
        <v>689</v>
      </c>
      <c r="F884" s="175">
        <f t="shared" si="39"/>
        <v>12</v>
      </c>
      <c r="G884" s="175" t="str">
        <f t="shared" si="40"/>
        <v>Wilmington</v>
      </c>
      <c r="H884" s="175" t="str">
        <f t="shared" si="41"/>
        <v>Wilmington, DE</v>
      </c>
      <c r="I884" s="178" t="s">
        <v>1056</v>
      </c>
      <c r="J884" s="27" t="s">
        <v>1797</v>
      </c>
      <c r="K884" s="27">
        <v>1046</v>
      </c>
      <c r="L884" s="179">
        <v>4937</v>
      </c>
      <c r="M884" s="180" t="s">
        <v>1057</v>
      </c>
      <c r="N884" s="181" t="s">
        <v>1797</v>
      </c>
      <c r="O884" s="182" t="s">
        <v>1058</v>
      </c>
    </row>
    <row r="885" spans="1:15" ht="12">
      <c r="A885" s="148"/>
      <c r="B885" s="174" t="s">
        <v>691</v>
      </c>
      <c r="C885" s="175" t="s">
        <v>472</v>
      </c>
      <c r="D885" s="176" t="s">
        <v>473</v>
      </c>
      <c r="E885" s="177" t="s">
        <v>689</v>
      </c>
      <c r="F885" s="175">
        <f t="shared" si="39"/>
        <v>12</v>
      </c>
      <c r="G885" s="175" t="str">
        <f t="shared" si="40"/>
        <v>Wilmington</v>
      </c>
      <c r="H885" s="175" t="str">
        <f t="shared" si="41"/>
        <v>Wilmington, NC</v>
      </c>
      <c r="I885" s="178" t="s">
        <v>2004</v>
      </c>
      <c r="J885" s="27" t="s">
        <v>473</v>
      </c>
      <c r="K885" s="27">
        <v>1926</v>
      </c>
      <c r="L885" s="179">
        <v>2470</v>
      </c>
      <c r="M885" s="180" t="s">
        <v>2446</v>
      </c>
      <c r="N885" s="181" t="s">
        <v>473</v>
      </c>
      <c r="O885" s="182" t="s">
        <v>2447</v>
      </c>
    </row>
    <row r="886" spans="1:15" ht="12">
      <c r="A886" s="148"/>
      <c r="B886" s="174" t="s">
        <v>692</v>
      </c>
      <c r="C886" s="175" t="s">
        <v>425</v>
      </c>
      <c r="D886" s="176" t="s">
        <v>426</v>
      </c>
      <c r="E886" s="177" t="s">
        <v>693</v>
      </c>
      <c r="F886" s="175">
        <f t="shared" si="39"/>
        <v>12</v>
      </c>
      <c r="G886" s="175" t="str">
        <f t="shared" si="40"/>
        <v>Winchester</v>
      </c>
      <c r="H886" s="175" t="str">
        <f t="shared" si="41"/>
        <v>Winchester, VA</v>
      </c>
      <c r="I886" s="178" t="s">
        <v>1737</v>
      </c>
      <c r="J886" s="27" t="s">
        <v>428</v>
      </c>
      <c r="K886" s="27">
        <v>973</v>
      </c>
      <c r="L886" s="179">
        <v>5006</v>
      </c>
      <c r="M886" s="180" t="s">
        <v>429</v>
      </c>
      <c r="N886" s="181" t="s">
        <v>430</v>
      </c>
      <c r="O886" s="182" t="s">
        <v>431</v>
      </c>
    </row>
    <row r="887" spans="1:15" ht="12">
      <c r="A887" s="148"/>
      <c r="B887" s="174" t="s">
        <v>694</v>
      </c>
      <c r="C887" s="175" t="s">
        <v>1687</v>
      </c>
      <c r="D887" s="176" t="s">
        <v>1688</v>
      </c>
      <c r="E887" s="177" t="s">
        <v>695</v>
      </c>
      <c r="F887" s="175">
        <f t="shared" si="39"/>
        <v>8</v>
      </c>
      <c r="G887" s="175" t="str">
        <f t="shared" si="40"/>
        <v>Windom</v>
      </c>
      <c r="H887" s="175" t="str">
        <f t="shared" si="41"/>
        <v>Windom, MN</v>
      </c>
      <c r="I887" s="178" t="s">
        <v>1351</v>
      </c>
      <c r="J887" s="27" t="s">
        <v>247</v>
      </c>
      <c r="K887" s="27">
        <v>744</v>
      </c>
      <c r="L887" s="179">
        <v>7809</v>
      </c>
      <c r="M887" s="180" t="s">
        <v>1352</v>
      </c>
      <c r="N887" s="181" t="s">
        <v>247</v>
      </c>
      <c r="O887" s="182" t="s">
        <v>1353</v>
      </c>
    </row>
    <row r="888" spans="1:15" ht="12">
      <c r="A888" s="148"/>
      <c r="B888" s="174" t="s">
        <v>696</v>
      </c>
      <c r="C888" s="175" t="s">
        <v>1372</v>
      </c>
      <c r="D888" s="176" t="s">
        <v>1373</v>
      </c>
      <c r="E888" s="177" t="s">
        <v>697</v>
      </c>
      <c r="F888" s="175">
        <f t="shared" si="39"/>
        <v>13</v>
      </c>
      <c r="G888" s="175" t="str">
        <f t="shared" si="40"/>
        <v>Window Rock</v>
      </c>
      <c r="H888" s="175" t="str">
        <f t="shared" si="41"/>
        <v>Window Rock, AZ</v>
      </c>
      <c r="I888" s="178" t="s">
        <v>1990</v>
      </c>
      <c r="J888" s="27" t="s">
        <v>1373</v>
      </c>
      <c r="K888" s="27">
        <v>145</v>
      </c>
      <c r="L888" s="179">
        <v>7131</v>
      </c>
      <c r="M888" s="178" t="s">
        <v>1991</v>
      </c>
      <c r="N888" s="27" t="s">
        <v>1373</v>
      </c>
      <c r="O888" s="182" t="s">
        <v>1992</v>
      </c>
    </row>
    <row r="889" spans="1:15" ht="12">
      <c r="A889" s="148"/>
      <c r="B889" s="174" t="s">
        <v>698</v>
      </c>
      <c r="C889" s="175" t="s">
        <v>472</v>
      </c>
      <c r="D889" s="176" t="s">
        <v>473</v>
      </c>
      <c r="E889" s="177" t="s">
        <v>699</v>
      </c>
      <c r="F889" s="175">
        <f t="shared" si="39"/>
        <v>15</v>
      </c>
      <c r="G889" s="175" t="str">
        <f t="shared" si="40"/>
        <v>Winston-Salem</v>
      </c>
      <c r="H889" s="175" t="str">
        <f t="shared" si="41"/>
        <v>Winston-Salem, NC</v>
      </c>
      <c r="I889" s="178" t="s">
        <v>2125</v>
      </c>
      <c r="J889" s="27" t="s">
        <v>473</v>
      </c>
      <c r="K889" s="27">
        <v>1253</v>
      </c>
      <c r="L889" s="179">
        <v>3865</v>
      </c>
      <c r="M889" s="180" t="s">
        <v>2126</v>
      </c>
      <c r="N889" s="181" t="s">
        <v>473</v>
      </c>
      <c r="O889" s="182" t="s">
        <v>2127</v>
      </c>
    </row>
    <row r="890" spans="1:15" ht="12">
      <c r="A890" s="148"/>
      <c r="B890" s="174" t="s">
        <v>700</v>
      </c>
      <c r="C890" s="175" t="s">
        <v>472</v>
      </c>
      <c r="D890" s="176" t="s">
        <v>473</v>
      </c>
      <c r="E890" s="177" t="s">
        <v>699</v>
      </c>
      <c r="F890" s="175">
        <f t="shared" si="39"/>
        <v>15</v>
      </c>
      <c r="G890" s="175" t="str">
        <f t="shared" si="40"/>
        <v>Winston-Salem</v>
      </c>
      <c r="H890" s="175" t="str">
        <f t="shared" si="41"/>
        <v>Winston-Salem, NC</v>
      </c>
      <c r="I890" s="178" t="s">
        <v>2125</v>
      </c>
      <c r="J890" s="27" t="s">
        <v>473</v>
      </c>
      <c r="K890" s="27">
        <v>1253</v>
      </c>
      <c r="L890" s="179">
        <v>3865</v>
      </c>
      <c r="M890" s="180" t="s">
        <v>2126</v>
      </c>
      <c r="N890" s="181" t="s">
        <v>473</v>
      </c>
      <c r="O890" s="182" t="s">
        <v>2127</v>
      </c>
    </row>
    <row r="891" spans="1:15" ht="12">
      <c r="A891" s="148"/>
      <c r="B891" s="186" t="s">
        <v>701</v>
      </c>
      <c r="C891" s="175" t="s">
        <v>2382</v>
      </c>
      <c r="D891" s="176" t="s">
        <v>2383</v>
      </c>
      <c r="E891" s="177" t="s">
        <v>702</v>
      </c>
      <c r="F891" s="175">
        <f t="shared" si="39"/>
        <v>8</v>
      </c>
      <c r="G891" s="175" t="str">
        <f t="shared" si="40"/>
        <v>Woburn</v>
      </c>
      <c r="H891" s="175" t="str">
        <f t="shared" si="41"/>
        <v>Woburn, MA</v>
      </c>
      <c r="I891" s="178" t="s">
        <v>603</v>
      </c>
      <c r="J891" s="27" t="s">
        <v>2383</v>
      </c>
      <c r="K891" s="27">
        <v>333</v>
      </c>
      <c r="L891" s="179">
        <v>6979</v>
      </c>
      <c r="M891" s="180" t="s">
        <v>604</v>
      </c>
      <c r="N891" s="181" t="s">
        <v>2383</v>
      </c>
      <c r="O891" s="182" t="s">
        <v>605</v>
      </c>
    </row>
    <row r="892" spans="1:15" ht="12">
      <c r="A892" s="148"/>
      <c r="B892" s="174" t="s">
        <v>703</v>
      </c>
      <c r="C892" s="175" t="s">
        <v>1487</v>
      </c>
      <c r="D892" s="176" t="s">
        <v>1488</v>
      </c>
      <c r="E892" s="177" t="s">
        <v>704</v>
      </c>
      <c r="F892" s="175">
        <f t="shared" si="39"/>
        <v>12</v>
      </c>
      <c r="G892" s="175" t="str">
        <f t="shared" si="40"/>
        <v>Wolf Point</v>
      </c>
      <c r="H892" s="175" t="str">
        <f t="shared" si="41"/>
        <v>Wolf Point, MT</v>
      </c>
      <c r="I892" s="178" t="s">
        <v>157</v>
      </c>
      <c r="J892" s="27" t="s">
        <v>1488</v>
      </c>
      <c r="K892" s="27">
        <v>558</v>
      </c>
      <c r="L892" s="179">
        <v>8745</v>
      </c>
      <c r="M892" s="180" t="s">
        <v>2108</v>
      </c>
      <c r="N892" s="181" t="s">
        <v>1488</v>
      </c>
      <c r="O892" s="182" t="s">
        <v>2109</v>
      </c>
    </row>
    <row r="893" spans="1:15" ht="12">
      <c r="A893" s="148"/>
      <c r="B893" s="174" t="s">
        <v>705</v>
      </c>
      <c r="C893" s="175" t="s">
        <v>500</v>
      </c>
      <c r="D893" s="176" t="s">
        <v>501</v>
      </c>
      <c r="E893" s="177" t="s">
        <v>706</v>
      </c>
      <c r="F893" s="175">
        <f t="shared" si="39"/>
        <v>10</v>
      </c>
      <c r="G893" s="175" t="str">
        <f t="shared" si="40"/>
        <v>Woodward</v>
      </c>
      <c r="H893" s="175" t="str">
        <f t="shared" si="41"/>
        <v>Woodward, OK</v>
      </c>
      <c r="I893" s="178" t="s">
        <v>270</v>
      </c>
      <c r="J893" s="27" t="s">
        <v>255</v>
      </c>
      <c r="K893" s="27">
        <v>1354</v>
      </c>
      <c r="L893" s="179">
        <v>4258</v>
      </c>
      <c r="M893" s="180" t="s">
        <v>271</v>
      </c>
      <c r="N893" s="181" t="s">
        <v>255</v>
      </c>
      <c r="O893" s="182" t="s">
        <v>272</v>
      </c>
    </row>
    <row r="894" spans="1:15" ht="12">
      <c r="A894" s="148"/>
      <c r="B894" s="186" t="s">
        <v>707</v>
      </c>
      <c r="C894" s="175" t="s">
        <v>2382</v>
      </c>
      <c r="D894" s="176" t="s">
        <v>2383</v>
      </c>
      <c r="E894" s="177" t="s">
        <v>708</v>
      </c>
      <c r="F894" s="175">
        <f t="shared" si="39"/>
        <v>11</v>
      </c>
      <c r="G894" s="175" t="str">
        <f t="shared" si="40"/>
        <v>Worcester</v>
      </c>
      <c r="H894" s="175" t="str">
        <f t="shared" si="41"/>
        <v>Worcester, MA</v>
      </c>
      <c r="I894" s="178" t="s">
        <v>603</v>
      </c>
      <c r="J894" s="27" t="s">
        <v>2383</v>
      </c>
      <c r="K894" s="27">
        <v>333</v>
      </c>
      <c r="L894" s="179">
        <v>6979</v>
      </c>
      <c r="M894" s="180" t="s">
        <v>604</v>
      </c>
      <c r="N894" s="181" t="s">
        <v>2383</v>
      </c>
      <c r="O894" s="182" t="s">
        <v>605</v>
      </c>
    </row>
    <row r="895" spans="1:15" ht="12">
      <c r="A895" s="148"/>
      <c r="B895" s="186" t="s">
        <v>709</v>
      </c>
      <c r="C895" s="175" t="s">
        <v>2382</v>
      </c>
      <c r="D895" s="176" t="s">
        <v>2383</v>
      </c>
      <c r="E895" s="177" t="s">
        <v>708</v>
      </c>
      <c r="F895" s="175">
        <f t="shared" si="39"/>
        <v>11</v>
      </c>
      <c r="G895" s="175" t="str">
        <f t="shared" si="40"/>
        <v>Worcester</v>
      </c>
      <c r="H895" s="175" t="str">
        <f t="shared" si="41"/>
        <v>Worcester, MA</v>
      </c>
      <c r="I895" s="178" t="s">
        <v>603</v>
      </c>
      <c r="J895" s="27" t="s">
        <v>2383</v>
      </c>
      <c r="K895" s="27">
        <v>333</v>
      </c>
      <c r="L895" s="179">
        <v>6979</v>
      </c>
      <c r="M895" s="180" t="s">
        <v>604</v>
      </c>
      <c r="N895" s="181" t="s">
        <v>2383</v>
      </c>
      <c r="O895" s="182" t="s">
        <v>605</v>
      </c>
    </row>
    <row r="896" spans="1:15" ht="12">
      <c r="A896" s="148"/>
      <c r="B896" s="186" t="s">
        <v>710</v>
      </c>
      <c r="C896" s="175" t="s">
        <v>2382</v>
      </c>
      <c r="D896" s="176" t="s">
        <v>2383</v>
      </c>
      <c r="E896" s="177" t="s">
        <v>708</v>
      </c>
      <c r="F896" s="175">
        <f t="shared" si="39"/>
        <v>11</v>
      </c>
      <c r="G896" s="175" t="str">
        <f t="shared" si="40"/>
        <v>Worcester</v>
      </c>
      <c r="H896" s="175" t="str">
        <f t="shared" si="41"/>
        <v>Worcester, MA</v>
      </c>
      <c r="I896" s="178" t="s">
        <v>603</v>
      </c>
      <c r="J896" s="27" t="s">
        <v>2383</v>
      </c>
      <c r="K896" s="27">
        <v>333</v>
      </c>
      <c r="L896" s="179">
        <v>6979</v>
      </c>
      <c r="M896" s="180" t="s">
        <v>604</v>
      </c>
      <c r="N896" s="181" t="s">
        <v>2383</v>
      </c>
      <c r="O896" s="182" t="s">
        <v>605</v>
      </c>
    </row>
    <row r="897" spans="1:15" ht="12">
      <c r="A897" s="148"/>
      <c r="B897" s="174" t="s">
        <v>1922</v>
      </c>
      <c r="C897" s="175" t="s">
        <v>1474</v>
      </c>
      <c r="D897" s="176" t="s">
        <v>1475</v>
      </c>
      <c r="E897" s="177" t="s">
        <v>1923</v>
      </c>
      <c r="F897" s="175">
        <f t="shared" si="39"/>
        <v>9</v>
      </c>
      <c r="G897" s="175" t="str">
        <f t="shared" si="40"/>
        <v>Worland</v>
      </c>
      <c r="H897" s="175" t="str">
        <f t="shared" si="41"/>
        <v>Worland, WY</v>
      </c>
      <c r="I897" s="178" t="s">
        <v>89</v>
      </c>
      <c r="J897" s="27" t="s">
        <v>1475</v>
      </c>
      <c r="K897" s="27">
        <v>479</v>
      </c>
      <c r="L897" s="179">
        <v>7889</v>
      </c>
      <c r="M897" s="180" t="s">
        <v>1478</v>
      </c>
      <c r="N897" s="181" t="s">
        <v>1475</v>
      </c>
      <c r="O897" s="182" t="s">
        <v>2418</v>
      </c>
    </row>
    <row r="898" spans="1:15" ht="12">
      <c r="A898" s="148"/>
      <c r="B898" s="174" t="s">
        <v>1924</v>
      </c>
      <c r="C898" s="175" t="s">
        <v>547</v>
      </c>
      <c r="D898" s="176" t="s">
        <v>1699</v>
      </c>
      <c r="E898" s="177" t="s">
        <v>1925</v>
      </c>
      <c r="F898" s="175">
        <f t="shared" si="39"/>
        <v>8</v>
      </c>
      <c r="G898" s="175" t="str">
        <f t="shared" si="40"/>
        <v>Yakima</v>
      </c>
      <c r="H898" s="175" t="str">
        <f t="shared" si="41"/>
        <v>Yakima, WA</v>
      </c>
      <c r="I898" s="178" t="s">
        <v>1902</v>
      </c>
      <c r="J898" s="27" t="s">
        <v>1699</v>
      </c>
      <c r="K898" s="27">
        <v>458</v>
      </c>
      <c r="L898" s="179">
        <v>5967</v>
      </c>
      <c r="M898" s="180" t="s">
        <v>1698</v>
      </c>
      <c r="N898" s="181" t="s">
        <v>1699</v>
      </c>
      <c r="O898" s="182" t="s">
        <v>1700</v>
      </c>
    </row>
    <row r="899" spans="1:15" ht="12">
      <c r="A899" s="148"/>
      <c r="B899" s="174" t="s">
        <v>1926</v>
      </c>
      <c r="C899" s="175" t="s">
        <v>1474</v>
      </c>
      <c r="D899" s="176" t="s">
        <v>1475</v>
      </c>
      <c r="E899" s="177" t="s">
        <v>1927</v>
      </c>
      <c r="F899" s="175">
        <f t="shared" si="39"/>
        <v>20</v>
      </c>
      <c r="G899" s="175" t="str">
        <f t="shared" si="40"/>
        <v>Yellowstone Nat Pk</v>
      </c>
      <c r="H899" s="175" t="str">
        <f t="shared" si="41"/>
        <v>Yellowstone Nat Pk, WY</v>
      </c>
      <c r="I899" s="178" t="s">
        <v>734</v>
      </c>
      <c r="J899" s="27" t="s">
        <v>1488</v>
      </c>
      <c r="K899" s="27">
        <v>386</v>
      </c>
      <c r="L899" s="179">
        <v>8031</v>
      </c>
      <c r="M899" s="180" t="s">
        <v>1417</v>
      </c>
      <c r="N899" s="181" t="s">
        <v>1488</v>
      </c>
      <c r="O899" s="182" t="s">
        <v>1418</v>
      </c>
    </row>
    <row r="900" spans="1:15" ht="12">
      <c r="A900" s="148"/>
      <c r="B900" s="174" t="s">
        <v>1928</v>
      </c>
      <c r="C900" s="175" t="s">
        <v>407</v>
      </c>
      <c r="D900" s="176" t="s">
        <v>408</v>
      </c>
      <c r="E900" s="177" t="s">
        <v>1929</v>
      </c>
      <c r="F900" s="175">
        <f t="shared" si="39"/>
        <v>9</v>
      </c>
      <c r="G900" s="175" t="str">
        <f t="shared" si="40"/>
        <v>Yonkers</v>
      </c>
      <c r="H900" s="175" t="str">
        <f t="shared" si="41"/>
        <v>Yonkers, NY</v>
      </c>
      <c r="I900" s="178" t="s">
        <v>2359</v>
      </c>
      <c r="J900" s="27" t="s">
        <v>408</v>
      </c>
      <c r="K900" s="27">
        <v>1052</v>
      </c>
      <c r="L900" s="179">
        <v>4910</v>
      </c>
      <c r="M900" s="180" t="s">
        <v>2360</v>
      </c>
      <c r="N900" s="181" t="s">
        <v>408</v>
      </c>
      <c r="O900" s="182" t="s">
        <v>1359</v>
      </c>
    </row>
    <row r="901" spans="1:15" ht="12">
      <c r="A901" s="148"/>
      <c r="B901" s="174" t="s">
        <v>1930</v>
      </c>
      <c r="C901" s="175" t="s">
        <v>440</v>
      </c>
      <c r="D901" s="176" t="s">
        <v>441</v>
      </c>
      <c r="E901" s="177" t="s">
        <v>1931</v>
      </c>
      <c r="F901" s="175">
        <f t="shared" si="39"/>
        <v>6</v>
      </c>
      <c r="G901" s="175" t="str">
        <f t="shared" si="40"/>
        <v>York</v>
      </c>
      <c r="H901" s="175" t="str">
        <f t="shared" si="41"/>
        <v>York, PA</v>
      </c>
      <c r="I901" s="178" t="s">
        <v>2429</v>
      </c>
      <c r="J901" s="27" t="s">
        <v>441</v>
      </c>
      <c r="K901" s="27">
        <v>962</v>
      </c>
      <c r="L901" s="179">
        <v>5347</v>
      </c>
      <c r="M901" s="180" t="s">
        <v>2430</v>
      </c>
      <c r="N901" s="181" t="s">
        <v>441</v>
      </c>
      <c r="O901" s="182" t="s">
        <v>2431</v>
      </c>
    </row>
    <row r="902" spans="1:15" ht="12">
      <c r="A902" s="148"/>
      <c r="B902" s="174" t="s">
        <v>1932</v>
      </c>
      <c r="C902" s="175" t="s">
        <v>440</v>
      </c>
      <c r="D902" s="176" t="s">
        <v>441</v>
      </c>
      <c r="E902" s="177" t="s">
        <v>1931</v>
      </c>
      <c r="F902" s="175">
        <f>LEN(E902)</f>
        <v>6</v>
      </c>
      <c r="G902" s="175" t="str">
        <f>MID(E902,2,F902-2)</f>
        <v>York</v>
      </c>
      <c r="H902" s="175" t="str">
        <f>CONCATENATE(G902,", ",+D902)</f>
        <v>York, PA</v>
      </c>
      <c r="I902" s="178" t="s">
        <v>2429</v>
      </c>
      <c r="J902" s="27" t="s">
        <v>441</v>
      </c>
      <c r="K902" s="27">
        <v>962</v>
      </c>
      <c r="L902" s="179">
        <v>5347</v>
      </c>
      <c r="M902" s="180" t="s">
        <v>2430</v>
      </c>
      <c r="N902" s="181" t="s">
        <v>441</v>
      </c>
      <c r="O902" s="182" t="s">
        <v>2431</v>
      </c>
    </row>
    <row r="903" spans="1:15" ht="12">
      <c r="A903" s="148"/>
      <c r="B903" s="174" t="s">
        <v>1933</v>
      </c>
      <c r="C903" s="175" t="s">
        <v>385</v>
      </c>
      <c r="D903" s="176" t="s">
        <v>386</v>
      </c>
      <c r="E903" s="177" t="s">
        <v>1934</v>
      </c>
      <c r="F903" s="175">
        <f>LEN(E903)</f>
        <v>12</v>
      </c>
      <c r="G903" s="175" t="str">
        <f>MID(E903,2,F903-2)</f>
        <v>Youngstown</v>
      </c>
      <c r="H903" s="175" t="str">
        <f>CONCATENATE(G903,", ",+D903)</f>
        <v>Youngstown, OH</v>
      </c>
      <c r="I903" s="178" t="s">
        <v>1411</v>
      </c>
      <c r="J903" s="27" t="s">
        <v>386</v>
      </c>
      <c r="K903" s="27">
        <v>497</v>
      </c>
      <c r="L903" s="179">
        <v>6544</v>
      </c>
      <c r="M903" s="180" t="s">
        <v>1412</v>
      </c>
      <c r="N903" s="181" t="s">
        <v>386</v>
      </c>
      <c r="O903" s="182" t="s">
        <v>1413</v>
      </c>
    </row>
    <row r="904" spans="1:15" ht="12">
      <c r="A904" s="148"/>
      <c r="B904" s="174" t="s">
        <v>1935</v>
      </c>
      <c r="C904" s="175" t="s">
        <v>385</v>
      </c>
      <c r="D904" s="176" t="s">
        <v>386</v>
      </c>
      <c r="E904" s="177" t="s">
        <v>1934</v>
      </c>
      <c r="F904" s="175">
        <f>LEN(E904)</f>
        <v>12</v>
      </c>
      <c r="G904" s="175" t="str">
        <f>MID(E904,2,F904-2)</f>
        <v>Youngstown</v>
      </c>
      <c r="H904" s="175" t="str">
        <f>CONCATENATE(G904,", ",+D904)</f>
        <v>Youngstown, OH</v>
      </c>
      <c r="I904" s="178" t="s">
        <v>1411</v>
      </c>
      <c r="J904" s="27" t="s">
        <v>386</v>
      </c>
      <c r="K904" s="27">
        <v>497</v>
      </c>
      <c r="L904" s="179">
        <v>6544</v>
      </c>
      <c r="M904" s="180" t="s">
        <v>1412</v>
      </c>
      <c r="N904" s="181" t="s">
        <v>386</v>
      </c>
      <c r="O904" s="182" t="s">
        <v>1413</v>
      </c>
    </row>
    <row r="905" spans="1:15" ht="12">
      <c r="A905" s="148"/>
      <c r="B905" s="174" t="s">
        <v>1936</v>
      </c>
      <c r="C905" s="175" t="s">
        <v>385</v>
      </c>
      <c r="D905" s="176" t="s">
        <v>386</v>
      </c>
      <c r="E905" s="177" t="s">
        <v>1937</v>
      </c>
      <c r="F905" s="175">
        <f>LEN(E905)</f>
        <v>12</v>
      </c>
      <c r="G905" s="175" t="str">
        <f>MID(E905,2,F905-2)</f>
        <v>Zanesville</v>
      </c>
      <c r="H905" s="175" t="str">
        <f>CONCATENATE(G905,", ",+D905)</f>
        <v>Zanesville, OH</v>
      </c>
      <c r="I905" s="178" t="s">
        <v>455</v>
      </c>
      <c r="J905" s="27" t="s">
        <v>441</v>
      </c>
      <c r="K905" s="27">
        <v>654</v>
      </c>
      <c r="L905" s="179">
        <v>5968</v>
      </c>
      <c r="M905" s="180" t="s">
        <v>456</v>
      </c>
      <c r="N905" s="181" t="s">
        <v>441</v>
      </c>
      <c r="O905" s="182" t="s">
        <v>457</v>
      </c>
    </row>
    <row r="906" spans="1:15" ht="12">
      <c r="A906" s="148"/>
      <c r="B906" s="174" t="s">
        <v>1938</v>
      </c>
      <c r="C906" s="175" t="s">
        <v>385</v>
      </c>
      <c r="D906" s="176" t="s">
        <v>386</v>
      </c>
      <c r="E906" s="177" t="s">
        <v>1937</v>
      </c>
      <c r="F906" s="175">
        <f>LEN(E906)</f>
        <v>12</v>
      </c>
      <c r="G906" s="175" t="str">
        <f>MID(E906,2,F906-2)</f>
        <v>Zanesville</v>
      </c>
      <c r="H906" s="175" t="str">
        <f>CONCATENATE(G906,", ",+D906)</f>
        <v>Zanesville, OH</v>
      </c>
      <c r="I906" s="178" t="s">
        <v>1600</v>
      </c>
      <c r="J906" s="27" t="s">
        <v>386</v>
      </c>
      <c r="K906" s="27">
        <v>797</v>
      </c>
      <c r="L906" s="179">
        <v>5708</v>
      </c>
      <c r="M906" s="180" t="s">
        <v>404</v>
      </c>
      <c r="N906" s="181" t="s">
        <v>386</v>
      </c>
      <c r="O906" s="182" t="s">
        <v>1601</v>
      </c>
    </row>
    <row r="907" spans="1:15" ht="12">
      <c r="A907" s="148"/>
      <c r="B907" s="189"/>
      <c r="C907" s="190"/>
      <c r="D907" s="181"/>
      <c r="E907" s="191"/>
      <c r="F907" s="190"/>
      <c r="G907" s="190"/>
      <c r="H907" s="190"/>
      <c r="I907" s="192"/>
      <c r="J907" s="190"/>
      <c r="K907" s="190"/>
      <c r="L907" s="191"/>
      <c r="M907" s="192"/>
      <c r="N907" s="190"/>
      <c r="O907" s="191"/>
    </row>
    <row r="908" spans="1:15" ht="12">
      <c r="A908" s="148"/>
      <c r="B908" s="189"/>
      <c r="C908" s="190"/>
      <c r="D908" s="181"/>
      <c r="E908" s="191"/>
      <c r="F908" s="190"/>
      <c r="G908" s="190"/>
      <c r="H908" s="190"/>
      <c r="I908" s="192"/>
      <c r="J908" s="190"/>
      <c r="K908" s="190"/>
      <c r="L908" s="191"/>
      <c r="M908" s="192"/>
      <c r="N908" s="190"/>
      <c r="O908" s="191"/>
    </row>
    <row r="909" spans="1:15" thickBot="1">
      <c r="A909" s="148"/>
      <c r="B909" s="193"/>
      <c r="C909" s="194"/>
      <c r="D909" s="195"/>
      <c r="E909" s="196"/>
      <c r="F909" s="194"/>
      <c r="G909" s="194"/>
      <c r="H909" s="194"/>
      <c r="I909" s="197"/>
      <c r="J909" s="194"/>
      <c r="K909" s="194"/>
      <c r="L909" s="196"/>
      <c r="M909" s="197"/>
      <c r="N909" s="194"/>
      <c r="O909" s="196"/>
    </row>
    <row r="910" spans="1:15" ht="21" thickBot="1">
      <c r="A910" s="148"/>
      <c r="B910" s="745" t="s">
        <v>1939</v>
      </c>
      <c r="C910" s="746"/>
      <c r="D910" s="746"/>
      <c r="E910" s="747"/>
      <c r="F910" s="198"/>
      <c r="G910" s="198"/>
      <c r="H910" s="198"/>
      <c r="I910" s="745" t="s">
        <v>1940</v>
      </c>
      <c r="J910" s="746"/>
      <c r="K910" s="746"/>
      <c r="L910" s="747"/>
      <c r="M910" s="745" t="s">
        <v>1941</v>
      </c>
      <c r="N910" s="746"/>
      <c r="O910" s="747"/>
    </row>
    <row r="911" spans="1:15" ht="12">
      <c r="A911" s="148"/>
    </row>
    <row r="912" spans="1:15" ht="12">
      <c r="A912" s="148"/>
    </row>
    <row r="913" spans="1:1" ht="12">
      <c r="A913" s="148"/>
    </row>
    <row r="914" spans="1:1" ht="12">
      <c r="A914" s="148"/>
    </row>
    <row r="915" spans="1:1" ht="12">
      <c r="A915" s="148"/>
    </row>
  </sheetData>
  <mergeCells count="6">
    <mergeCell ref="I1:L1"/>
    <mergeCell ref="P1:R1"/>
    <mergeCell ref="M1:O1"/>
    <mergeCell ref="B910:E910"/>
    <mergeCell ref="I910:L910"/>
    <mergeCell ref="M910:O910"/>
  </mergeCells>
  <phoneticPr fontId="0" type="noConversion"/>
  <pageMargins left="0.75" right="0.75" top="1" bottom="1" header="0.5" footer="0.5"/>
  <pageSetup scale="35" fitToHeight="16" orientation="portrait" horizontalDpi="300" verticalDpi="300" r:id="rId1"/>
  <headerFooter alignWithMargins="0"/>
</worksheet>
</file>

<file path=xl/worksheets/sheet22.xml><?xml version="1.0" encoding="utf-8"?>
<worksheet xmlns="http://schemas.openxmlformats.org/spreadsheetml/2006/main" xmlns:r="http://schemas.openxmlformats.org/officeDocument/2006/relationships">
  <sheetPr codeName="Sheet19"/>
  <dimension ref="B2:AM31"/>
  <sheetViews>
    <sheetView topLeftCell="F1" zoomScale="75" workbookViewId="0">
      <selection activeCell="Q10" sqref="Q10"/>
    </sheetView>
  </sheetViews>
  <sheetFormatPr defaultRowHeight="12.75"/>
  <cols>
    <col min="1" max="9" width="9.140625" style="199"/>
    <col min="10" max="10" width="16.7109375" style="199" customWidth="1"/>
    <col min="11" max="11" width="11.28515625" style="199" customWidth="1"/>
    <col min="12" max="14" width="9.140625" style="199"/>
    <col min="15" max="15" width="11.28515625" style="199" customWidth="1"/>
    <col min="16" max="16384" width="9.140625" style="199"/>
  </cols>
  <sheetData>
    <row r="2" spans="2:39">
      <c r="B2" s="748"/>
      <c r="C2" s="749"/>
      <c r="D2" s="750"/>
      <c r="E2" s="748"/>
      <c r="F2" s="749"/>
      <c r="G2" s="750"/>
      <c r="H2" s="748" t="s">
        <v>1942</v>
      </c>
      <c r="I2" s="749"/>
      <c r="J2" s="749"/>
      <c r="K2" s="750"/>
      <c r="L2" s="748" t="s">
        <v>1943</v>
      </c>
      <c r="M2" s="749"/>
      <c r="N2" s="749"/>
      <c r="O2" s="750"/>
      <c r="P2" s="748" t="s">
        <v>1944</v>
      </c>
      <c r="Q2" s="749"/>
      <c r="R2" s="749"/>
      <c r="S2" s="750"/>
      <c r="T2" s="748" t="s">
        <v>1945</v>
      </c>
      <c r="U2" s="749"/>
      <c r="V2" s="749"/>
      <c r="W2" s="750"/>
      <c r="X2" s="748" t="s">
        <v>1946</v>
      </c>
      <c r="Y2" s="749"/>
      <c r="Z2" s="749"/>
      <c r="AA2" s="750"/>
      <c r="AB2" s="748" t="s">
        <v>1947</v>
      </c>
      <c r="AC2" s="749"/>
      <c r="AD2" s="749"/>
      <c r="AE2" s="750"/>
      <c r="AF2" s="748" t="s">
        <v>1948</v>
      </c>
      <c r="AG2" s="749"/>
      <c r="AH2" s="749"/>
      <c r="AI2" s="750"/>
      <c r="AJ2" s="748" t="s">
        <v>1949</v>
      </c>
      <c r="AK2" s="749"/>
      <c r="AL2" s="749"/>
      <c r="AM2" s="750"/>
    </row>
    <row r="3" spans="2:39">
      <c r="B3" s="200"/>
      <c r="C3" s="201"/>
      <c r="D3" s="202"/>
      <c r="E3" s="200"/>
      <c r="F3" s="201"/>
      <c r="G3" s="201"/>
      <c r="H3" s="200"/>
      <c r="I3" s="201"/>
      <c r="J3" s="201" t="s">
        <v>1950</v>
      </c>
      <c r="K3" s="203" t="s">
        <v>1951</v>
      </c>
      <c r="L3" s="200"/>
      <c r="M3" s="201"/>
      <c r="N3" s="201" t="s">
        <v>1950</v>
      </c>
      <c r="O3" s="203" t="s">
        <v>1951</v>
      </c>
      <c r="P3" s="200"/>
      <c r="Q3" s="201"/>
      <c r="R3" s="201" t="s">
        <v>1950</v>
      </c>
      <c r="S3" s="203" t="s">
        <v>1951</v>
      </c>
      <c r="T3" s="200"/>
      <c r="U3" s="201"/>
      <c r="V3" s="201" t="s">
        <v>1950</v>
      </c>
      <c r="W3" s="203" t="s">
        <v>1951</v>
      </c>
      <c r="X3" s="200"/>
      <c r="Y3" s="201"/>
      <c r="Z3" s="201" t="s">
        <v>1950</v>
      </c>
      <c r="AA3" s="203" t="s">
        <v>1951</v>
      </c>
      <c r="AB3" s="200"/>
      <c r="AC3" s="201"/>
      <c r="AD3" s="201" t="s">
        <v>1952</v>
      </c>
      <c r="AE3" s="203"/>
      <c r="AF3" s="200"/>
      <c r="AG3" s="201" t="s">
        <v>1952</v>
      </c>
      <c r="AH3" s="201"/>
      <c r="AI3" s="203"/>
      <c r="AJ3" s="200"/>
      <c r="AK3" s="201" t="s">
        <v>1952</v>
      </c>
      <c r="AL3" s="201"/>
      <c r="AM3" s="203"/>
    </row>
    <row r="4" spans="2:39" ht="15">
      <c r="B4" s="204"/>
      <c r="C4" s="205"/>
      <c r="D4" s="206"/>
      <c r="E4" s="204"/>
      <c r="F4" s="205"/>
      <c r="G4" s="21"/>
      <c r="H4" s="204">
        <v>2</v>
      </c>
      <c r="I4" s="205" t="str">
        <f ca="1">INDIRECT(ADDRESS($H$4+H5,COLUMN(I$2)))</f>
        <v>kBTU</v>
      </c>
      <c r="J4" s="207">
        <f ca="1">INDIRECT(ADDRESS($H$4+H5,COLUMN(J$2)))</f>
        <v>3.0187573270808912</v>
      </c>
      <c r="K4" s="208">
        <f ca="1">INDIRECT(ADDRESS($H$4+H5,COLUMN(K$2)))</f>
        <v>1</v>
      </c>
      <c r="L4" s="204">
        <v>2</v>
      </c>
      <c r="M4" s="205" t="str">
        <f ca="1">INDIRECT(ADDRESS($L$4+L5,COLUMN(M$2)))</f>
        <v>kBTU</v>
      </c>
      <c r="N4" s="209">
        <f ca="1">INDIRECT(ADDRESS($L$4+L5,COLUMN(N$2)))</f>
        <v>1.024</v>
      </c>
      <c r="O4" s="206">
        <f ca="1">INDIRECT(ADDRESS($L$4+L5,COLUMN(O$2)))</f>
        <v>1</v>
      </c>
      <c r="P4" s="204">
        <v>0</v>
      </c>
      <c r="Q4" s="205">
        <f ca="1">INDIRECT(ADDRESS($P$4+P5,COLUMN(Q$2)))</f>
        <v>0</v>
      </c>
      <c r="R4" s="209">
        <f ca="1">INDIRECT(ADDRESS($P$4+P5,COLUMN(R$2)))</f>
        <v>0</v>
      </c>
      <c r="S4" s="206">
        <f ca="1">INDIRECT(ADDRESS($P$4+P5,COLUMN(S$2)))</f>
        <v>0</v>
      </c>
      <c r="T4" s="204">
        <v>0</v>
      </c>
      <c r="U4" s="205">
        <f ca="1">INDIRECT(ADDRESS($T$4+T5,COLUMN(U$2)))</f>
        <v>0</v>
      </c>
      <c r="V4" s="209">
        <f ca="1">INDIRECT(ADDRESS($T$4+T5,COLUMN(V$2)))</f>
        <v>0</v>
      </c>
      <c r="W4" s="206">
        <f ca="1">INDIRECT(ADDRESS($T$4+T5,COLUMN(W$2)))</f>
        <v>0</v>
      </c>
      <c r="X4" s="204">
        <v>0</v>
      </c>
      <c r="Y4" s="205">
        <f ca="1">INDIRECT(ADDRESS($X$4+X5,COLUMN(Y$2)))</f>
        <v>0</v>
      </c>
      <c r="Z4" s="21">
        <f ca="1">INDIRECT(ADDRESS($X$4+X5,COLUMN(Z$2)))</f>
        <v>0</v>
      </c>
      <c r="AA4" s="206">
        <f ca="1">INDIRECT(ADDRESS($X$4+X5,COLUMN(AA$2)))</f>
        <v>0</v>
      </c>
      <c r="AB4" s="204">
        <v>1</v>
      </c>
      <c r="AC4" s="205" t="str">
        <f ca="1">INDIRECT(ADDRESS($AB$4+AB5,COLUMN(AC$2)))</f>
        <v>Yes</v>
      </c>
      <c r="AD4" s="21">
        <f ca="1">INDIRECT(ADDRESS($AB$4+AB5,COLUMN(AD$2)))</f>
        <v>1</v>
      </c>
      <c r="AE4" s="206"/>
      <c r="AF4" s="204">
        <v>1</v>
      </c>
      <c r="AG4" s="205">
        <f ca="1">INDIRECT(ADDRESS($AF$4+AF5,COLUMN(AG$2)))</f>
        <v>0</v>
      </c>
      <c r="AH4" s="21"/>
      <c r="AI4" s="206"/>
      <c r="AJ4" s="204">
        <v>2</v>
      </c>
      <c r="AK4" s="205">
        <f ca="1">INDIRECT(ADDRESS($AJ$4+AJ5,COLUMN(AK$2)))</f>
        <v>10</v>
      </c>
      <c r="AL4" s="21"/>
      <c r="AM4" s="206"/>
    </row>
    <row r="5" spans="2:39" ht="15">
      <c r="B5" s="210"/>
      <c r="C5" s="23"/>
      <c r="D5" s="211"/>
      <c r="E5" s="210"/>
      <c r="F5" s="23"/>
      <c r="G5" s="24"/>
      <c r="H5" s="210">
        <v>5</v>
      </c>
      <c r="I5" s="23"/>
      <c r="J5" s="24"/>
      <c r="K5" s="211"/>
      <c r="L5" s="210">
        <v>5</v>
      </c>
      <c r="M5" s="23"/>
      <c r="N5" s="24"/>
      <c r="O5" s="211"/>
      <c r="P5" s="210">
        <v>5</v>
      </c>
      <c r="Q5" s="23"/>
      <c r="R5" s="24"/>
      <c r="S5" s="211"/>
      <c r="T5" s="210">
        <v>5</v>
      </c>
      <c r="U5" s="23"/>
      <c r="V5" s="24"/>
      <c r="W5" s="211"/>
      <c r="X5" s="210">
        <v>5</v>
      </c>
      <c r="Y5" s="23"/>
      <c r="Z5" s="212"/>
      <c r="AA5" s="213"/>
      <c r="AB5" s="210">
        <v>5</v>
      </c>
      <c r="AC5" s="23"/>
      <c r="AD5" s="212"/>
      <c r="AE5" s="213"/>
      <c r="AF5" s="210">
        <v>5</v>
      </c>
      <c r="AG5" s="23"/>
      <c r="AH5" s="212"/>
      <c r="AI5" s="213"/>
      <c r="AJ5" s="210">
        <v>5</v>
      </c>
      <c r="AK5" s="23"/>
      <c r="AL5" s="212"/>
      <c r="AM5" s="213"/>
    </row>
    <row r="6" spans="2:39">
      <c r="B6" s="214"/>
      <c r="C6" s="215"/>
      <c r="D6" s="216"/>
      <c r="E6" s="214"/>
      <c r="F6" s="215"/>
      <c r="G6" s="215"/>
      <c r="H6" s="214"/>
      <c r="I6" s="215" t="s">
        <v>125</v>
      </c>
      <c r="J6" s="215">
        <v>10.3</v>
      </c>
      <c r="K6" s="216">
        <v>3.4119999999999999</v>
      </c>
      <c r="L6" s="214"/>
      <c r="M6" s="215" t="s">
        <v>1953</v>
      </c>
      <c r="N6" s="215">
        <f>100*1.024</f>
        <v>102.4</v>
      </c>
      <c r="O6" s="216">
        <v>100</v>
      </c>
      <c r="P6" s="214"/>
      <c r="Q6" s="215" t="s">
        <v>1954</v>
      </c>
      <c r="R6" s="215">
        <v>138.6</v>
      </c>
      <c r="S6" s="216">
        <v>138.6</v>
      </c>
      <c r="T6" s="214"/>
      <c r="U6" s="215" t="s">
        <v>1955</v>
      </c>
      <c r="V6" s="215">
        <f>10.78*1.38</f>
        <v>14.876399999999999</v>
      </c>
      <c r="W6" s="216">
        <v>10.78</v>
      </c>
      <c r="X6" s="214"/>
      <c r="Y6" s="215" t="s">
        <v>1956</v>
      </c>
      <c r="Z6" s="217">
        <v>12000</v>
      </c>
      <c r="AA6" s="218">
        <v>12000</v>
      </c>
      <c r="AB6" s="214"/>
      <c r="AC6" s="215" t="s">
        <v>1554</v>
      </c>
      <c r="AD6" s="217">
        <v>1</v>
      </c>
      <c r="AE6" s="218"/>
      <c r="AF6" s="214"/>
      <c r="AG6" s="215">
        <v>0</v>
      </c>
      <c r="AH6" s="217"/>
      <c r="AI6" s="218"/>
      <c r="AJ6" s="214"/>
      <c r="AK6" s="215">
        <v>9</v>
      </c>
      <c r="AL6" s="217"/>
      <c r="AM6" s="218"/>
    </row>
    <row r="7" spans="2:39">
      <c r="B7" s="219"/>
      <c r="C7" s="220"/>
      <c r="D7" s="221"/>
      <c r="E7" s="219"/>
      <c r="F7" s="220"/>
      <c r="G7" s="220"/>
      <c r="H7" s="219"/>
      <c r="I7" s="220" t="s">
        <v>1957</v>
      </c>
      <c r="J7" s="222">
        <f>+J6/K6</f>
        <v>3.0187573270808912</v>
      </c>
      <c r="K7" s="221">
        <v>1</v>
      </c>
      <c r="L7" s="219"/>
      <c r="M7" s="220" t="s">
        <v>1957</v>
      </c>
      <c r="N7" s="223">
        <v>1.024</v>
      </c>
      <c r="O7" s="221">
        <v>1</v>
      </c>
      <c r="P7" s="219"/>
      <c r="Q7" s="220" t="s">
        <v>1957</v>
      </c>
      <c r="R7" s="224">
        <v>1</v>
      </c>
      <c r="S7" s="221">
        <v>1</v>
      </c>
      <c r="T7" s="219"/>
      <c r="U7" s="220" t="s">
        <v>1957</v>
      </c>
      <c r="V7" s="222">
        <v>1.38</v>
      </c>
      <c r="W7" s="221">
        <v>1</v>
      </c>
      <c r="X7" s="219"/>
      <c r="Y7" s="220" t="s">
        <v>1957</v>
      </c>
      <c r="Z7" s="224">
        <v>1</v>
      </c>
      <c r="AA7" s="225">
        <v>1</v>
      </c>
      <c r="AB7" s="219"/>
      <c r="AC7" s="220" t="s">
        <v>1555</v>
      </c>
      <c r="AD7" s="224">
        <v>0</v>
      </c>
      <c r="AE7" s="225"/>
      <c r="AF7" s="219"/>
      <c r="AG7" s="220">
        <v>10</v>
      </c>
      <c r="AH7" s="224"/>
      <c r="AI7" s="225"/>
      <c r="AJ7" s="219"/>
      <c r="AK7" s="220">
        <v>10</v>
      </c>
      <c r="AL7" s="224"/>
      <c r="AM7" s="225"/>
    </row>
    <row r="8" spans="2:39">
      <c r="AG8" s="226">
        <v>20</v>
      </c>
      <c r="AK8" s="226">
        <v>11</v>
      </c>
    </row>
    <row r="9" spans="2:39">
      <c r="C9" s="227" t="s">
        <v>1958</v>
      </c>
      <c r="D9" s="199">
        <v>131.4</v>
      </c>
      <c r="E9" s="199" t="s">
        <v>1959</v>
      </c>
      <c r="AG9" s="226">
        <v>30</v>
      </c>
      <c r="AK9" s="226">
        <v>12</v>
      </c>
    </row>
    <row r="10" spans="2:39">
      <c r="C10" s="227" t="s">
        <v>1960</v>
      </c>
      <c r="D10" s="199">
        <v>76.3</v>
      </c>
      <c r="E10" s="199" t="s">
        <v>1959</v>
      </c>
      <c r="AG10" s="226">
        <v>40</v>
      </c>
    </row>
    <row r="11" spans="2:39">
      <c r="AG11" s="226">
        <v>50</v>
      </c>
    </row>
    <row r="12" spans="2:39">
      <c r="J12" s="226" t="s">
        <v>1546</v>
      </c>
      <c r="K12" s="226" t="s">
        <v>2257</v>
      </c>
      <c r="L12" s="226" t="s">
        <v>1549</v>
      </c>
      <c r="M12" s="226" t="s">
        <v>2258</v>
      </c>
      <c r="N12" s="226" t="s">
        <v>2259</v>
      </c>
      <c r="O12" s="226" t="s">
        <v>1327</v>
      </c>
      <c r="AG12" s="226">
        <v>60</v>
      </c>
    </row>
    <row r="13" spans="2:39">
      <c r="J13" s="226" t="s">
        <v>2263</v>
      </c>
      <c r="K13" s="226" t="s">
        <v>2263</v>
      </c>
      <c r="L13" s="226" t="s">
        <v>2263</v>
      </c>
      <c r="M13" s="226" t="s">
        <v>2263</v>
      </c>
      <c r="N13" s="226" t="s">
        <v>2263</v>
      </c>
      <c r="O13" s="226" t="s">
        <v>2263</v>
      </c>
      <c r="AG13" s="226">
        <v>70</v>
      </c>
    </row>
    <row r="14" spans="2:39">
      <c r="C14" s="227"/>
      <c r="D14" s="226"/>
      <c r="F14" s="227"/>
      <c r="G14" s="228"/>
      <c r="I14" s="227" t="s">
        <v>1950</v>
      </c>
      <c r="J14" s="229" t="e">
        <f ca="1">+#REF!*'Side Calcs - Baseline'!J4</f>
        <v>#REF!</v>
      </c>
      <c r="K14" s="229" t="e">
        <f ca="1">+#REF!*'Side Calcs - Baseline'!N4</f>
        <v>#REF!</v>
      </c>
      <c r="L14" s="229" t="e">
        <f ca="1">+#REF!*'Side Calcs - Baseline'!R4</f>
        <v>#REF!</v>
      </c>
      <c r="M14" s="229" t="e">
        <f ca="1">+#REF!*'Side Calcs - Baseline'!V4</f>
        <v>#REF!</v>
      </c>
      <c r="N14" s="229" t="e">
        <f ca="1">+#REF!*'Side Calcs - Baseline'!Z4</f>
        <v>#REF!</v>
      </c>
      <c r="O14" s="229" t="e">
        <f ca="1">SUM(J14:N14)</f>
        <v>#REF!</v>
      </c>
      <c r="AG14" s="226">
        <v>80</v>
      </c>
    </row>
    <row r="15" spans="2:39">
      <c r="C15" s="227"/>
      <c r="D15" s="226"/>
      <c r="F15" s="227"/>
      <c r="G15" s="230"/>
      <c r="I15" s="227" t="s">
        <v>1951</v>
      </c>
      <c r="J15" s="229" t="e">
        <f ca="1">+#REF!*'Side Calcs - Baseline'!K4</f>
        <v>#REF!</v>
      </c>
      <c r="K15" s="229" t="e">
        <f ca="1">+#REF!*'Side Calcs - Baseline'!O4</f>
        <v>#REF!</v>
      </c>
      <c r="L15" s="229" t="e">
        <f ca="1">+#REF!*'Side Calcs - Baseline'!S4</f>
        <v>#REF!</v>
      </c>
      <c r="M15" s="229" t="e">
        <f ca="1">+#REF!*'Side Calcs - Baseline'!W4</f>
        <v>#REF!</v>
      </c>
      <c r="N15" s="229" t="e">
        <f ca="1">+#REF!*'Side Calcs - Baseline'!AA4</f>
        <v>#REF!</v>
      </c>
      <c r="O15" s="229" t="e">
        <f ca="1">SUM(J15:N15)</f>
        <v>#REF!</v>
      </c>
      <c r="AG15" s="226">
        <v>90</v>
      </c>
    </row>
    <row r="16" spans="2:39">
      <c r="C16" s="227"/>
      <c r="D16" s="226"/>
      <c r="I16" s="227" t="s">
        <v>1961</v>
      </c>
      <c r="J16" s="231" t="e">
        <f ca="1">+J14/$O$14</f>
        <v>#REF!</v>
      </c>
      <c r="K16" s="231" t="e">
        <f ca="1">+K14/$O$14</f>
        <v>#REF!</v>
      </c>
      <c r="L16" s="230" t="e">
        <f ca="1">+L14/$O$14</f>
        <v>#REF!</v>
      </c>
      <c r="M16" s="230" t="e">
        <f ca="1">+M14/$O$14</f>
        <v>#REF!</v>
      </c>
      <c r="N16" s="230" t="e">
        <f ca="1">+N14/$O$14</f>
        <v>#REF!</v>
      </c>
      <c r="AG16" s="226">
        <v>100</v>
      </c>
    </row>
    <row r="18" spans="3:11">
      <c r="C18" s="227"/>
      <c r="I18" s="232" t="s">
        <v>1962</v>
      </c>
      <c r="J18" s="231" t="e">
        <f ca="1">+J15/(J15+K15)</f>
        <v>#REF!</v>
      </c>
      <c r="K18" s="231" t="e">
        <f ca="1">+K15/(J15+K15)</f>
        <v>#REF!</v>
      </c>
    </row>
    <row r="19" spans="3:11">
      <c r="C19" s="227"/>
    </row>
    <row r="20" spans="3:11">
      <c r="C20" s="227"/>
      <c r="D20" s="233"/>
    </row>
    <row r="21" spans="3:11">
      <c r="C21" s="227"/>
      <c r="D21" s="234"/>
    </row>
    <row r="22" spans="3:11">
      <c r="C22" s="227"/>
      <c r="D22" s="234"/>
    </row>
    <row r="26" spans="3:11">
      <c r="C26" s="227"/>
      <c r="D26" s="230"/>
    </row>
    <row r="27" spans="3:11">
      <c r="C27" s="227"/>
      <c r="D27" s="230"/>
    </row>
    <row r="28" spans="3:11">
      <c r="C28" s="227"/>
      <c r="D28" s="226"/>
    </row>
    <row r="29" spans="3:11">
      <c r="C29" s="227"/>
      <c r="D29" s="235"/>
    </row>
    <row r="30" spans="3:11">
      <c r="C30" s="227"/>
      <c r="D30" s="235"/>
    </row>
    <row r="31" spans="3:11">
      <c r="C31" s="227"/>
      <c r="D31" s="235"/>
    </row>
  </sheetData>
  <mergeCells count="10">
    <mergeCell ref="B2:D2"/>
    <mergeCell ref="P2:S2"/>
    <mergeCell ref="H2:K2"/>
    <mergeCell ref="L2:O2"/>
    <mergeCell ref="E2:G2"/>
    <mergeCell ref="AF2:AI2"/>
    <mergeCell ref="AJ2:AM2"/>
    <mergeCell ref="T2:W2"/>
    <mergeCell ref="X2:AA2"/>
    <mergeCell ref="AB2:AE2"/>
  </mergeCells>
  <phoneticPr fontId="0" type="noConversion"/>
  <pageMargins left="0.75" right="0.75" top="1" bottom="1" header="0.5" footer="0.5"/>
  <headerFooter alignWithMargins="0"/>
</worksheet>
</file>

<file path=xl/worksheets/sheet23.xml><?xml version="1.0" encoding="utf-8"?>
<worksheet xmlns="http://schemas.openxmlformats.org/spreadsheetml/2006/main" xmlns:r="http://schemas.openxmlformats.org/officeDocument/2006/relationships">
  <sheetPr codeName="Sheet20">
    <pageSetUpPr fitToPage="1"/>
  </sheetPr>
  <dimension ref="A1:T912"/>
  <sheetViews>
    <sheetView zoomScale="75" zoomScaleNormal="100" workbookViewId="0">
      <selection activeCell="B6" sqref="B6"/>
    </sheetView>
  </sheetViews>
  <sheetFormatPr defaultColWidth="11.42578125" defaultRowHeight="12"/>
  <cols>
    <col min="1" max="1" width="11.42578125" style="148" customWidth="1"/>
    <col min="2" max="2" width="11.28515625" style="147" bestFit="1" customWidth="1"/>
    <col min="3" max="3" width="15.7109375" style="148" bestFit="1" customWidth="1"/>
    <col min="4" max="4" width="6" style="147" customWidth="1"/>
    <col min="5" max="5" width="21.85546875" style="148" customWidth="1"/>
    <col min="6" max="6" width="3.5703125" style="148" customWidth="1"/>
    <col min="7" max="7" width="12.7109375" style="148" customWidth="1"/>
    <col min="8" max="8" width="20.140625" style="148" customWidth="1"/>
    <col min="9" max="9" width="29.5703125" style="148" customWidth="1"/>
    <col min="10" max="12" width="7.5703125" style="148" customWidth="1"/>
    <col min="13" max="13" width="18.5703125" style="148" customWidth="1"/>
    <col min="14" max="14" width="7.5703125" style="148" customWidth="1"/>
    <col min="15" max="15" width="18.28515625" style="148" customWidth="1"/>
    <col min="16" max="16" width="28.7109375" style="184" customWidth="1"/>
    <col min="17" max="17" width="5.7109375" style="147" customWidth="1"/>
    <col min="18" max="18" width="14" style="185" customWidth="1"/>
    <col min="19" max="19" width="5.140625" style="148" customWidth="1"/>
    <col min="20" max="20" width="6" style="148" customWidth="1"/>
    <col min="21" max="16384" width="11.42578125" style="148"/>
  </cols>
  <sheetData>
    <row r="1" spans="1:20" ht="15.75">
      <c r="B1" s="142" t="s">
        <v>234</v>
      </c>
      <c r="C1" s="143" t="s">
        <v>234</v>
      </c>
      <c r="D1" s="144"/>
      <c r="E1" s="145" t="s">
        <v>234</v>
      </c>
      <c r="F1" s="146"/>
      <c r="G1" s="146"/>
      <c r="H1" s="146"/>
      <c r="I1" s="739" t="s">
        <v>235</v>
      </c>
      <c r="J1" s="740"/>
      <c r="K1" s="740"/>
      <c r="L1" s="741"/>
      <c r="M1" s="743" t="s">
        <v>236</v>
      </c>
      <c r="N1" s="743"/>
      <c r="O1" s="744"/>
      <c r="P1" s="742"/>
      <c r="Q1" s="742"/>
      <c r="R1" s="742"/>
    </row>
    <row r="2" spans="1:20" ht="16.5" thickBot="1">
      <c r="B2" s="149" t="s">
        <v>237</v>
      </c>
      <c r="C2" s="150" t="s">
        <v>238</v>
      </c>
      <c r="D2" s="151"/>
      <c r="E2" s="152" t="s">
        <v>239</v>
      </c>
      <c r="F2" s="153"/>
      <c r="G2" s="153"/>
      <c r="H2" s="153"/>
      <c r="I2" s="154" t="s">
        <v>240</v>
      </c>
      <c r="J2" s="155" t="s">
        <v>241</v>
      </c>
      <c r="K2" s="155" t="s">
        <v>31</v>
      </c>
      <c r="L2" s="156" t="s">
        <v>32</v>
      </c>
      <c r="M2" s="157" t="s">
        <v>242</v>
      </c>
      <c r="N2" s="155" t="s">
        <v>241</v>
      </c>
      <c r="O2" s="158" t="s">
        <v>243</v>
      </c>
      <c r="P2" s="159"/>
      <c r="Q2" s="160"/>
      <c r="R2" s="161"/>
    </row>
    <row r="3" spans="1:20" ht="15.75">
      <c r="B3" s="162"/>
      <c r="C3" s="163"/>
      <c r="D3" s="164"/>
      <c r="E3" s="165"/>
      <c r="F3" s="163"/>
      <c r="G3" s="163"/>
      <c r="H3" s="163"/>
      <c r="I3" s="162"/>
      <c r="J3" s="164"/>
      <c r="K3" s="164"/>
      <c r="L3" s="166"/>
      <c r="M3" s="167"/>
      <c r="N3" s="164"/>
      <c r="O3" s="168"/>
      <c r="P3" s="159"/>
      <c r="Q3" s="160"/>
      <c r="R3" s="161"/>
    </row>
    <row r="4" spans="1:20" ht="16.5" thickBot="1">
      <c r="B4" s="162"/>
      <c r="C4" s="163"/>
      <c r="D4" s="164"/>
      <c r="E4" s="165"/>
      <c r="F4" s="163"/>
      <c r="G4" s="163"/>
      <c r="H4" s="163"/>
      <c r="I4" s="162"/>
      <c r="J4" s="164"/>
      <c r="K4" s="164"/>
      <c r="L4" s="166"/>
      <c r="M4" s="167"/>
      <c r="N4" s="164"/>
      <c r="O4" s="168"/>
      <c r="P4" s="159"/>
      <c r="Q4" s="160"/>
      <c r="R4" s="161"/>
    </row>
    <row r="5" spans="1:20" s="236" customFormat="1" ht="15.75" thickBot="1">
      <c r="A5" s="236" t="s">
        <v>1963</v>
      </c>
      <c r="B5" s="237" t="e">
        <f>LEFT(#REF!,3)</f>
        <v>#REF!</v>
      </c>
      <c r="C5" s="238" t="e">
        <f>LOOKUP($B$5,$B$8:$B$908,C$8:C$908)</f>
        <v>#REF!</v>
      </c>
      <c r="D5" s="238" t="e">
        <f>LOOKUP($B$5,$B$8:$B$908,D$8:D$908)</f>
        <v>#REF!</v>
      </c>
      <c r="E5" s="239" t="e">
        <f>LOOKUP($B$5,$B$8:$B$908,E$8:E$908)</f>
        <v>#REF!</v>
      </c>
      <c r="F5" s="237"/>
      <c r="G5" s="238" t="e">
        <f>LOOKUP($B$5,$B$8:$B$908,G$8:G$908)</f>
        <v>#REF!</v>
      </c>
      <c r="H5" s="239" t="e">
        <f>CONCATENATE(G5,","," ",D5)</f>
        <v>#REF!</v>
      </c>
      <c r="I5" s="237" t="e">
        <f t="shared" ref="I5:O5" si="0">LOOKUP($B$5,$B$8:$B$908,I$8:I$908)</f>
        <v>#REF!</v>
      </c>
      <c r="J5" s="238" t="e">
        <f t="shared" si="0"/>
        <v>#REF!</v>
      </c>
      <c r="K5" s="238" t="e">
        <f>LOOKUP($B$5,$B$8:$B$908,K$8:K$908)</f>
        <v>#REF!</v>
      </c>
      <c r="L5" s="239" t="e">
        <f t="shared" si="0"/>
        <v>#REF!</v>
      </c>
      <c r="M5" s="237" t="e">
        <f t="shared" si="0"/>
        <v>#REF!</v>
      </c>
      <c r="N5" s="238" t="e">
        <f t="shared" si="0"/>
        <v>#REF!</v>
      </c>
      <c r="O5" s="239" t="e">
        <f t="shared" si="0"/>
        <v>#REF!</v>
      </c>
      <c r="P5" s="240"/>
      <c r="Q5" s="240"/>
      <c r="R5" s="240"/>
    </row>
    <row r="6" spans="1:20" ht="15.75">
      <c r="B6" s="162"/>
      <c r="C6" s="163"/>
      <c r="D6" s="164"/>
      <c r="E6" s="165"/>
      <c r="F6" s="163"/>
      <c r="G6" s="163"/>
      <c r="H6" s="163"/>
      <c r="I6" s="162"/>
      <c r="J6" s="164"/>
      <c r="K6" s="164"/>
      <c r="L6" s="166"/>
      <c r="M6" s="167"/>
      <c r="N6" s="164"/>
      <c r="O6" s="168"/>
      <c r="P6" s="159"/>
      <c r="Q6" s="160"/>
      <c r="R6" s="161"/>
    </row>
    <row r="7" spans="1:20" ht="15.75">
      <c r="B7" s="162"/>
      <c r="C7" s="163"/>
      <c r="D7" s="164"/>
      <c r="E7" s="165"/>
      <c r="F7" s="163"/>
      <c r="G7" s="163"/>
      <c r="H7" s="163"/>
      <c r="I7" s="162"/>
      <c r="J7" s="164"/>
      <c r="K7" s="164"/>
      <c r="L7" s="166"/>
      <c r="M7" s="167"/>
      <c r="N7" s="164"/>
      <c r="O7" s="168"/>
      <c r="P7" s="159"/>
      <c r="Q7" s="160"/>
      <c r="R7" s="161"/>
    </row>
    <row r="8" spans="1:20">
      <c r="B8" s="186" t="s">
        <v>1003</v>
      </c>
      <c r="C8" s="175" t="s">
        <v>1004</v>
      </c>
      <c r="D8" s="176" t="s">
        <v>1005</v>
      </c>
      <c r="E8" s="177" t="s">
        <v>1006</v>
      </c>
      <c r="F8" s="175">
        <f>LEN(E8)</f>
        <v>10</v>
      </c>
      <c r="G8" s="175" t="str">
        <f>MID(E8,2,F8-2)</f>
        <v>San Juan</v>
      </c>
      <c r="I8" s="178" t="s">
        <v>1007</v>
      </c>
      <c r="J8" s="27" t="s">
        <v>1005</v>
      </c>
      <c r="K8" s="27">
        <v>5558</v>
      </c>
      <c r="L8" s="179">
        <v>0</v>
      </c>
      <c r="M8" s="178" t="s">
        <v>1008</v>
      </c>
      <c r="N8" s="27" t="s">
        <v>1005</v>
      </c>
      <c r="O8" s="182" t="s">
        <v>1009</v>
      </c>
      <c r="P8" s="159"/>
      <c r="Q8" s="160"/>
      <c r="R8" s="161"/>
    </row>
    <row r="9" spans="1:20">
      <c r="B9" s="186" t="s">
        <v>1306</v>
      </c>
      <c r="C9" s="175" t="s">
        <v>2382</v>
      </c>
      <c r="D9" s="176" t="s">
        <v>2383</v>
      </c>
      <c r="E9" s="177" t="s">
        <v>1303</v>
      </c>
      <c r="F9" s="175">
        <f>LEN(E9)</f>
        <v>13</v>
      </c>
      <c r="G9" s="175" t="str">
        <f>MID(E9,2,F9-2)</f>
        <v>Springfield</v>
      </c>
      <c r="I9" s="178" t="s">
        <v>603</v>
      </c>
      <c r="J9" s="27" t="s">
        <v>2383</v>
      </c>
      <c r="K9" s="27">
        <v>333</v>
      </c>
      <c r="L9" s="179">
        <v>6979</v>
      </c>
      <c r="M9" s="178" t="s">
        <v>711</v>
      </c>
      <c r="N9" s="27" t="s">
        <v>644</v>
      </c>
      <c r="O9" s="182" t="s">
        <v>712</v>
      </c>
      <c r="P9" s="26"/>
      <c r="Q9" s="27"/>
      <c r="R9" s="183"/>
      <c r="S9" s="27"/>
      <c r="T9" s="27"/>
    </row>
    <row r="10" spans="1:20">
      <c r="B10" s="186" t="s">
        <v>1307</v>
      </c>
      <c r="C10" s="175" t="s">
        <v>2382</v>
      </c>
      <c r="D10" s="176" t="s">
        <v>2383</v>
      </c>
      <c r="E10" s="177" t="s">
        <v>1303</v>
      </c>
      <c r="F10" s="175">
        <f t="shared" ref="F10:F73" si="1">LEN(E10)</f>
        <v>13</v>
      </c>
      <c r="G10" s="175" t="str">
        <f t="shared" ref="G10:G73" si="2">MID(E10,2,F10-2)</f>
        <v>Springfield</v>
      </c>
      <c r="I10" s="178" t="s">
        <v>714</v>
      </c>
      <c r="J10" s="27" t="s">
        <v>644</v>
      </c>
      <c r="K10" s="27">
        <v>677</v>
      </c>
      <c r="L10" s="179">
        <v>6151</v>
      </c>
      <c r="M10" s="178" t="s">
        <v>711</v>
      </c>
      <c r="N10" s="27" t="s">
        <v>644</v>
      </c>
      <c r="O10" s="182" t="s">
        <v>712</v>
      </c>
    </row>
    <row r="11" spans="1:20">
      <c r="B11" s="186" t="s">
        <v>2544</v>
      </c>
      <c r="C11" s="175" t="s">
        <v>2382</v>
      </c>
      <c r="D11" s="176" t="s">
        <v>2383</v>
      </c>
      <c r="E11" s="177" t="s">
        <v>2545</v>
      </c>
      <c r="F11" s="175">
        <f t="shared" si="1"/>
        <v>12</v>
      </c>
      <c r="G11" s="175" t="str">
        <f t="shared" si="2"/>
        <v>Pittsfield</v>
      </c>
      <c r="I11" s="178" t="s">
        <v>409</v>
      </c>
      <c r="J11" s="27" t="s">
        <v>408</v>
      </c>
      <c r="K11" s="27">
        <v>507</v>
      </c>
      <c r="L11" s="179">
        <v>6894</v>
      </c>
      <c r="M11" s="180" t="s">
        <v>410</v>
      </c>
      <c r="N11" s="181" t="s">
        <v>408</v>
      </c>
      <c r="O11" s="182" t="s">
        <v>411</v>
      </c>
    </row>
    <row r="12" spans="1:20">
      <c r="B12" s="186" t="s">
        <v>2121</v>
      </c>
      <c r="C12" s="175" t="s">
        <v>2382</v>
      </c>
      <c r="D12" s="176" t="s">
        <v>2383</v>
      </c>
      <c r="E12" s="177" t="s">
        <v>2122</v>
      </c>
      <c r="F12" s="175">
        <f t="shared" si="1"/>
        <v>12</v>
      </c>
      <c r="G12" s="175" t="str">
        <f t="shared" si="2"/>
        <v>Greenfield</v>
      </c>
      <c r="I12" s="178" t="s">
        <v>603</v>
      </c>
      <c r="J12" s="27" t="s">
        <v>2383</v>
      </c>
      <c r="K12" s="27">
        <v>333</v>
      </c>
      <c r="L12" s="179">
        <v>6979</v>
      </c>
      <c r="M12" s="180" t="s">
        <v>604</v>
      </c>
      <c r="N12" s="181" t="s">
        <v>2383</v>
      </c>
      <c r="O12" s="182" t="s">
        <v>605</v>
      </c>
    </row>
    <row r="13" spans="1:20">
      <c r="B13" s="186" t="s">
        <v>707</v>
      </c>
      <c r="C13" s="175" t="s">
        <v>2382</v>
      </c>
      <c r="D13" s="176" t="s">
        <v>2383</v>
      </c>
      <c r="E13" s="177" t="s">
        <v>708</v>
      </c>
      <c r="F13" s="175">
        <f t="shared" si="1"/>
        <v>11</v>
      </c>
      <c r="G13" s="175" t="str">
        <f t="shared" si="2"/>
        <v>Worcester</v>
      </c>
      <c r="I13" s="178" t="s">
        <v>603</v>
      </c>
      <c r="J13" s="27" t="s">
        <v>2383</v>
      </c>
      <c r="K13" s="27">
        <v>333</v>
      </c>
      <c r="L13" s="179">
        <v>6979</v>
      </c>
      <c r="M13" s="180" t="s">
        <v>604</v>
      </c>
      <c r="N13" s="181" t="s">
        <v>2383</v>
      </c>
      <c r="O13" s="182" t="s">
        <v>605</v>
      </c>
      <c r="S13" s="160"/>
      <c r="T13" s="160"/>
    </row>
    <row r="14" spans="1:20">
      <c r="B14" s="186" t="s">
        <v>709</v>
      </c>
      <c r="C14" s="175" t="s">
        <v>2382</v>
      </c>
      <c r="D14" s="176" t="s">
        <v>2383</v>
      </c>
      <c r="E14" s="177" t="s">
        <v>708</v>
      </c>
      <c r="F14" s="175">
        <f t="shared" si="1"/>
        <v>11</v>
      </c>
      <c r="G14" s="175" t="str">
        <f t="shared" si="2"/>
        <v>Worcester</v>
      </c>
      <c r="I14" s="178" t="s">
        <v>603</v>
      </c>
      <c r="J14" s="27" t="s">
        <v>2383</v>
      </c>
      <c r="K14" s="27">
        <v>333</v>
      </c>
      <c r="L14" s="179">
        <v>6979</v>
      </c>
      <c r="M14" s="180" t="s">
        <v>604</v>
      </c>
      <c r="N14" s="181" t="s">
        <v>2383</v>
      </c>
      <c r="O14" s="182" t="s">
        <v>605</v>
      </c>
      <c r="S14" s="27"/>
      <c r="T14" s="27"/>
    </row>
    <row r="15" spans="1:20">
      <c r="B15" s="186" t="s">
        <v>710</v>
      </c>
      <c r="C15" s="175" t="s">
        <v>2382</v>
      </c>
      <c r="D15" s="176" t="s">
        <v>2383</v>
      </c>
      <c r="E15" s="177" t="s">
        <v>708</v>
      </c>
      <c r="F15" s="175">
        <f t="shared" si="1"/>
        <v>11</v>
      </c>
      <c r="G15" s="175" t="str">
        <f t="shared" si="2"/>
        <v>Worcester</v>
      </c>
      <c r="I15" s="178" t="s">
        <v>603</v>
      </c>
      <c r="J15" s="27" t="s">
        <v>2383</v>
      </c>
      <c r="K15" s="27">
        <v>333</v>
      </c>
      <c r="L15" s="179">
        <v>6979</v>
      </c>
      <c r="M15" s="180" t="s">
        <v>604</v>
      </c>
      <c r="N15" s="181" t="s">
        <v>2383</v>
      </c>
      <c r="O15" s="182" t="s">
        <v>605</v>
      </c>
      <c r="S15" s="27"/>
      <c r="T15" s="27"/>
    </row>
    <row r="16" spans="1:20">
      <c r="B16" s="186" t="s">
        <v>2039</v>
      </c>
      <c r="C16" s="175" t="s">
        <v>2382</v>
      </c>
      <c r="D16" s="176" t="s">
        <v>2383</v>
      </c>
      <c r="E16" s="177" t="s">
        <v>2040</v>
      </c>
      <c r="F16" s="175">
        <f t="shared" si="1"/>
        <v>12</v>
      </c>
      <c r="G16" s="175" t="str">
        <f t="shared" si="2"/>
        <v>Framingham</v>
      </c>
      <c r="I16" s="178" t="s">
        <v>603</v>
      </c>
      <c r="J16" s="27" t="s">
        <v>2383</v>
      </c>
      <c r="K16" s="27">
        <v>333</v>
      </c>
      <c r="L16" s="179">
        <v>6979</v>
      </c>
      <c r="M16" s="180" t="s">
        <v>604</v>
      </c>
      <c r="N16" s="181" t="s">
        <v>2383</v>
      </c>
      <c r="O16" s="182" t="s">
        <v>605</v>
      </c>
      <c r="S16" s="27"/>
      <c r="T16" s="27"/>
    </row>
    <row r="17" spans="2:20">
      <c r="B17" s="186" t="s">
        <v>701</v>
      </c>
      <c r="C17" s="175" t="s">
        <v>2382</v>
      </c>
      <c r="D17" s="176" t="s">
        <v>2383</v>
      </c>
      <c r="E17" s="177" t="s">
        <v>702</v>
      </c>
      <c r="F17" s="175">
        <f t="shared" si="1"/>
        <v>8</v>
      </c>
      <c r="G17" s="175" t="str">
        <f t="shared" si="2"/>
        <v>Woburn</v>
      </c>
      <c r="I17" s="178" t="s">
        <v>603</v>
      </c>
      <c r="J17" s="27" t="s">
        <v>2383</v>
      </c>
      <c r="K17" s="27">
        <v>333</v>
      </c>
      <c r="L17" s="179">
        <v>6979</v>
      </c>
      <c r="M17" s="180" t="s">
        <v>604</v>
      </c>
      <c r="N17" s="181" t="s">
        <v>2383</v>
      </c>
      <c r="O17" s="182" t="s">
        <v>605</v>
      </c>
      <c r="S17" s="27"/>
      <c r="T17" s="27"/>
    </row>
    <row r="18" spans="2:20">
      <c r="B18" s="186" t="s">
        <v>2226</v>
      </c>
      <c r="C18" s="175" t="s">
        <v>2382</v>
      </c>
      <c r="D18" s="176" t="s">
        <v>2383</v>
      </c>
      <c r="E18" s="177" t="s">
        <v>2227</v>
      </c>
      <c r="F18" s="175">
        <f t="shared" si="1"/>
        <v>6</v>
      </c>
      <c r="G18" s="175" t="str">
        <f t="shared" si="2"/>
        <v>Lynn</v>
      </c>
      <c r="I18" s="178" t="s">
        <v>607</v>
      </c>
      <c r="J18" s="27" t="s">
        <v>2383</v>
      </c>
      <c r="K18" s="27">
        <v>678</v>
      </c>
      <c r="L18" s="179">
        <v>5641</v>
      </c>
      <c r="M18" s="180" t="s">
        <v>604</v>
      </c>
      <c r="N18" s="181" t="s">
        <v>2383</v>
      </c>
      <c r="O18" s="182" t="s">
        <v>605</v>
      </c>
      <c r="S18" s="27"/>
      <c r="T18" s="27"/>
    </row>
    <row r="19" spans="2:20">
      <c r="B19" s="186" t="s">
        <v>2381</v>
      </c>
      <c r="C19" s="175" t="s">
        <v>2382</v>
      </c>
      <c r="D19" s="176" t="s">
        <v>2383</v>
      </c>
      <c r="E19" s="177" t="s">
        <v>2384</v>
      </c>
      <c r="F19" s="175">
        <f t="shared" si="1"/>
        <v>8</v>
      </c>
      <c r="G19" s="175" t="str">
        <f t="shared" si="2"/>
        <v>Boston</v>
      </c>
      <c r="H19" s="175"/>
      <c r="I19" s="178" t="s">
        <v>603</v>
      </c>
      <c r="J19" s="27" t="s">
        <v>2383</v>
      </c>
      <c r="K19" s="27">
        <v>333</v>
      </c>
      <c r="L19" s="179">
        <v>6979</v>
      </c>
      <c r="M19" s="180" t="s">
        <v>604</v>
      </c>
      <c r="N19" s="181" t="s">
        <v>2383</v>
      </c>
      <c r="O19" s="182" t="s">
        <v>605</v>
      </c>
      <c r="S19" s="27"/>
      <c r="T19" s="27"/>
    </row>
    <row r="20" spans="2:20">
      <c r="B20" s="186" t="s">
        <v>606</v>
      </c>
      <c r="C20" s="175" t="s">
        <v>2382</v>
      </c>
      <c r="D20" s="176" t="s">
        <v>2383</v>
      </c>
      <c r="E20" s="177" t="s">
        <v>2384</v>
      </c>
      <c r="F20" s="175">
        <f t="shared" si="1"/>
        <v>8</v>
      </c>
      <c r="G20" s="175" t="str">
        <f t="shared" si="2"/>
        <v>Boston</v>
      </c>
      <c r="H20" s="175"/>
      <c r="I20" s="178" t="s">
        <v>607</v>
      </c>
      <c r="J20" s="27" t="s">
        <v>2383</v>
      </c>
      <c r="K20" s="27">
        <v>678</v>
      </c>
      <c r="L20" s="179">
        <v>5641</v>
      </c>
      <c r="M20" s="180" t="s">
        <v>604</v>
      </c>
      <c r="N20" s="181" t="s">
        <v>2383</v>
      </c>
      <c r="O20" s="182" t="s">
        <v>605</v>
      </c>
      <c r="S20" s="27"/>
      <c r="T20" s="27"/>
    </row>
    <row r="21" spans="2:20">
      <c r="B21" s="186" t="s">
        <v>608</v>
      </c>
      <c r="C21" s="175" t="s">
        <v>2382</v>
      </c>
      <c r="D21" s="176" t="s">
        <v>2383</v>
      </c>
      <c r="E21" s="177" t="s">
        <v>2384</v>
      </c>
      <c r="F21" s="175">
        <f t="shared" si="1"/>
        <v>8</v>
      </c>
      <c r="G21" s="175" t="str">
        <f t="shared" si="2"/>
        <v>Boston</v>
      </c>
      <c r="H21" s="175"/>
      <c r="I21" s="178" t="s">
        <v>607</v>
      </c>
      <c r="J21" s="27" t="s">
        <v>2383</v>
      </c>
      <c r="K21" s="27">
        <v>678</v>
      </c>
      <c r="L21" s="179">
        <v>5641</v>
      </c>
      <c r="M21" s="180" t="s">
        <v>604</v>
      </c>
      <c r="N21" s="181" t="s">
        <v>2383</v>
      </c>
      <c r="O21" s="182" t="s">
        <v>605</v>
      </c>
      <c r="S21" s="27"/>
      <c r="T21" s="27"/>
    </row>
    <row r="22" spans="2:20">
      <c r="B22" s="186" t="s">
        <v>651</v>
      </c>
      <c r="C22" s="175" t="s">
        <v>2382</v>
      </c>
      <c r="D22" s="176" t="s">
        <v>2383</v>
      </c>
      <c r="E22" s="177" t="s">
        <v>2351</v>
      </c>
      <c r="F22" s="175">
        <f t="shared" si="1"/>
        <v>10</v>
      </c>
      <c r="G22" s="175" t="str">
        <f t="shared" si="2"/>
        <v>Brockton</v>
      </c>
      <c r="H22" s="175"/>
      <c r="I22" s="178" t="s">
        <v>2352</v>
      </c>
      <c r="J22" s="27" t="s">
        <v>2353</v>
      </c>
      <c r="K22" s="27">
        <v>606</v>
      </c>
      <c r="L22" s="179">
        <v>5884</v>
      </c>
      <c r="M22" s="180" t="s">
        <v>2354</v>
      </c>
      <c r="N22" s="181" t="s">
        <v>2353</v>
      </c>
      <c r="O22" s="182" t="s">
        <v>2355</v>
      </c>
      <c r="S22" s="27"/>
      <c r="T22" s="27"/>
    </row>
    <row r="23" spans="2:20">
      <c r="B23" s="186" t="s">
        <v>2356</v>
      </c>
      <c r="C23" s="175" t="s">
        <v>2382</v>
      </c>
      <c r="D23" s="176" t="s">
        <v>2383</v>
      </c>
      <c r="E23" s="177" t="s">
        <v>2351</v>
      </c>
      <c r="F23" s="175">
        <f t="shared" si="1"/>
        <v>10</v>
      </c>
      <c r="G23" s="175" t="str">
        <f t="shared" si="2"/>
        <v>Brockton</v>
      </c>
      <c r="H23" s="175"/>
      <c r="I23" s="178" t="s">
        <v>607</v>
      </c>
      <c r="J23" s="27" t="s">
        <v>2383</v>
      </c>
      <c r="K23" s="27">
        <v>678</v>
      </c>
      <c r="L23" s="179">
        <v>5641</v>
      </c>
      <c r="M23" s="180" t="s">
        <v>604</v>
      </c>
      <c r="N23" s="181" t="s">
        <v>2383</v>
      </c>
      <c r="O23" s="182" t="s">
        <v>605</v>
      </c>
      <c r="S23" s="27"/>
      <c r="T23" s="27"/>
    </row>
    <row r="24" spans="2:20">
      <c r="B24" s="186" t="s">
        <v>1419</v>
      </c>
      <c r="C24" s="175" t="s">
        <v>2382</v>
      </c>
      <c r="D24" s="176" t="s">
        <v>2383</v>
      </c>
      <c r="E24" s="177" t="s">
        <v>1420</v>
      </c>
      <c r="F24" s="175">
        <f t="shared" si="1"/>
        <v>14</v>
      </c>
      <c r="G24" s="175" t="str">
        <f t="shared" si="2"/>
        <v>Buzzards Bay</v>
      </c>
      <c r="H24" s="175"/>
      <c r="I24" s="178" t="s">
        <v>2352</v>
      </c>
      <c r="J24" s="27" t="s">
        <v>2353</v>
      </c>
      <c r="K24" s="27">
        <v>606</v>
      </c>
      <c r="L24" s="179">
        <v>5884</v>
      </c>
      <c r="M24" s="180" t="s">
        <v>2354</v>
      </c>
      <c r="N24" s="181" t="s">
        <v>2353</v>
      </c>
      <c r="O24" s="182" t="s">
        <v>2355</v>
      </c>
      <c r="S24" s="27"/>
      <c r="T24" s="27"/>
    </row>
    <row r="25" spans="2:20">
      <c r="B25" s="186" t="s">
        <v>778</v>
      </c>
      <c r="C25" s="175" t="s">
        <v>2382</v>
      </c>
      <c r="D25" s="176" t="s">
        <v>2383</v>
      </c>
      <c r="E25" s="177" t="s">
        <v>60</v>
      </c>
      <c r="F25" s="175">
        <f t="shared" si="1"/>
        <v>9</v>
      </c>
      <c r="G25" s="175" t="str">
        <f t="shared" si="2"/>
        <v>Hyannis</v>
      </c>
      <c r="H25" s="175"/>
      <c r="I25" s="178" t="s">
        <v>2352</v>
      </c>
      <c r="J25" s="27" t="s">
        <v>2353</v>
      </c>
      <c r="K25" s="27">
        <v>606</v>
      </c>
      <c r="L25" s="179">
        <v>5884</v>
      </c>
      <c r="M25" s="180" t="s">
        <v>2354</v>
      </c>
      <c r="N25" s="181" t="s">
        <v>2353</v>
      </c>
      <c r="O25" s="182" t="s">
        <v>2355</v>
      </c>
      <c r="S25" s="27"/>
      <c r="T25" s="27"/>
    </row>
    <row r="26" spans="2:20">
      <c r="B26" s="186" t="s">
        <v>1119</v>
      </c>
      <c r="C26" s="175" t="s">
        <v>2382</v>
      </c>
      <c r="D26" s="176" t="s">
        <v>2383</v>
      </c>
      <c r="E26" s="177" t="s">
        <v>1120</v>
      </c>
      <c r="F26" s="175">
        <f t="shared" si="1"/>
        <v>13</v>
      </c>
      <c r="G26" s="175" t="str">
        <f t="shared" si="2"/>
        <v>New Bedford</v>
      </c>
      <c r="H26" s="175"/>
      <c r="I26" s="178" t="s">
        <v>2352</v>
      </c>
      <c r="J26" s="27" t="s">
        <v>2353</v>
      </c>
      <c r="K26" s="27">
        <v>606</v>
      </c>
      <c r="L26" s="179">
        <v>5884</v>
      </c>
      <c r="M26" s="180" t="s">
        <v>2354</v>
      </c>
      <c r="N26" s="181" t="s">
        <v>2353</v>
      </c>
      <c r="O26" s="182" t="s">
        <v>2355</v>
      </c>
      <c r="S26" s="27"/>
      <c r="T26" s="27"/>
    </row>
    <row r="27" spans="2:20">
      <c r="B27" s="186" t="s">
        <v>2583</v>
      </c>
      <c r="C27" s="175" t="s">
        <v>2584</v>
      </c>
      <c r="D27" s="176" t="s">
        <v>2353</v>
      </c>
      <c r="E27" s="177" t="s">
        <v>2585</v>
      </c>
      <c r="F27" s="175">
        <f t="shared" si="1"/>
        <v>12</v>
      </c>
      <c r="G27" s="175" t="str">
        <f t="shared" si="2"/>
        <v>Providence</v>
      </c>
      <c r="H27" s="175"/>
      <c r="I27" s="178" t="s">
        <v>603</v>
      </c>
      <c r="J27" s="27" t="s">
        <v>2383</v>
      </c>
      <c r="K27" s="27">
        <v>333</v>
      </c>
      <c r="L27" s="179">
        <v>6979</v>
      </c>
      <c r="M27" s="180" t="s">
        <v>2354</v>
      </c>
      <c r="N27" s="181" t="s">
        <v>2353</v>
      </c>
      <c r="O27" s="182" t="s">
        <v>2355</v>
      </c>
      <c r="S27" s="27"/>
      <c r="T27" s="27"/>
    </row>
    <row r="28" spans="2:20">
      <c r="B28" s="186" t="s">
        <v>2586</v>
      </c>
      <c r="C28" s="175" t="s">
        <v>2584</v>
      </c>
      <c r="D28" s="176" t="s">
        <v>2353</v>
      </c>
      <c r="E28" s="177" t="s">
        <v>2585</v>
      </c>
      <c r="F28" s="175">
        <f t="shared" si="1"/>
        <v>12</v>
      </c>
      <c r="G28" s="175" t="str">
        <f t="shared" si="2"/>
        <v>Providence</v>
      </c>
      <c r="H28" s="175"/>
      <c r="I28" s="178" t="s">
        <v>2352</v>
      </c>
      <c r="J28" s="27" t="s">
        <v>2353</v>
      </c>
      <c r="K28" s="27">
        <v>606</v>
      </c>
      <c r="L28" s="179">
        <v>5884</v>
      </c>
      <c r="M28" s="180" t="s">
        <v>2354</v>
      </c>
      <c r="N28" s="181" t="s">
        <v>2353</v>
      </c>
      <c r="O28" s="182" t="s">
        <v>2355</v>
      </c>
      <c r="S28" s="27"/>
      <c r="T28" s="27"/>
    </row>
    <row r="29" spans="2:20">
      <c r="B29" s="186" t="s">
        <v>2241</v>
      </c>
      <c r="C29" s="175" t="s">
        <v>262</v>
      </c>
      <c r="D29" s="176" t="s">
        <v>263</v>
      </c>
      <c r="E29" s="177" t="s">
        <v>2242</v>
      </c>
      <c r="F29" s="175">
        <f t="shared" si="1"/>
        <v>12</v>
      </c>
      <c r="G29" s="175" t="str">
        <f t="shared" si="2"/>
        <v>Manchester</v>
      </c>
      <c r="H29" s="175"/>
      <c r="I29" s="178" t="s">
        <v>603</v>
      </c>
      <c r="J29" s="27" t="s">
        <v>2383</v>
      </c>
      <c r="K29" s="27">
        <v>333</v>
      </c>
      <c r="L29" s="179">
        <v>6979</v>
      </c>
      <c r="M29" s="180" t="s">
        <v>266</v>
      </c>
      <c r="N29" s="181" t="s">
        <v>263</v>
      </c>
      <c r="O29" s="182" t="s">
        <v>267</v>
      </c>
      <c r="S29" s="27"/>
      <c r="T29" s="27"/>
    </row>
    <row r="30" spans="2:20">
      <c r="B30" s="186" t="s">
        <v>2243</v>
      </c>
      <c r="C30" s="175" t="s">
        <v>262</v>
      </c>
      <c r="D30" s="176" t="s">
        <v>263</v>
      </c>
      <c r="E30" s="177" t="s">
        <v>2242</v>
      </c>
      <c r="F30" s="175">
        <f t="shared" si="1"/>
        <v>12</v>
      </c>
      <c r="G30" s="175" t="str">
        <f t="shared" si="2"/>
        <v>Manchester</v>
      </c>
      <c r="H30" s="175"/>
      <c r="I30" s="178" t="s">
        <v>265</v>
      </c>
      <c r="J30" s="27" t="s">
        <v>263</v>
      </c>
      <c r="K30" s="27">
        <v>328</v>
      </c>
      <c r="L30" s="179">
        <v>7554</v>
      </c>
      <c r="M30" s="180" t="s">
        <v>266</v>
      </c>
      <c r="N30" s="181" t="s">
        <v>263</v>
      </c>
      <c r="O30" s="182" t="s">
        <v>267</v>
      </c>
      <c r="S30" s="27"/>
      <c r="T30" s="27"/>
    </row>
    <row r="31" spans="2:20">
      <c r="B31" s="186" t="s">
        <v>2546</v>
      </c>
      <c r="C31" s="175" t="s">
        <v>262</v>
      </c>
      <c r="D31" s="176" t="s">
        <v>263</v>
      </c>
      <c r="E31" s="177" t="s">
        <v>2545</v>
      </c>
      <c r="F31" s="175">
        <f t="shared" si="1"/>
        <v>12</v>
      </c>
      <c r="G31" s="175" t="str">
        <f t="shared" si="2"/>
        <v>Pittsfield</v>
      </c>
      <c r="H31" s="175"/>
      <c r="I31" s="178" t="s">
        <v>265</v>
      </c>
      <c r="J31" s="27" t="s">
        <v>263</v>
      </c>
      <c r="K31" s="27">
        <v>328</v>
      </c>
      <c r="L31" s="179">
        <v>7554</v>
      </c>
      <c r="M31" s="180" t="s">
        <v>266</v>
      </c>
      <c r="N31" s="181" t="s">
        <v>263</v>
      </c>
      <c r="O31" s="182" t="s">
        <v>267</v>
      </c>
    </row>
    <row r="32" spans="2:20">
      <c r="B32" s="186" t="s">
        <v>597</v>
      </c>
      <c r="C32" s="175" t="s">
        <v>262</v>
      </c>
      <c r="D32" s="176" t="s">
        <v>263</v>
      </c>
      <c r="E32" s="177" t="s">
        <v>593</v>
      </c>
      <c r="F32" s="175">
        <f t="shared" si="1"/>
        <v>9</v>
      </c>
      <c r="G32" s="175" t="str">
        <f t="shared" si="2"/>
        <v>Concord</v>
      </c>
      <c r="H32" s="175"/>
      <c r="I32" s="178" t="s">
        <v>265</v>
      </c>
      <c r="J32" s="27" t="s">
        <v>263</v>
      </c>
      <c r="K32" s="27">
        <v>328</v>
      </c>
      <c r="L32" s="179">
        <v>7554</v>
      </c>
      <c r="M32" s="180" t="s">
        <v>266</v>
      </c>
      <c r="N32" s="181" t="s">
        <v>263</v>
      </c>
      <c r="O32" s="182" t="s">
        <v>267</v>
      </c>
      <c r="S32" s="27"/>
      <c r="T32" s="27"/>
    </row>
    <row r="33" spans="2:20">
      <c r="B33" s="186" t="s">
        <v>917</v>
      </c>
      <c r="C33" s="175" t="s">
        <v>262</v>
      </c>
      <c r="D33" s="176" t="s">
        <v>263</v>
      </c>
      <c r="E33" s="177" t="s">
        <v>918</v>
      </c>
      <c r="F33" s="175">
        <f t="shared" si="1"/>
        <v>7</v>
      </c>
      <c r="G33" s="175" t="str">
        <f t="shared" si="2"/>
        <v>Keene</v>
      </c>
      <c r="H33" s="175"/>
      <c r="I33" s="178" t="s">
        <v>603</v>
      </c>
      <c r="J33" s="27" t="s">
        <v>2383</v>
      </c>
      <c r="K33" s="27">
        <v>333</v>
      </c>
      <c r="L33" s="179">
        <v>6979</v>
      </c>
      <c r="M33" s="180" t="s">
        <v>266</v>
      </c>
      <c r="N33" s="181" t="s">
        <v>263</v>
      </c>
      <c r="O33" s="182" t="s">
        <v>267</v>
      </c>
    </row>
    <row r="34" spans="2:20">
      <c r="B34" s="186" t="s">
        <v>2197</v>
      </c>
      <c r="C34" s="175" t="s">
        <v>262</v>
      </c>
      <c r="D34" s="176" t="s">
        <v>263</v>
      </c>
      <c r="E34" s="177" t="s">
        <v>2198</v>
      </c>
      <c r="F34" s="175">
        <f t="shared" si="1"/>
        <v>11</v>
      </c>
      <c r="G34" s="175" t="str">
        <f t="shared" si="2"/>
        <v>Littleton</v>
      </c>
      <c r="H34" s="175"/>
      <c r="I34" s="178" t="s">
        <v>1401</v>
      </c>
      <c r="J34" s="27" t="s">
        <v>1684</v>
      </c>
      <c r="K34" s="27">
        <v>388</v>
      </c>
      <c r="L34" s="179">
        <v>7771</v>
      </c>
      <c r="M34" s="180" t="s">
        <v>1402</v>
      </c>
      <c r="N34" s="181" t="s">
        <v>1684</v>
      </c>
      <c r="O34" s="182" t="s">
        <v>1403</v>
      </c>
      <c r="S34" s="27"/>
      <c r="T34" s="27"/>
    </row>
    <row r="35" spans="2:20">
      <c r="B35" s="186" t="s">
        <v>261</v>
      </c>
      <c r="C35" s="175" t="s">
        <v>262</v>
      </c>
      <c r="D35" s="176" t="s">
        <v>263</v>
      </c>
      <c r="E35" s="177" t="s">
        <v>264</v>
      </c>
      <c r="F35" s="175">
        <f t="shared" si="1"/>
        <v>9</v>
      </c>
      <c r="G35" s="175" t="str">
        <f t="shared" si="2"/>
        <v>Acworth</v>
      </c>
      <c r="H35" s="175"/>
      <c r="I35" s="178" t="s">
        <v>265</v>
      </c>
      <c r="J35" s="27" t="s">
        <v>263</v>
      </c>
      <c r="K35" s="27">
        <v>328</v>
      </c>
      <c r="L35" s="179">
        <v>7554</v>
      </c>
      <c r="M35" s="180" t="s">
        <v>266</v>
      </c>
      <c r="N35" s="181" t="s">
        <v>263</v>
      </c>
      <c r="O35" s="182" t="s">
        <v>267</v>
      </c>
      <c r="S35" s="27"/>
      <c r="T35" s="27"/>
    </row>
    <row r="36" spans="2:20">
      <c r="B36" s="186" t="s">
        <v>2495</v>
      </c>
      <c r="C36" s="175" t="s">
        <v>262</v>
      </c>
      <c r="D36" s="176" t="s">
        <v>263</v>
      </c>
      <c r="E36" s="177" t="s">
        <v>2496</v>
      </c>
      <c r="F36" s="175">
        <f t="shared" si="1"/>
        <v>11</v>
      </c>
      <c r="G36" s="175" t="str">
        <f t="shared" si="2"/>
        <v>Claremont</v>
      </c>
      <c r="H36" s="175"/>
      <c r="I36" s="178" t="s">
        <v>1401</v>
      </c>
      <c r="J36" s="27" t="s">
        <v>1684</v>
      </c>
      <c r="K36" s="27">
        <v>388</v>
      </c>
      <c r="L36" s="179">
        <v>7771</v>
      </c>
      <c r="M36" s="180" t="s">
        <v>1402</v>
      </c>
      <c r="N36" s="181" t="s">
        <v>1684</v>
      </c>
      <c r="O36" s="182" t="s">
        <v>1403</v>
      </c>
    </row>
    <row r="37" spans="2:20">
      <c r="B37" s="186" t="s">
        <v>2571</v>
      </c>
      <c r="C37" s="175" t="s">
        <v>262</v>
      </c>
      <c r="D37" s="176" t="s">
        <v>263</v>
      </c>
      <c r="E37" s="177" t="s">
        <v>2572</v>
      </c>
      <c r="F37" s="175">
        <f t="shared" si="1"/>
        <v>12</v>
      </c>
      <c r="G37" s="175" t="str">
        <f t="shared" si="2"/>
        <v>Portsmouth</v>
      </c>
      <c r="H37" s="175"/>
      <c r="I37" s="178" t="s">
        <v>1619</v>
      </c>
      <c r="J37" s="27" t="s">
        <v>1617</v>
      </c>
      <c r="K37" s="27">
        <v>268</v>
      </c>
      <c r="L37" s="179">
        <v>7378</v>
      </c>
      <c r="M37" s="180" t="s">
        <v>1620</v>
      </c>
      <c r="N37" s="181" t="s">
        <v>1617</v>
      </c>
      <c r="O37" s="182" t="s">
        <v>1621</v>
      </c>
      <c r="S37" s="27"/>
      <c r="T37" s="27"/>
    </row>
    <row r="38" spans="2:20">
      <c r="B38" s="186" t="s">
        <v>939</v>
      </c>
      <c r="C38" s="175" t="s">
        <v>1616</v>
      </c>
      <c r="D38" s="176" t="s">
        <v>1617</v>
      </c>
      <c r="E38" s="177" t="s">
        <v>940</v>
      </c>
      <c r="F38" s="175">
        <f t="shared" si="1"/>
        <v>9</v>
      </c>
      <c r="G38" s="175" t="str">
        <f t="shared" si="2"/>
        <v>Kittery</v>
      </c>
      <c r="H38" s="175"/>
      <c r="I38" s="178" t="s">
        <v>1619</v>
      </c>
      <c r="J38" s="27" t="s">
        <v>1617</v>
      </c>
      <c r="K38" s="27">
        <v>268</v>
      </c>
      <c r="L38" s="179">
        <v>7378</v>
      </c>
      <c r="M38" s="180" t="s">
        <v>1620</v>
      </c>
      <c r="N38" s="181" t="s">
        <v>1617</v>
      </c>
      <c r="O38" s="182" t="s">
        <v>1621</v>
      </c>
      <c r="S38" s="27"/>
      <c r="T38" s="27"/>
    </row>
    <row r="39" spans="2:20">
      <c r="B39" s="186" t="s">
        <v>2564</v>
      </c>
      <c r="C39" s="175" t="s">
        <v>1616</v>
      </c>
      <c r="D39" s="176" t="s">
        <v>1617</v>
      </c>
      <c r="E39" s="177" t="s">
        <v>2565</v>
      </c>
      <c r="F39" s="175">
        <f t="shared" si="1"/>
        <v>10</v>
      </c>
      <c r="G39" s="175" t="str">
        <f t="shared" si="2"/>
        <v>Portland</v>
      </c>
      <c r="H39" s="175"/>
      <c r="I39" s="178" t="s">
        <v>1619</v>
      </c>
      <c r="J39" s="27" t="s">
        <v>1617</v>
      </c>
      <c r="K39" s="27">
        <v>268</v>
      </c>
      <c r="L39" s="179">
        <v>7378</v>
      </c>
      <c r="M39" s="180" t="s">
        <v>1620</v>
      </c>
      <c r="N39" s="181" t="s">
        <v>1617</v>
      </c>
      <c r="O39" s="182" t="s">
        <v>1621</v>
      </c>
    </row>
    <row r="40" spans="2:20">
      <c r="B40" s="186" t="s">
        <v>2566</v>
      </c>
      <c r="C40" s="175" t="s">
        <v>1616</v>
      </c>
      <c r="D40" s="176" t="s">
        <v>1617</v>
      </c>
      <c r="E40" s="177" t="s">
        <v>2565</v>
      </c>
      <c r="F40" s="175">
        <f t="shared" si="1"/>
        <v>10</v>
      </c>
      <c r="G40" s="175" t="str">
        <f t="shared" si="2"/>
        <v>Portland</v>
      </c>
      <c r="H40" s="175"/>
      <c r="I40" s="178" t="s">
        <v>1619</v>
      </c>
      <c r="J40" s="27" t="s">
        <v>1617</v>
      </c>
      <c r="K40" s="27">
        <v>268</v>
      </c>
      <c r="L40" s="179">
        <v>7378</v>
      </c>
      <c r="M40" s="180" t="s">
        <v>1620</v>
      </c>
      <c r="N40" s="181" t="s">
        <v>1617</v>
      </c>
      <c r="O40" s="182" t="s">
        <v>1621</v>
      </c>
      <c r="S40" s="27"/>
      <c r="T40" s="27"/>
    </row>
    <row r="41" spans="2:20">
      <c r="B41" s="186" t="s">
        <v>1615</v>
      </c>
      <c r="C41" s="175" t="s">
        <v>1616</v>
      </c>
      <c r="D41" s="176" t="s">
        <v>1617</v>
      </c>
      <c r="E41" s="177" t="s">
        <v>1618</v>
      </c>
      <c r="F41" s="175">
        <f t="shared" si="1"/>
        <v>8</v>
      </c>
      <c r="G41" s="175" t="str">
        <f t="shared" si="2"/>
        <v>Auburn</v>
      </c>
      <c r="H41" s="175"/>
      <c r="I41" s="178" t="s">
        <v>1619</v>
      </c>
      <c r="J41" s="27" t="s">
        <v>1617</v>
      </c>
      <c r="K41" s="27">
        <v>268</v>
      </c>
      <c r="L41" s="179">
        <v>7378</v>
      </c>
      <c r="M41" s="180" t="s">
        <v>1620</v>
      </c>
      <c r="N41" s="181" t="s">
        <v>1617</v>
      </c>
      <c r="O41" s="182" t="s">
        <v>1621</v>
      </c>
    </row>
    <row r="42" spans="2:20">
      <c r="B42" s="186" t="s">
        <v>1626</v>
      </c>
      <c r="C42" s="175" t="s">
        <v>1616</v>
      </c>
      <c r="D42" s="176" t="s">
        <v>1617</v>
      </c>
      <c r="E42" s="177" t="s">
        <v>1623</v>
      </c>
      <c r="F42" s="175">
        <f t="shared" si="1"/>
        <v>9</v>
      </c>
      <c r="G42" s="175" t="str">
        <f t="shared" si="2"/>
        <v>Augusta</v>
      </c>
      <c r="H42" s="175"/>
      <c r="I42" s="178" t="s">
        <v>1619</v>
      </c>
      <c r="J42" s="27" t="s">
        <v>1617</v>
      </c>
      <c r="K42" s="27">
        <v>268</v>
      </c>
      <c r="L42" s="179">
        <v>7378</v>
      </c>
      <c r="M42" s="180" t="s">
        <v>1620</v>
      </c>
      <c r="N42" s="181" t="s">
        <v>1617</v>
      </c>
      <c r="O42" s="182" t="s">
        <v>1621</v>
      </c>
      <c r="S42" s="27"/>
      <c r="T42" s="27"/>
    </row>
    <row r="43" spans="2:20">
      <c r="B43" s="186" t="s">
        <v>1647</v>
      </c>
      <c r="C43" s="175" t="s">
        <v>1616</v>
      </c>
      <c r="D43" s="176" t="s">
        <v>1617</v>
      </c>
      <c r="E43" s="177" t="s">
        <v>1648</v>
      </c>
      <c r="F43" s="175">
        <f t="shared" si="1"/>
        <v>8</v>
      </c>
      <c r="G43" s="175" t="str">
        <f t="shared" si="2"/>
        <v>Bangor</v>
      </c>
      <c r="H43" s="175"/>
      <c r="I43" s="178" t="s">
        <v>1619</v>
      </c>
      <c r="J43" s="27" t="s">
        <v>1617</v>
      </c>
      <c r="K43" s="27">
        <v>268</v>
      </c>
      <c r="L43" s="179">
        <v>7378</v>
      </c>
      <c r="M43" s="180" t="s">
        <v>1620</v>
      </c>
      <c r="N43" s="181" t="s">
        <v>1617</v>
      </c>
      <c r="O43" s="182" t="s">
        <v>1621</v>
      </c>
    </row>
    <row r="44" spans="2:20">
      <c r="B44" s="186" t="s">
        <v>1656</v>
      </c>
      <c r="C44" s="175" t="s">
        <v>1616</v>
      </c>
      <c r="D44" s="176" t="s">
        <v>1617</v>
      </c>
      <c r="E44" s="177" t="s">
        <v>1657</v>
      </c>
      <c r="F44" s="175">
        <f t="shared" si="1"/>
        <v>6</v>
      </c>
      <c r="G44" s="175" t="str">
        <f t="shared" si="2"/>
        <v>Bath</v>
      </c>
      <c r="H44" s="175"/>
      <c r="I44" s="178" t="s">
        <v>1619</v>
      </c>
      <c r="J44" s="27" t="s">
        <v>1617</v>
      </c>
      <c r="K44" s="27">
        <v>268</v>
      </c>
      <c r="L44" s="179">
        <v>7378</v>
      </c>
      <c r="M44" s="180" t="s">
        <v>1620</v>
      </c>
      <c r="N44" s="181" t="s">
        <v>1617</v>
      </c>
      <c r="O44" s="182" t="s">
        <v>1621</v>
      </c>
      <c r="S44" s="27"/>
      <c r="T44" s="27"/>
    </row>
    <row r="45" spans="2:20">
      <c r="B45" s="186" t="s">
        <v>1059</v>
      </c>
      <c r="C45" s="175" t="s">
        <v>1616</v>
      </c>
      <c r="D45" s="176" t="s">
        <v>1617</v>
      </c>
      <c r="E45" s="177" t="s">
        <v>1060</v>
      </c>
      <c r="F45" s="175">
        <f t="shared" si="1"/>
        <v>11</v>
      </c>
      <c r="G45" s="175" t="str">
        <f t="shared" si="2"/>
        <v>Ellsworth</v>
      </c>
      <c r="H45" s="175"/>
      <c r="I45" s="178" t="s">
        <v>1619</v>
      </c>
      <c r="J45" s="27" t="s">
        <v>1617</v>
      </c>
      <c r="K45" s="27">
        <v>268</v>
      </c>
      <c r="L45" s="179">
        <v>7378</v>
      </c>
      <c r="M45" s="180" t="s">
        <v>1620</v>
      </c>
      <c r="N45" s="181" t="s">
        <v>1617</v>
      </c>
      <c r="O45" s="182" t="s">
        <v>1621</v>
      </c>
    </row>
    <row r="46" spans="2:20">
      <c r="B46" s="186" t="s">
        <v>1449</v>
      </c>
      <c r="C46" s="175" t="s">
        <v>1616</v>
      </c>
      <c r="D46" s="176" t="s">
        <v>1617</v>
      </c>
      <c r="E46" s="177" t="s">
        <v>1450</v>
      </c>
      <c r="F46" s="175">
        <f t="shared" si="1"/>
        <v>9</v>
      </c>
      <c r="G46" s="175" t="str">
        <f t="shared" si="2"/>
        <v>Caribou</v>
      </c>
      <c r="H46" s="175"/>
      <c r="I46" s="178" t="s">
        <v>1451</v>
      </c>
      <c r="J46" s="27" t="s">
        <v>1617</v>
      </c>
      <c r="K46" s="27">
        <v>131</v>
      </c>
      <c r="L46" s="179">
        <v>9651</v>
      </c>
      <c r="M46" s="180" t="s">
        <v>1452</v>
      </c>
      <c r="N46" s="181" t="s">
        <v>1617</v>
      </c>
      <c r="O46" s="182" t="s">
        <v>1453</v>
      </c>
      <c r="S46" s="27"/>
      <c r="T46" s="27"/>
    </row>
    <row r="47" spans="2:20">
      <c r="B47" s="186" t="s">
        <v>308</v>
      </c>
      <c r="C47" s="175" t="s">
        <v>1616</v>
      </c>
      <c r="D47" s="176" t="s">
        <v>1617</v>
      </c>
      <c r="E47" s="177" t="s">
        <v>309</v>
      </c>
      <c r="F47" s="175">
        <f t="shared" si="1"/>
        <v>10</v>
      </c>
      <c r="G47" s="175" t="str">
        <f t="shared" si="2"/>
        <v>Rockland</v>
      </c>
      <c r="H47" s="175"/>
      <c r="I47" s="178" t="s">
        <v>1619</v>
      </c>
      <c r="J47" s="27" t="s">
        <v>1617</v>
      </c>
      <c r="K47" s="27">
        <v>268</v>
      </c>
      <c r="L47" s="179">
        <v>7378</v>
      </c>
      <c r="M47" s="180" t="s">
        <v>1620</v>
      </c>
      <c r="N47" s="181" t="s">
        <v>1617</v>
      </c>
      <c r="O47" s="182" t="s">
        <v>1621</v>
      </c>
    </row>
    <row r="48" spans="2:20">
      <c r="B48" s="186" t="s">
        <v>1890</v>
      </c>
      <c r="C48" s="175" t="s">
        <v>1616</v>
      </c>
      <c r="D48" s="176" t="s">
        <v>1617</v>
      </c>
      <c r="E48" s="177" t="s">
        <v>1891</v>
      </c>
      <c r="F48" s="175">
        <f t="shared" si="1"/>
        <v>12</v>
      </c>
      <c r="G48" s="175" t="str">
        <f t="shared" si="2"/>
        <v>Waterville</v>
      </c>
      <c r="H48" s="175"/>
      <c r="I48" s="178" t="s">
        <v>1619</v>
      </c>
      <c r="J48" s="27" t="s">
        <v>1617</v>
      </c>
      <c r="K48" s="27">
        <v>268</v>
      </c>
      <c r="L48" s="179">
        <v>7378</v>
      </c>
      <c r="M48" s="180" t="s">
        <v>1620</v>
      </c>
      <c r="N48" s="181" t="s">
        <v>1617</v>
      </c>
      <c r="O48" s="182" t="s">
        <v>1621</v>
      </c>
      <c r="S48" s="27"/>
      <c r="T48" s="27"/>
    </row>
    <row r="49" spans="2:20">
      <c r="B49" s="186" t="s">
        <v>1919</v>
      </c>
      <c r="C49" s="175" t="s">
        <v>1683</v>
      </c>
      <c r="D49" s="176" t="s">
        <v>1684</v>
      </c>
      <c r="E49" s="177" t="s">
        <v>1920</v>
      </c>
      <c r="F49" s="175">
        <f t="shared" si="1"/>
        <v>22</v>
      </c>
      <c r="G49" s="175" t="str">
        <f t="shared" si="2"/>
        <v>White River Junction</v>
      </c>
      <c r="H49" s="175"/>
      <c r="I49" s="178" t="s">
        <v>1401</v>
      </c>
      <c r="J49" s="27" t="s">
        <v>1684</v>
      </c>
      <c r="K49" s="27">
        <v>388</v>
      </c>
      <c r="L49" s="179">
        <v>7771</v>
      </c>
      <c r="M49" s="180" t="s">
        <v>1402</v>
      </c>
      <c r="N49" s="181" t="s">
        <v>1684</v>
      </c>
      <c r="O49" s="182" t="s">
        <v>1403</v>
      </c>
    </row>
    <row r="50" spans="2:20">
      <c r="B50" s="186" t="s">
        <v>1682</v>
      </c>
      <c r="C50" s="175" t="s">
        <v>1683</v>
      </c>
      <c r="D50" s="176" t="s">
        <v>1684</v>
      </c>
      <c r="E50" s="177" t="s">
        <v>1685</v>
      </c>
      <c r="F50" s="175">
        <f t="shared" si="1"/>
        <v>15</v>
      </c>
      <c r="G50" s="175" t="str">
        <f t="shared" si="2"/>
        <v>Bellows Falls</v>
      </c>
      <c r="H50" s="175"/>
      <c r="I50" s="178" t="s">
        <v>265</v>
      </c>
      <c r="J50" s="27" t="s">
        <v>263</v>
      </c>
      <c r="K50" s="27">
        <v>328</v>
      </c>
      <c r="L50" s="179">
        <v>7554</v>
      </c>
      <c r="M50" s="180" t="s">
        <v>266</v>
      </c>
      <c r="N50" s="181" t="s">
        <v>263</v>
      </c>
      <c r="O50" s="182" t="s">
        <v>267</v>
      </c>
    </row>
    <row r="51" spans="2:20">
      <c r="B51" s="186" t="s">
        <v>1701</v>
      </c>
      <c r="C51" s="175" t="s">
        <v>1683</v>
      </c>
      <c r="D51" s="176" t="s">
        <v>1684</v>
      </c>
      <c r="E51" s="177" t="s">
        <v>1702</v>
      </c>
      <c r="F51" s="175">
        <f t="shared" si="1"/>
        <v>12</v>
      </c>
      <c r="G51" s="175" t="str">
        <f t="shared" si="2"/>
        <v>Bennington</v>
      </c>
      <c r="H51" s="175"/>
      <c r="I51" s="178" t="s">
        <v>409</v>
      </c>
      <c r="J51" s="27" t="s">
        <v>408</v>
      </c>
      <c r="K51" s="27">
        <v>507</v>
      </c>
      <c r="L51" s="179">
        <v>6894</v>
      </c>
      <c r="M51" s="180" t="s">
        <v>410</v>
      </c>
      <c r="N51" s="181" t="s">
        <v>408</v>
      </c>
      <c r="O51" s="182" t="s">
        <v>411</v>
      </c>
      <c r="S51" s="27"/>
      <c r="T51" s="27"/>
    </row>
    <row r="52" spans="2:20">
      <c r="B52" s="186" t="s">
        <v>640</v>
      </c>
      <c r="C52" s="175" t="s">
        <v>1683</v>
      </c>
      <c r="D52" s="176" t="s">
        <v>1684</v>
      </c>
      <c r="E52" s="177" t="s">
        <v>641</v>
      </c>
      <c r="F52" s="175">
        <f t="shared" si="1"/>
        <v>13</v>
      </c>
      <c r="G52" s="175" t="str">
        <f t="shared" si="2"/>
        <v>Brattleboro</v>
      </c>
      <c r="H52" s="175"/>
      <c r="I52" s="178" t="s">
        <v>603</v>
      </c>
      <c r="J52" s="27" t="s">
        <v>2383</v>
      </c>
      <c r="K52" s="27">
        <v>333</v>
      </c>
      <c r="L52" s="179">
        <v>6979</v>
      </c>
      <c r="M52" s="180" t="s">
        <v>410</v>
      </c>
      <c r="N52" s="181" t="s">
        <v>408</v>
      </c>
      <c r="O52" s="182" t="s">
        <v>411</v>
      </c>
      <c r="S52" s="27"/>
      <c r="T52" s="27"/>
    </row>
    <row r="53" spans="2:20">
      <c r="B53" s="186" t="s">
        <v>1400</v>
      </c>
      <c r="C53" s="175" t="s">
        <v>1683</v>
      </c>
      <c r="D53" s="176" t="s">
        <v>1684</v>
      </c>
      <c r="E53" s="177" t="s">
        <v>1396</v>
      </c>
      <c r="F53" s="175">
        <f t="shared" si="1"/>
        <v>12</v>
      </c>
      <c r="G53" s="175" t="str">
        <f t="shared" si="2"/>
        <v>Burlington</v>
      </c>
      <c r="H53" s="175"/>
      <c r="I53" s="178" t="s">
        <v>1401</v>
      </c>
      <c r="J53" s="27" t="s">
        <v>1684</v>
      </c>
      <c r="K53" s="27">
        <v>388</v>
      </c>
      <c r="L53" s="179">
        <v>7771</v>
      </c>
      <c r="M53" s="180" t="s">
        <v>1402</v>
      </c>
      <c r="N53" s="181" t="s">
        <v>1684</v>
      </c>
      <c r="O53" s="182" t="s">
        <v>1403</v>
      </c>
      <c r="S53" s="27"/>
      <c r="T53" s="27"/>
    </row>
    <row r="54" spans="2:20">
      <c r="B54" s="186" t="s">
        <v>1098</v>
      </c>
      <c r="C54" s="175" t="s">
        <v>1683</v>
      </c>
      <c r="D54" s="176" t="s">
        <v>1684</v>
      </c>
      <c r="E54" s="177" t="s">
        <v>1099</v>
      </c>
      <c r="F54" s="175">
        <f t="shared" si="1"/>
        <v>12</v>
      </c>
      <c r="G54" s="175" t="str">
        <f t="shared" si="2"/>
        <v>Montpelier</v>
      </c>
      <c r="H54" s="175"/>
      <c r="I54" s="178" t="s">
        <v>1401</v>
      </c>
      <c r="J54" s="27" t="s">
        <v>1684</v>
      </c>
      <c r="K54" s="27">
        <v>388</v>
      </c>
      <c r="L54" s="179">
        <v>7771</v>
      </c>
      <c r="M54" s="180" t="s">
        <v>1402</v>
      </c>
      <c r="N54" s="181" t="s">
        <v>1684</v>
      </c>
      <c r="O54" s="182" t="s">
        <v>1403</v>
      </c>
      <c r="S54" s="27"/>
      <c r="T54" s="27"/>
    </row>
    <row r="55" spans="2:20">
      <c r="B55" s="186" t="s">
        <v>325</v>
      </c>
      <c r="C55" s="175" t="s">
        <v>1683</v>
      </c>
      <c r="D55" s="176" t="s">
        <v>1684</v>
      </c>
      <c r="E55" s="177" t="s">
        <v>326</v>
      </c>
      <c r="F55" s="175">
        <f t="shared" si="1"/>
        <v>9</v>
      </c>
      <c r="G55" s="175" t="str">
        <f t="shared" si="2"/>
        <v>Rutland</v>
      </c>
      <c r="H55" s="175"/>
      <c r="I55" s="178" t="s">
        <v>409</v>
      </c>
      <c r="J55" s="27" t="s">
        <v>408</v>
      </c>
      <c r="K55" s="27">
        <v>507</v>
      </c>
      <c r="L55" s="179">
        <v>6894</v>
      </c>
      <c r="M55" s="180" t="s">
        <v>410</v>
      </c>
      <c r="N55" s="181" t="s">
        <v>408</v>
      </c>
      <c r="O55" s="182" t="s">
        <v>411</v>
      </c>
      <c r="S55" s="27"/>
      <c r="T55" s="27"/>
    </row>
    <row r="56" spans="2:20">
      <c r="B56" s="186" t="s">
        <v>1312</v>
      </c>
      <c r="C56" s="175" t="s">
        <v>1683</v>
      </c>
      <c r="D56" s="176" t="s">
        <v>1684</v>
      </c>
      <c r="E56" s="177" t="s">
        <v>1313</v>
      </c>
      <c r="F56" s="175">
        <f t="shared" si="1"/>
        <v>15</v>
      </c>
      <c r="G56" s="175" t="str">
        <f t="shared" si="2"/>
        <v>St. Johnsbury</v>
      </c>
      <c r="H56" s="175"/>
      <c r="I56" s="178" t="s">
        <v>1401</v>
      </c>
      <c r="J56" s="27" t="s">
        <v>1684</v>
      </c>
      <c r="K56" s="27">
        <v>388</v>
      </c>
      <c r="L56" s="179">
        <v>7771</v>
      </c>
      <c r="M56" s="180" t="s">
        <v>1402</v>
      </c>
      <c r="N56" s="181" t="s">
        <v>1684</v>
      </c>
      <c r="O56" s="182" t="s">
        <v>1403</v>
      </c>
      <c r="S56" s="27"/>
      <c r="T56" s="27"/>
    </row>
    <row r="57" spans="2:20">
      <c r="B57" s="186" t="s">
        <v>1432</v>
      </c>
      <c r="C57" s="175" t="s">
        <v>1683</v>
      </c>
      <c r="D57" s="176" t="s">
        <v>1684</v>
      </c>
      <c r="E57" s="177" t="s">
        <v>1433</v>
      </c>
      <c r="F57" s="175">
        <f t="shared" si="1"/>
        <v>8</v>
      </c>
      <c r="G57" s="175" t="str">
        <f t="shared" si="2"/>
        <v>Canaan</v>
      </c>
      <c r="H57" s="175"/>
      <c r="I57" s="178" t="s">
        <v>1401</v>
      </c>
      <c r="J57" s="27" t="s">
        <v>1684</v>
      </c>
      <c r="K57" s="27">
        <v>388</v>
      </c>
      <c r="L57" s="179">
        <v>7771</v>
      </c>
      <c r="M57" s="180" t="s">
        <v>1402</v>
      </c>
      <c r="N57" s="181" t="s">
        <v>1684</v>
      </c>
      <c r="O57" s="182" t="s">
        <v>1403</v>
      </c>
      <c r="S57" s="27"/>
      <c r="T57" s="27"/>
    </row>
    <row r="58" spans="2:20">
      <c r="B58" s="186" t="s">
        <v>2252</v>
      </c>
      <c r="C58" s="175" t="s">
        <v>643</v>
      </c>
      <c r="D58" s="176" t="s">
        <v>644</v>
      </c>
      <c r="E58" s="177" t="s">
        <v>2253</v>
      </c>
      <c r="F58" s="175">
        <f t="shared" si="1"/>
        <v>10</v>
      </c>
      <c r="G58" s="175" t="str">
        <f t="shared" si="2"/>
        <v>Hartford</v>
      </c>
      <c r="H58" s="175"/>
      <c r="I58" s="178" t="s">
        <v>603</v>
      </c>
      <c r="J58" s="27" t="s">
        <v>2383</v>
      </c>
      <c r="K58" s="27">
        <v>333</v>
      </c>
      <c r="L58" s="179">
        <v>6979</v>
      </c>
      <c r="M58" s="178" t="s">
        <v>711</v>
      </c>
      <c r="N58" s="27" t="s">
        <v>644</v>
      </c>
      <c r="O58" s="182" t="s">
        <v>712</v>
      </c>
      <c r="S58" s="27"/>
      <c r="T58" s="27"/>
    </row>
    <row r="59" spans="2:20">
      <c r="B59" s="186" t="s">
        <v>713</v>
      </c>
      <c r="C59" s="175" t="s">
        <v>643</v>
      </c>
      <c r="D59" s="176" t="s">
        <v>644</v>
      </c>
      <c r="E59" s="177" t="s">
        <v>2253</v>
      </c>
      <c r="F59" s="175">
        <f t="shared" si="1"/>
        <v>10</v>
      </c>
      <c r="G59" s="175" t="str">
        <f t="shared" si="2"/>
        <v>Hartford</v>
      </c>
      <c r="H59" s="175"/>
      <c r="I59" s="178" t="s">
        <v>714</v>
      </c>
      <c r="J59" s="27" t="s">
        <v>644</v>
      </c>
      <c r="K59" s="27">
        <v>677</v>
      </c>
      <c r="L59" s="179">
        <v>6151</v>
      </c>
      <c r="M59" s="178" t="s">
        <v>711</v>
      </c>
      <c r="N59" s="27" t="s">
        <v>644</v>
      </c>
      <c r="O59" s="182" t="s">
        <v>712</v>
      </c>
    </row>
    <row r="60" spans="2:20">
      <c r="B60" s="186" t="s">
        <v>681</v>
      </c>
      <c r="C60" s="175" t="s">
        <v>643</v>
      </c>
      <c r="D60" s="176" t="s">
        <v>644</v>
      </c>
      <c r="E60" s="177" t="s">
        <v>682</v>
      </c>
      <c r="F60" s="175">
        <f t="shared" si="1"/>
        <v>13</v>
      </c>
      <c r="G60" s="175" t="str">
        <f t="shared" si="2"/>
        <v>Willimantic</v>
      </c>
      <c r="H60" s="175"/>
      <c r="I60" s="178" t="s">
        <v>603</v>
      </c>
      <c r="J60" s="27" t="s">
        <v>2383</v>
      </c>
      <c r="K60" s="27">
        <v>333</v>
      </c>
      <c r="L60" s="179">
        <v>6979</v>
      </c>
      <c r="M60" s="178" t="s">
        <v>711</v>
      </c>
      <c r="N60" s="27" t="s">
        <v>644</v>
      </c>
      <c r="O60" s="182" t="s">
        <v>712</v>
      </c>
      <c r="S60" s="27"/>
      <c r="T60" s="27"/>
    </row>
    <row r="61" spans="2:20">
      <c r="B61" s="186" t="s">
        <v>1129</v>
      </c>
      <c r="C61" s="175" t="s">
        <v>643</v>
      </c>
      <c r="D61" s="176" t="s">
        <v>644</v>
      </c>
      <c r="E61" s="177" t="s">
        <v>1130</v>
      </c>
      <c r="F61" s="175">
        <f t="shared" si="1"/>
        <v>12</v>
      </c>
      <c r="G61" s="175" t="str">
        <f t="shared" si="2"/>
        <v>New London</v>
      </c>
      <c r="H61" s="175"/>
      <c r="I61" s="178" t="s">
        <v>2352</v>
      </c>
      <c r="J61" s="27" t="s">
        <v>2353</v>
      </c>
      <c r="K61" s="27">
        <v>606</v>
      </c>
      <c r="L61" s="179">
        <v>5884</v>
      </c>
      <c r="M61" s="180" t="s">
        <v>2354</v>
      </c>
      <c r="N61" s="181" t="s">
        <v>2353</v>
      </c>
      <c r="O61" s="182" t="s">
        <v>2355</v>
      </c>
    </row>
    <row r="62" spans="2:20">
      <c r="B62" s="186" t="s">
        <v>1126</v>
      </c>
      <c r="C62" s="175" t="s">
        <v>643</v>
      </c>
      <c r="D62" s="176" t="s">
        <v>644</v>
      </c>
      <c r="E62" s="177" t="s">
        <v>1127</v>
      </c>
      <c r="F62" s="175">
        <f t="shared" si="1"/>
        <v>11</v>
      </c>
      <c r="G62" s="175" t="str">
        <f t="shared" si="2"/>
        <v>New Haven</v>
      </c>
      <c r="H62" s="175"/>
      <c r="I62" s="178" t="s">
        <v>714</v>
      </c>
      <c r="J62" s="27" t="s">
        <v>644</v>
      </c>
      <c r="K62" s="27">
        <v>677</v>
      </c>
      <c r="L62" s="179">
        <v>6151</v>
      </c>
      <c r="M62" s="178" t="s">
        <v>711</v>
      </c>
      <c r="N62" s="27" t="s">
        <v>644</v>
      </c>
      <c r="O62" s="182" t="s">
        <v>712</v>
      </c>
    </row>
    <row r="63" spans="2:20">
      <c r="B63" s="186" t="s">
        <v>1128</v>
      </c>
      <c r="C63" s="175" t="s">
        <v>643</v>
      </c>
      <c r="D63" s="176" t="s">
        <v>644</v>
      </c>
      <c r="E63" s="177" t="s">
        <v>1127</v>
      </c>
      <c r="F63" s="175">
        <f t="shared" si="1"/>
        <v>11</v>
      </c>
      <c r="G63" s="175" t="str">
        <f t="shared" si="2"/>
        <v>New Haven</v>
      </c>
      <c r="H63" s="175"/>
      <c r="I63" s="178" t="s">
        <v>714</v>
      </c>
      <c r="J63" s="27" t="s">
        <v>644</v>
      </c>
      <c r="K63" s="27">
        <v>677</v>
      </c>
      <c r="L63" s="179">
        <v>6151</v>
      </c>
      <c r="M63" s="178" t="s">
        <v>711</v>
      </c>
      <c r="N63" s="27" t="s">
        <v>644</v>
      </c>
      <c r="O63" s="182" t="s">
        <v>712</v>
      </c>
    </row>
    <row r="64" spans="2:20">
      <c r="B64" s="186" t="s">
        <v>642</v>
      </c>
      <c r="C64" s="175" t="s">
        <v>643</v>
      </c>
      <c r="D64" s="176" t="s">
        <v>644</v>
      </c>
      <c r="E64" s="177" t="s">
        <v>645</v>
      </c>
      <c r="F64" s="175">
        <f t="shared" si="1"/>
        <v>12</v>
      </c>
      <c r="G64" s="175" t="str">
        <f t="shared" si="2"/>
        <v>Bridgeport</v>
      </c>
      <c r="H64" s="175"/>
      <c r="I64" s="178" t="s">
        <v>646</v>
      </c>
      <c r="J64" s="27" t="s">
        <v>644</v>
      </c>
      <c r="K64" s="27">
        <v>724</v>
      </c>
      <c r="L64" s="179">
        <v>5537</v>
      </c>
      <c r="M64" s="178" t="s">
        <v>647</v>
      </c>
      <c r="N64" s="27" t="s">
        <v>644</v>
      </c>
      <c r="O64" s="182" t="s">
        <v>648</v>
      </c>
    </row>
    <row r="65" spans="2:20">
      <c r="B65" s="186" t="s">
        <v>1882</v>
      </c>
      <c r="C65" s="175" t="s">
        <v>643</v>
      </c>
      <c r="D65" s="176" t="s">
        <v>644</v>
      </c>
      <c r="E65" s="177" t="s">
        <v>1883</v>
      </c>
      <c r="F65" s="175">
        <f t="shared" si="1"/>
        <v>11</v>
      </c>
      <c r="G65" s="175" t="str">
        <f t="shared" si="2"/>
        <v>Waterbury</v>
      </c>
      <c r="H65" s="175"/>
      <c r="I65" s="178" t="s">
        <v>714</v>
      </c>
      <c r="J65" s="27" t="s">
        <v>644</v>
      </c>
      <c r="K65" s="27">
        <v>677</v>
      </c>
      <c r="L65" s="179">
        <v>6151</v>
      </c>
      <c r="M65" s="178" t="s">
        <v>711</v>
      </c>
      <c r="N65" s="27" t="s">
        <v>644</v>
      </c>
      <c r="O65" s="182" t="s">
        <v>712</v>
      </c>
    </row>
    <row r="66" spans="2:20">
      <c r="B66" s="186" t="s">
        <v>1316</v>
      </c>
      <c r="C66" s="175" t="s">
        <v>643</v>
      </c>
      <c r="D66" s="176" t="s">
        <v>644</v>
      </c>
      <c r="E66" s="177" t="s">
        <v>1317</v>
      </c>
      <c r="F66" s="175">
        <f t="shared" si="1"/>
        <v>10</v>
      </c>
      <c r="G66" s="175" t="str">
        <f t="shared" si="2"/>
        <v>Stamford</v>
      </c>
      <c r="H66" s="175"/>
      <c r="I66" s="178" t="s">
        <v>646</v>
      </c>
      <c r="J66" s="27" t="s">
        <v>644</v>
      </c>
      <c r="K66" s="27">
        <v>724</v>
      </c>
      <c r="L66" s="179">
        <v>5537</v>
      </c>
      <c r="M66" s="178" t="s">
        <v>647</v>
      </c>
      <c r="N66" s="27" t="s">
        <v>644</v>
      </c>
      <c r="O66" s="182" t="s">
        <v>648</v>
      </c>
    </row>
    <row r="67" spans="2:20">
      <c r="B67" s="186" t="s">
        <v>1318</v>
      </c>
      <c r="C67" s="175" t="s">
        <v>643</v>
      </c>
      <c r="D67" s="176" t="s">
        <v>644</v>
      </c>
      <c r="E67" s="177" t="s">
        <v>1317</v>
      </c>
      <c r="F67" s="175">
        <f t="shared" si="1"/>
        <v>10</v>
      </c>
      <c r="G67" s="175" t="str">
        <f t="shared" si="2"/>
        <v>Stamford</v>
      </c>
      <c r="H67" s="175"/>
      <c r="I67" s="178" t="s">
        <v>646</v>
      </c>
      <c r="J67" s="27" t="s">
        <v>644</v>
      </c>
      <c r="K67" s="27">
        <v>724</v>
      </c>
      <c r="L67" s="179">
        <v>5537</v>
      </c>
      <c r="M67" s="178" t="s">
        <v>647</v>
      </c>
      <c r="N67" s="27" t="s">
        <v>644</v>
      </c>
      <c r="O67" s="182" t="s">
        <v>648</v>
      </c>
    </row>
    <row r="68" spans="2:20">
      <c r="B68" s="186" t="s">
        <v>1141</v>
      </c>
      <c r="C68" s="175" t="s">
        <v>1609</v>
      </c>
      <c r="D68" s="176" t="s">
        <v>1610</v>
      </c>
      <c r="E68" s="177" t="s">
        <v>1142</v>
      </c>
      <c r="F68" s="175">
        <f t="shared" si="1"/>
        <v>8</v>
      </c>
      <c r="G68" s="175" t="str">
        <f t="shared" si="2"/>
        <v>Newark</v>
      </c>
      <c r="H68" s="175"/>
      <c r="I68" s="178" t="s">
        <v>2359</v>
      </c>
      <c r="J68" s="27" t="s">
        <v>408</v>
      </c>
      <c r="K68" s="27">
        <v>1052</v>
      </c>
      <c r="L68" s="179">
        <v>4910</v>
      </c>
      <c r="M68" s="180" t="s">
        <v>53</v>
      </c>
      <c r="N68" s="181" t="s">
        <v>1610</v>
      </c>
      <c r="O68" s="182" t="s">
        <v>54</v>
      </c>
    </row>
    <row r="69" spans="2:20">
      <c r="B69" s="186" t="s">
        <v>1143</v>
      </c>
      <c r="C69" s="175" t="s">
        <v>1609</v>
      </c>
      <c r="D69" s="176" t="s">
        <v>1610</v>
      </c>
      <c r="E69" s="177" t="s">
        <v>1142</v>
      </c>
      <c r="F69" s="175">
        <f t="shared" si="1"/>
        <v>8</v>
      </c>
      <c r="G69" s="175" t="str">
        <f t="shared" si="2"/>
        <v>Newark</v>
      </c>
      <c r="H69" s="175"/>
      <c r="I69" s="178" t="s">
        <v>52</v>
      </c>
      <c r="J69" s="27" t="s">
        <v>1610</v>
      </c>
      <c r="K69" s="27">
        <v>1201</v>
      </c>
      <c r="L69" s="179">
        <v>4888</v>
      </c>
      <c r="M69" s="180" t="s">
        <v>53</v>
      </c>
      <c r="N69" s="181" t="s">
        <v>1610</v>
      </c>
      <c r="O69" s="182" t="s">
        <v>54</v>
      </c>
    </row>
    <row r="70" spans="2:20">
      <c r="B70" s="186" t="s">
        <v>50</v>
      </c>
      <c r="C70" s="175" t="s">
        <v>1609</v>
      </c>
      <c r="D70" s="176" t="s">
        <v>1610</v>
      </c>
      <c r="E70" s="177" t="s">
        <v>51</v>
      </c>
      <c r="F70" s="175">
        <f t="shared" si="1"/>
        <v>11</v>
      </c>
      <c r="G70" s="175" t="str">
        <f t="shared" si="2"/>
        <v>Elizabeth</v>
      </c>
      <c r="H70" s="175"/>
      <c r="I70" s="178" t="s">
        <v>52</v>
      </c>
      <c r="J70" s="27" t="s">
        <v>1610</v>
      </c>
      <c r="K70" s="27">
        <v>1201</v>
      </c>
      <c r="L70" s="179">
        <v>4888</v>
      </c>
      <c r="M70" s="180" t="s">
        <v>53</v>
      </c>
      <c r="N70" s="181" t="s">
        <v>1610</v>
      </c>
      <c r="O70" s="182" t="s">
        <v>54</v>
      </c>
    </row>
    <row r="71" spans="2:20">
      <c r="B71" s="186" t="s">
        <v>105</v>
      </c>
      <c r="C71" s="175" t="s">
        <v>1609</v>
      </c>
      <c r="D71" s="176" t="s">
        <v>1610</v>
      </c>
      <c r="E71" s="177" t="s">
        <v>106</v>
      </c>
      <c r="F71" s="175">
        <f t="shared" si="1"/>
        <v>13</v>
      </c>
      <c r="G71" s="175" t="str">
        <f t="shared" si="2"/>
        <v>Jersey_City</v>
      </c>
      <c r="H71" s="175"/>
      <c r="I71" s="178" t="s">
        <v>52</v>
      </c>
      <c r="J71" s="27" t="s">
        <v>1610</v>
      </c>
      <c r="K71" s="27">
        <v>1201</v>
      </c>
      <c r="L71" s="179">
        <v>4888</v>
      </c>
      <c r="M71" s="180" t="s">
        <v>53</v>
      </c>
      <c r="N71" s="181" t="s">
        <v>1610</v>
      </c>
      <c r="O71" s="182" t="s">
        <v>54</v>
      </c>
    </row>
    <row r="72" spans="2:20">
      <c r="B72" s="186" t="s">
        <v>572</v>
      </c>
      <c r="C72" s="175" t="s">
        <v>1609</v>
      </c>
      <c r="D72" s="176" t="s">
        <v>1610</v>
      </c>
      <c r="E72" s="177" t="s">
        <v>573</v>
      </c>
      <c r="F72" s="175">
        <f t="shared" si="1"/>
        <v>10</v>
      </c>
      <c r="G72" s="175" t="str">
        <f t="shared" si="2"/>
        <v>Paterson</v>
      </c>
      <c r="H72" s="175"/>
      <c r="I72" s="178" t="s">
        <v>52</v>
      </c>
      <c r="J72" s="27" t="s">
        <v>1610</v>
      </c>
      <c r="K72" s="27">
        <v>1201</v>
      </c>
      <c r="L72" s="179">
        <v>4888</v>
      </c>
      <c r="M72" s="180" t="s">
        <v>53</v>
      </c>
      <c r="N72" s="181" t="s">
        <v>1610</v>
      </c>
      <c r="O72" s="182" t="s">
        <v>54</v>
      </c>
    </row>
    <row r="73" spans="2:20">
      <c r="B73" s="186" t="s">
        <v>574</v>
      </c>
      <c r="C73" s="175" t="s">
        <v>1609</v>
      </c>
      <c r="D73" s="176" t="s">
        <v>1610</v>
      </c>
      <c r="E73" s="177" t="s">
        <v>573</v>
      </c>
      <c r="F73" s="175">
        <f t="shared" si="1"/>
        <v>10</v>
      </c>
      <c r="G73" s="175" t="str">
        <f t="shared" si="2"/>
        <v>Paterson</v>
      </c>
      <c r="H73" s="175"/>
      <c r="I73" s="178" t="s">
        <v>52</v>
      </c>
      <c r="J73" s="27" t="s">
        <v>1610</v>
      </c>
      <c r="K73" s="27">
        <v>1201</v>
      </c>
      <c r="L73" s="179">
        <v>4888</v>
      </c>
      <c r="M73" s="180" t="s">
        <v>53</v>
      </c>
      <c r="N73" s="181" t="s">
        <v>1610</v>
      </c>
      <c r="O73" s="182" t="s">
        <v>54</v>
      </c>
    </row>
    <row r="74" spans="2:20">
      <c r="B74" s="186" t="s">
        <v>2148</v>
      </c>
      <c r="C74" s="175" t="s">
        <v>1609</v>
      </c>
      <c r="D74" s="176" t="s">
        <v>1610</v>
      </c>
      <c r="E74" s="177" t="s">
        <v>2149</v>
      </c>
      <c r="F74" s="175">
        <f t="shared" ref="F74:F137" si="3">LEN(E74)</f>
        <v>12</v>
      </c>
      <c r="G74" s="175" t="str">
        <f t="shared" ref="G74:G137" si="4">MID(E74,2,F74-2)</f>
        <v>Hackensack</v>
      </c>
      <c r="H74" s="175"/>
      <c r="I74" s="178" t="s">
        <v>52</v>
      </c>
      <c r="J74" s="27" t="s">
        <v>1610</v>
      </c>
      <c r="K74" s="27">
        <v>1201</v>
      </c>
      <c r="L74" s="179">
        <v>4888</v>
      </c>
      <c r="M74" s="180" t="s">
        <v>53</v>
      </c>
      <c r="N74" s="181" t="s">
        <v>1610</v>
      </c>
      <c r="O74" s="182" t="s">
        <v>54</v>
      </c>
    </row>
    <row r="75" spans="2:20">
      <c r="B75" s="186" t="s">
        <v>2609</v>
      </c>
      <c r="C75" s="175" t="s">
        <v>1609</v>
      </c>
      <c r="D75" s="176" t="s">
        <v>1610</v>
      </c>
      <c r="E75" s="177" t="s">
        <v>2610</v>
      </c>
      <c r="F75" s="175">
        <f t="shared" si="3"/>
        <v>10</v>
      </c>
      <c r="G75" s="175" t="str">
        <f t="shared" si="4"/>
        <v>Red Bank</v>
      </c>
      <c r="H75" s="175"/>
      <c r="I75" s="178" t="s">
        <v>52</v>
      </c>
      <c r="J75" s="27" t="s">
        <v>1610</v>
      </c>
      <c r="K75" s="27">
        <v>1201</v>
      </c>
      <c r="L75" s="179">
        <v>4888</v>
      </c>
      <c r="M75" s="180" t="s">
        <v>53</v>
      </c>
      <c r="N75" s="181" t="s">
        <v>1610</v>
      </c>
      <c r="O75" s="182" t="s">
        <v>54</v>
      </c>
    </row>
    <row r="76" spans="2:20">
      <c r="B76" s="186" t="s">
        <v>1799</v>
      </c>
      <c r="C76" s="175" t="s">
        <v>1609</v>
      </c>
      <c r="D76" s="176" t="s">
        <v>1610</v>
      </c>
      <c r="E76" s="177" t="s">
        <v>1798</v>
      </c>
      <c r="F76" s="175">
        <f t="shared" si="3"/>
        <v>7</v>
      </c>
      <c r="G76" s="175" t="str">
        <f t="shared" si="4"/>
        <v>Dover</v>
      </c>
      <c r="H76" s="175"/>
      <c r="I76" s="178" t="s">
        <v>443</v>
      </c>
      <c r="J76" s="27" t="s">
        <v>441</v>
      </c>
      <c r="K76" s="27">
        <v>773</v>
      </c>
      <c r="L76" s="179">
        <v>5785</v>
      </c>
      <c r="M76" s="178" t="s">
        <v>444</v>
      </c>
      <c r="N76" s="27" t="s">
        <v>441</v>
      </c>
      <c r="O76" s="182" t="s">
        <v>445</v>
      </c>
      <c r="S76" s="27"/>
      <c r="T76" s="27"/>
    </row>
    <row r="77" spans="2:20">
      <c r="B77" s="186" t="s">
        <v>799</v>
      </c>
      <c r="C77" s="175" t="s">
        <v>1609</v>
      </c>
      <c r="D77" s="176" t="s">
        <v>1610</v>
      </c>
      <c r="E77" s="177" t="s">
        <v>800</v>
      </c>
      <c r="F77" s="175">
        <f t="shared" si="3"/>
        <v>8</v>
      </c>
      <c r="G77" s="175" t="str">
        <f t="shared" si="4"/>
        <v>Summit</v>
      </c>
      <c r="H77" s="175"/>
      <c r="I77" s="178" t="s">
        <v>52</v>
      </c>
      <c r="J77" s="27" t="s">
        <v>1610</v>
      </c>
      <c r="K77" s="27">
        <v>1201</v>
      </c>
      <c r="L77" s="179">
        <v>4888</v>
      </c>
      <c r="M77" s="180" t="s">
        <v>53</v>
      </c>
      <c r="N77" s="181" t="s">
        <v>1610</v>
      </c>
      <c r="O77" s="182" t="s">
        <v>54</v>
      </c>
    </row>
    <row r="78" spans="2:20">
      <c r="B78" s="186" t="s">
        <v>2464</v>
      </c>
      <c r="C78" s="175" t="s">
        <v>1609</v>
      </c>
      <c r="D78" s="176" t="s">
        <v>1610</v>
      </c>
      <c r="E78" s="177" t="s">
        <v>2465</v>
      </c>
      <c r="F78" s="175">
        <f t="shared" si="3"/>
        <v>13</v>
      </c>
      <c r="G78" s="175" t="str">
        <f t="shared" si="4"/>
        <v>Cherry Hill</v>
      </c>
      <c r="H78" s="175"/>
      <c r="I78" s="178" t="s">
        <v>1425</v>
      </c>
      <c r="J78" s="27" t="s">
        <v>441</v>
      </c>
      <c r="K78" s="27">
        <v>1101</v>
      </c>
      <c r="L78" s="179">
        <v>4954</v>
      </c>
      <c r="M78" s="180" t="s">
        <v>1426</v>
      </c>
      <c r="N78" s="181" t="s">
        <v>441</v>
      </c>
      <c r="O78" s="182" t="s">
        <v>1427</v>
      </c>
    </row>
    <row r="79" spans="2:20">
      <c r="B79" s="186" t="s">
        <v>1424</v>
      </c>
      <c r="C79" s="175" t="s">
        <v>1609</v>
      </c>
      <c r="D79" s="176" t="s">
        <v>1610</v>
      </c>
      <c r="E79" s="177" t="s">
        <v>1422</v>
      </c>
      <c r="F79" s="175">
        <f t="shared" si="3"/>
        <v>8</v>
      </c>
      <c r="G79" s="175" t="str">
        <f t="shared" si="4"/>
        <v>Camden</v>
      </c>
      <c r="H79" s="175"/>
      <c r="I79" s="178" t="s">
        <v>1425</v>
      </c>
      <c r="J79" s="27" t="s">
        <v>441</v>
      </c>
      <c r="K79" s="27">
        <v>1101</v>
      </c>
      <c r="L79" s="179">
        <v>4954</v>
      </c>
      <c r="M79" s="180" t="s">
        <v>1426</v>
      </c>
      <c r="N79" s="181" t="s">
        <v>441</v>
      </c>
      <c r="O79" s="182" t="s">
        <v>1427</v>
      </c>
    </row>
    <row r="80" spans="2:20">
      <c r="B80" s="186" t="s">
        <v>1281</v>
      </c>
      <c r="C80" s="175" t="s">
        <v>1609</v>
      </c>
      <c r="D80" s="176" t="s">
        <v>1610</v>
      </c>
      <c r="E80" s="177" t="s">
        <v>1282</v>
      </c>
      <c r="F80" s="175">
        <f t="shared" si="3"/>
        <v>14</v>
      </c>
      <c r="G80" s="175" t="str">
        <f t="shared" si="4"/>
        <v>South Jersey</v>
      </c>
      <c r="H80" s="175"/>
      <c r="I80" s="178" t="s">
        <v>1612</v>
      </c>
      <c r="J80" s="27" t="s">
        <v>1610</v>
      </c>
      <c r="K80" s="27">
        <v>826</v>
      </c>
      <c r="L80" s="179">
        <v>5169</v>
      </c>
      <c r="M80" s="180" t="s">
        <v>1613</v>
      </c>
      <c r="N80" s="181" t="s">
        <v>1610</v>
      </c>
      <c r="O80" s="182" t="s">
        <v>1614</v>
      </c>
    </row>
    <row r="81" spans="2:20">
      <c r="B81" s="186" t="s">
        <v>1283</v>
      </c>
      <c r="C81" s="175" t="s">
        <v>1609</v>
      </c>
      <c r="D81" s="176" t="s">
        <v>1610</v>
      </c>
      <c r="E81" s="177" t="s">
        <v>1282</v>
      </c>
      <c r="F81" s="175">
        <f t="shared" si="3"/>
        <v>14</v>
      </c>
      <c r="G81" s="175" t="str">
        <f t="shared" si="4"/>
        <v>South Jersey</v>
      </c>
      <c r="H81" s="175"/>
      <c r="I81" s="178" t="s">
        <v>1056</v>
      </c>
      <c r="J81" s="27" t="s">
        <v>1797</v>
      </c>
      <c r="K81" s="27">
        <v>1046</v>
      </c>
      <c r="L81" s="179">
        <v>4937</v>
      </c>
      <c r="M81" s="180" t="s">
        <v>1057</v>
      </c>
      <c r="N81" s="181" t="s">
        <v>1797</v>
      </c>
      <c r="O81" s="182" t="s">
        <v>1058</v>
      </c>
    </row>
    <row r="82" spans="2:20">
      <c r="B82" s="186" t="s">
        <v>1608</v>
      </c>
      <c r="C82" s="175" t="s">
        <v>1609</v>
      </c>
      <c r="D82" s="176" t="s">
        <v>1610</v>
      </c>
      <c r="E82" s="177" t="s">
        <v>1611</v>
      </c>
      <c r="F82" s="175">
        <f t="shared" si="3"/>
        <v>15</v>
      </c>
      <c r="G82" s="175" t="str">
        <f t="shared" si="4"/>
        <v>Atlantic City</v>
      </c>
      <c r="H82" s="175"/>
      <c r="I82" s="178" t="s">
        <v>1612</v>
      </c>
      <c r="J82" s="27" t="s">
        <v>1610</v>
      </c>
      <c r="K82" s="27">
        <v>826</v>
      </c>
      <c r="L82" s="179">
        <v>5169</v>
      </c>
      <c r="M82" s="180" t="s">
        <v>1613</v>
      </c>
      <c r="N82" s="181" t="s">
        <v>1610</v>
      </c>
      <c r="O82" s="182" t="s">
        <v>1614</v>
      </c>
      <c r="S82" s="27"/>
      <c r="T82" s="27"/>
    </row>
    <row r="83" spans="2:20">
      <c r="B83" s="186" t="s">
        <v>1822</v>
      </c>
      <c r="C83" s="175" t="s">
        <v>1609</v>
      </c>
      <c r="D83" s="176" t="s">
        <v>1610</v>
      </c>
      <c r="E83" s="177" t="s">
        <v>1823</v>
      </c>
      <c r="F83" s="175">
        <f t="shared" si="3"/>
        <v>9</v>
      </c>
      <c r="G83" s="175" t="str">
        <f t="shared" si="4"/>
        <v>Trenton</v>
      </c>
      <c r="H83" s="175"/>
      <c r="I83" s="178" t="s">
        <v>52</v>
      </c>
      <c r="J83" s="27" t="s">
        <v>1610</v>
      </c>
      <c r="K83" s="27">
        <v>1201</v>
      </c>
      <c r="L83" s="179">
        <v>4888</v>
      </c>
      <c r="M83" s="180" t="s">
        <v>53</v>
      </c>
      <c r="N83" s="181" t="s">
        <v>1610</v>
      </c>
      <c r="O83" s="182" t="s">
        <v>54</v>
      </c>
    </row>
    <row r="84" spans="2:20">
      <c r="B84" s="186" t="s">
        <v>1824</v>
      </c>
      <c r="C84" s="175" t="s">
        <v>1609</v>
      </c>
      <c r="D84" s="176" t="s">
        <v>1610</v>
      </c>
      <c r="E84" s="177" t="s">
        <v>1823</v>
      </c>
      <c r="F84" s="175">
        <f t="shared" si="3"/>
        <v>9</v>
      </c>
      <c r="G84" s="175" t="str">
        <f t="shared" si="4"/>
        <v>Trenton</v>
      </c>
      <c r="H84" s="175"/>
      <c r="I84" s="178" t="s">
        <v>52</v>
      </c>
      <c r="J84" s="27" t="s">
        <v>1610</v>
      </c>
      <c r="K84" s="27">
        <v>1201</v>
      </c>
      <c r="L84" s="179">
        <v>4888</v>
      </c>
      <c r="M84" s="180" t="s">
        <v>53</v>
      </c>
      <c r="N84" s="181" t="s">
        <v>1610</v>
      </c>
      <c r="O84" s="182" t="s">
        <v>54</v>
      </c>
    </row>
    <row r="85" spans="2:20">
      <c r="B85" s="186" t="s">
        <v>967</v>
      </c>
      <c r="C85" s="175" t="s">
        <v>1609</v>
      </c>
      <c r="D85" s="176" t="s">
        <v>1610</v>
      </c>
      <c r="E85" s="177" t="s">
        <v>968</v>
      </c>
      <c r="F85" s="175">
        <f t="shared" si="3"/>
        <v>10</v>
      </c>
      <c r="G85" s="175" t="str">
        <f t="shared" si="4"/>
        <v>Lakewood</v>
      </c>
      <c r="H85" s="175"/>
      <c r="I85" s="178" t="s">
        <v>1612</v>
      </c>
      <c r="J85" s="27" t="s">
        <v>1610</v>
      </c>
      <c r="K85" s="27">
        <v>826</v>
      </c>
      <c r="L85" s="179">
        <v>5169</v>
      </c>
      <c r="M85" s="180" t="s">
        <v>1613</v>
      </c>
      <c r="N85" s="181" t="s">
        <v>1610</v>
      </c>
      <c r="O85" s="182" t="s">
        <v>1614</v>
      </c>
    </row>
    <row r="86" spans="2:20">
      <c r="B86" s="186" t="s">
        <v>1121</v>
      </c>
      <c r="C86" s="175" t="s">
        <v>1609</v>
      </c>
      <c r="D86" s="176" t="s">
        <v>1610</v>
      </c>
      <c r="E86" s="177" t="s">
        <v>1122</v>
      </c>
      <c r="F86" s="175">
        <f t="shared" si="3"/>
        <v>15</v>
      </c>
      <c r="G86" s="175" t="str">
        <f t="shared" si="4"/>
        <v>New Brunswick</v>
      </c>
      <c r="H86" s="175"/>
      <c r="I86" s="178" t="s">
        <v>52</v>
      </c>
      <c r="J86" s="27" t="s">
        <v>1610</v>
      </c>
      <c r="K86" s="27">
        <v>1201</v>
      </c>
      <c r="L86" s="179">
        <v>4888</v>
      </c>
      <c r="M86" s="180" t="s">
        <v>53</v>
      </c>
      <c r="N86" s="181" t="s">
        <v>1610</v>
      </c>
      <c r="O86" s="182" t="s">
        <v>54</v>
      </c>
    </row>
    <row r="87" spans="2:20">
      <c r="B87" s="186" t="s">
        <v>1123</v>
      </c>
      <c r="C87" s="175" t="s">
        <v>1609</v>
      </c>
      <c r="D87" s="176" t="s">
        <v>1610</v>
      </c>
      <c r="E87" s="177" t="s">
        <v>1122</v>
      </c>
      <c r="F87" s="175">
        <f t="shared" si="3"/>
        <v>15</v>
      </c>
      <c r="G87" s="175" t="str">
        <f t="shared" si="4"/>
        <v>New Brunswick</v>
      </c>
      <c r="H87" s="175"/>
      <c r="I87" s="178" t="s">
        <v>52</v>
      </c>
      <c r="J87" s="27" t="s">
        <v>1610</v>
      </c>
      <c r="K87" s="27">
        <v>1201</v>
      </c>
      <c r="L87" s="179">
        <v>4888</v>
      </c>
      <c r="M87" s="180" t="s">
        <v>53</v>
      </c>
      <c r="N87" s="181" t="s">
        <v>1610</v>
      </c>
      <c r="O87" s="182" t="s">
        <v>54</v>
      </c>
      <c r="S87" s="27"/>
      <c r="T87" s="27"/>
    </row>
    <row r="88" spans="2:20">
      <c r="B88" s="174" t="s">
        <v>1136</v>
      </c>
      <c r="C88" s="175" t="s">
        <v>407</v>
      </c>
      <c r="D88" s="176" t="s">
        <v>408</v>
      </c>
      <c r="E88" s="177" t="s">
        <v>1137</v>
      </c>
      <c r="F88" s="175">
        <f t="shared" si="3"/>
        <v>10</v>
      </c>
      <c r="G88" s="175" t="str">
        <f t="shared" si="4"/>
        <v>New York</v>
      </c>
      <c r="H88" s="175"/>
      <c r="I88" s="178" t="s">
        <v>1138</v>
      </c>
      <c r="J88" s="27" t="s">
        <v>408</v>
      </c>
      <c r="K88" s="27">
        <v>1096</v>
      </c>
      <c r="L88" s="179">
        <v>4805</v>
      </c>
      <c r="M88" s="180" t="s">
        <v>2360</v>
      </c>
      <c r="N88" s="181" t="s">
        <v>408</v>
      </c>
      <c r="O88" s="182" t="s">
        <v>1359</v>
      </c>
    </row>
    <row r="89" spans="2:20">
      <c r="B89" s="174" t="s">
        <v>1139</v>
      </c>
      <c r="C89" s="175" t="s">
        <v>407</v>
      </c>
      <c r="D89" s="176" t="s">
        <v>408</v>
      </c>
      <c r="E89" s="177" t="s">
        <v>1137</v>
      </c>
      <c r="F89" s="175">
        <f t="shared" si="3"/>
        <v>10</v>
      </c>
      <c r="G89" s="175" t="str">
        <f t="shared" si="4"/>
        <v>New York</v>
      </c>
      <c r="H89" s="175"/>
      <c r="I89" s="178" t="s">
        <v>1138</v>
      </c>
      <c r="J89" s="27" t="s">
        <v>408</v>
      </c>
      <c r="K89" s="27">
        <v>1096</v>
      </c>
      <c r="L89" s="179">
        <v>4805</v>
      </c>
      <c r="M89" s="180" t="s">
        <v>2360</v>
      </c>
      <c r="N89" s="181" t="s">
        <v>408</v>
      </c>
      <c r="O89" s="182" t="s">
        <v>1359</v>
      </c>
    </row>
    <row r="90" spans="2:20">
      <c r="B90" s="174" t="s">
        <v>1140</v>
      </c>
      <c r="C90" s="175" t="s">
        <v>407</v>
      </c>
      <c r="D90" s="176" t="s">
        <v>408</v>
      </c>
      <c r="E90" s="177" t="s">
        <v>1137</v>
      </c>
      <c r="F90" s="175">
        <f t="shared" si="3"/>
        <v>10</v>
      </c>
      <c r="G90" s="175" t="str">
        <f t="shared" si="4"/>
        <v>New York</v>
      </c>
      <c r="H90" s="175"/>
      <c r="I90" s="178" t="s">
        <v>1138</v>
      </c>
      <c r="J90" s="27" t="s">
        <v>408</v>
      </c>
      <c r="K90" s="27">
        <v>1096</v>
      </c>
      <c r="L90" s="179">
        <v>4805</v>
      </c>
      <c r="M90" s="180" t="s">
        <v>2360</v>
      </c>
      <c r="N90" s="181" t="s">
        <v>408</v>
      </c>
      <c r="O90" s="182" t="s">
        <v>1359</v>
      </c>
    </row>
    <row r="91" spans="2:20">
      <c r="B91" s="174" t="s">
        <v>1321</v>
      </c>
      <c r="C91" s="175" t="s">
        <v>407</v>
      </c>
      <c r="D91" s="176" t="s">
        <v>408</v>
      </c>
      <c r="E91" s="177" t="s">
        <v>1322</v>
      </c>
      <c r="F91" s="175">
        <f t="shared" si="3"/>
        <v>15</v>
      </c>
      <c r="G91" s="175" t="str">
        <f t="shared" si="4"/>
        <v>Staten Island</v>
      </c>
      <c r="H91" s="175"/>
      <c r="I91" s="178" t="s">
        <v>2359</v>
      </c>
      <c r="J91" s="27" t="s">
        <v>408</v>
      </c>
      <c r="K91" s="27">
        <v>1052</v>
      </c>
      <c r="L91" s="179">
        <v>4910</v>
      </c>
      <c r="M91" s="180" t="s">
        <v>2360</v>
      </c>
      <c r="N91" s="181" t="s">
        <v>408</v>
      </c>
      <c r="O91" s="182" t="s">
        <v>1359</v>
      </c>
    </row>
    <row r="92" spans="2:20">
      <c r="B92" s="174" t="s">
        <v>2357</v>
      </c>
      <c r="C92" s="175" t="s">
        <v>407</v>
      </c>
      <c r="D92" s="176" t="s">
        <v>408</v>
      </c>
      <c r="E92" s="177" t="s">
        <v>2358</v>
      </c>
      <c r="F92" s="175">
        <f t="shared" si="3"/>
        <v>7</v>
      </c>
      <c r="G92" s="175" t="str">
        <f t="shared" si="4"/>
        <v>Bronx</v>
      </c>
      <c r="H92" s="175"/>
      <c r="I92" s="178" t="s">
        <v>2359</v>
      </c>
      <c r="J92" s="27" t="s">
        <v>408</v>
      </c>
      <c r="K92" s="27">
        <v>1052</v>
      </c>
      <c r="L92" s="179">
        <v>4910</v>
      </c>
      <c r="M92" s="180" t="s">
        <v>2360</v>
      </c>
      <c r="N92" s="181" t="s">
        <v>408</v>
      </c>
      <c r="O92" s="182" t="s">
        <v>1359</v>
      </c>
    </row>
    <row r="93" spans="2:20">
      <c r="B93" s="174" t="s">
        <v>1910</v>
      </c>
      <c r="C93" s="175" t="s">
        <v>407</v>
      </c>
      <c r="D93" s="176" t="s">
        <v>408</v>
      </c>
      <c r="E93" s="177" t="s">
        <v>1911</v>
      </c>
      <c r="F93" s="175">
        <f t="shared" si="3"/>
        <v>13</v>
      </c>
      <c r="G93" s="175" t="str">
        <f t="shared" si="4"/>
        <v>Westchester</v>
      </c>
      <c r="H93" s="175"/>
      <c r="I93" s="178" t="s">
        <v>646</v>
      </c>
      <c r="J93" s="27" t="s">
        <v>644</v>
      </c>
      <c r="K93" s="27">
        <v>724</v>
      </c>
      <c r="L93" s="179">
        <v>5537</v>
      </c>
      <c r="M93" s="178" t="s">
        <v>647</v>
      </c>
      <c r="N93" s="27" t="s">
        <v>644</v>
      </c>
      <c r="O93" s="182" t="s">
        <v>648</v>
      </c>
    </row>
    <row r="94" spans="2:20">
      <c r="B94" s="174" t="s">
        <v>1917</v>
      </c>
      <c r="C94" s="175" t="s">
        <v>407</v>
      </c>
      <c r="D94" s="176" t="s">
        <v>408</v>
      </c>
      <c r="E94" s="177" t="s">
        <v>1918</v>
      </c>
      <c r="F94" s="175">
        <f t="shared" si="3"/>
        <v>14</v>
      </c>
      <c r="G94" s="175" t="str">
        <f t="shared" si="4"/>
        <v>White Plains</v>
      </c>
      <c r="H94" s="175"/>
      <c r="I94" s="178" t="s">
        <v>646</v>
      </c>
      <c r="J94" s="27" t="s">
        <v>644</v>
      </c>
      <c r="K94" s="27">
        <v>724</v>
      </c>
      <c r="L94" s="179">
        <v>5537</v>
      </c>
      <c r="M94" s="178" t="s">
        <v>647</v>
      </c>
      <c r="N94" s="27" t="s">
        <v>644</v>
      </c>
      <c r="O94" s="182" t="s">
        <v>648</v>
      </c>
    </row>
    <row r="95" spans="2:20">
      <c r="B95" s="174" t="s">
        <v>1928</v>
      </c>
      <c r="C95" s="175" t="s">
        <v>407</v>
      </c>
      <c r="D95" s="176" t="s">
        <v>408</v>
      </c>
      <c r="E95" s="177" t="s">
        <v>1929</v>
      </c>
      <c r="F95" s="175">
        <f t="shared" si="3"/>
        <v>9</v>
      </c>
      <c r="G95" s="175" t="str">
        <f t="shared" si="4"/>
        <v>Yonkers</v>
      </c>
      <c r="H95" s="175"/>
      <c r="I95" s="178" t="s">
        <v>2359</v>
      </c>
      <c r="J95" s="27" t="s">
        <v>408</v>
      </c>
      <c r="K95" s="27">
        <v>1052</v>
      </c>
      <c r="L95" s="179">
        <v>4910</v>
      </c>
      <c r="M95" s="180" t="s">
        <v>2360</v>
      </c>
      <c r="N95" s="181" t="s">
        <v>408</v>
      </c>
      <c r="O95" s="182" t="s">
        <v>1359</v>
      </c>
    </row>
    <row r="96" spans="2:20">
      <c r="B96" s="174" t="s">
        <v>1134</v>
      </c>
      <c r="C96" s="175" t="s">
        <v>407</v>
      </c>
      <c r="D96" s="176" t="s">
        <v>408</v>
      </c>
      <c r="E96" s="177" t="s">
        <v>1135</v>
      </c>
      <c r="F96" s="175">
        <f t="shared" si="3"/>
        <v>14</v>
      </c>
      <c r="G96" s="175" t="str">
        <f t="shared" si="4"/>
        <v>New Rochelle</v>
      </c>
      <c r="H96" s="175"/>
      <c r="I96" s="178" t="s">
        <v>2359</v>
      </c>
      <c r="J96" s="27" t="s">
        <v>408</v>
      </c>
      <c r="K96" s="27">
        <v>1052</v>
      </c>
      <c r="L96" s="179">
        <v>4910</v>
      </c>
      <c r="M96" s="180" t="s">
        <v>2360</v>
      </c>
      <c r="N96" s="181" t="s">
        <v>408</v>
      </c>
      <c r="O96" s="182" t="s">
        <v>1359</v>
      </c>
    </row>
    <row r="97" spans="2:15">
      <c r="B97" s="174" t="s">
        <v>797</v>
      </c>
      <c r="C97" s="175" t="s">
        <v>407</v>
      </c>
      <c r="D97" s="176" t="s">
        <v>408</v>
      </c>
      <c r="E97" s="177" t="s">
        <v>798</v>
      </c>
      <c r="F97" s="175">
        <f t="shared" si="3"/>
        <v>9</v>
      </c>
      <c r="G97" s="175" t="str">
        <f t="shared" si="4"/>
        <v>Suffern</v>
      </c>
      <c r="H97" s="175"/>
      <c r="I97" s="178" t="s">
        <v>646</v>
      </c>
      <c r="J97" s="27" t="s">
        <v>644</v>
      </c>
      <c r="K97" s="27">
        <v>724</v>
      </c>
      <c r="L97" s="179">
        <v>5537</v>
      </c>
      <c r="M97" s="178" t="s">
        <v>647</v>
      </c>
      <c r="N97" s="27" t="s">
        <v>644</v>
      </c>
      <c r="O97" s="182" t="s">
        <v>648</v>
      </c>
    </row>
    <row r="98" spans="2:15">
      <c r="B98" s="174" t="s">
        <v>2110</v>
      </c>
      <c r="C98" s="175" t="s">
        <v>407</v>
      </c>
      <c r="D98" s="176" t="s">
        <v>408</v>
      </c>
      <c r="E98" s="177" t="s">
        <v>2111</v>
      </c>
      <c r="F98" s="175">
        <f t="shared" si="3"/>
        <v>12</v>
      </c>
      <c r="G98" s="175" t="str">
        <f t="shared" si="4"/>
        <v>Great Neck</v>
      </c>
      <c r="H98" s="175"/>
      <c r="I98" s="178" t="s">
        <v>2359</v>
      </c>
      <c r="J98" s="27" t="s">
        <v>408</v>
      </c>
      <c r="K98" s="27">
        <v>1052</v>
      </c>
      <c r="L98" s="179">
        <v>4910</v>
      </c>
      <c r="M98" s="180" t="s">
        <v>2360</v>
      </c>
      <c r="N98" s="181" t="s">
        <v>408</v>
      </c>
      <c r="O98" s="182" t="s">
        <v>1359</v>
      </c>
    </row>
    <row r="99" spans="2:15">
      <c r="B99" s="174" t="s">
        <v>2593</v>
      </c>
      <c r="C99" s="175" t="s">
        <v>407</v>
      </c>
      <c r="D99" s="176" t="s">
        <v>408</v>
      </c>
      <c r="E99" s="177" t="s">
        <v>2594</v>
      </c>
      <c r="F99" s="175">
        <f t="shared" si="3"/>
        <v>8</v>
      </c>
      <c r="G99" s="175" t="str">
        <f t="shared" si="4"/>
        <v>Queens</v>
      </c>
      <c r="H99" s="175"/>
      <c r="I99" s="178" t="s">
        <v>2359</v>
      </c>
      <c r="J99" s="27" t="s">
        <v>408</v>
      </c>
      <c r="K99" s="27">
        <v>1052</v>
      </c>
      <c r="L99" s="179">
        <v>4910</v>
      </c>
      <c r="M99" s="180" t="s">
        <v>2360</v>
      </c>
      <c r="N99" s="181" t="s">
        <v>408</v>
      </c>
      <c r="O99" s="182" t="s">
        <v>1359</v>
      </c>
    </row>
    <row r="100" spans="2:15">
      <c r="B100" s="174" t="s">
        <v>1360</v>
      </c>
      <c r="C100" s="175" t="s">
        <v>407</v>
      </c>
      <c r="D100" s="176" t="s">
        <v>408</v>
      </c>
      <c r="E100" s="177" t="s">
        <v>1361</v>
      </c>
      <c r="F100" s="175">
        <f t="shared" si="3"/>
        <v>10</v>
      </c>
      <c r="G100" s="175" t="str">
        <f t="shared" si="4"/>
        <v>Brooklyn</v>
      </c>
      <c r="H100" s="175"/>
      <c r="I100" s="178" t="s">
        <v>2359</v>
      </c>
      <c r="J100" s="27" t="s">
        <v>408</v>
      </c>
      <c r="K100" s="27">
        <v>1052</v>
      </c>
      <c r="L100" s="179">
        <v>4910</v>
      </c>
      <c r="M100" s="180" t="s">
        <v>2360</v>
      </c>
      <c r="N100" s="181" t="s">
        <v>408</v>
      </c>
      <c r="O100" s="182" t="s">
        <v>1359</v>
      </c>
    </row>
    <row r="101" spans="2:15">
      <c r="B101" s="174" t="s">
        <v>2005</v>
      </c>
      <c r="C101" s="175" t="s">
        <v>407</v>
      </c>
      <c r="D101" s="176" t="s">
        <v>408</v>
      </c>
      <c r="E101" s="177" t="s">
        <v>2006</v>
      </c>
      <c r="F101" s="175">
        <f t="shared" si="3"/>
        <v>10</v>
      </c>
      <c r="G101" s="175" t="str">
        <f t="shared" si="4"/>
        <v>Flushing</v>
      </c>
      <c r="H101" s="175"/>
      <c r="I101" s="178" t="s">
        <v>2007</v>
      </c>
      <c r="J101" s="27" t="s">
        <v>408</v>
      </c>
      <c r="K101" s="27">
        <v>921</v>
      </c>
      <c r="L101" s="179">
        <v>5027</v>
      </c>
      <c r="M101" s="180" t="s">
        <v>2360</v>
      </c>
      <c r="N101" s="181" t="s">
        <v>408</v>
      </c>
      <c r="O101" s="182" t="s">
        <v>1359</v>
      </c>
    </row>
    <row r="102" spans="2:15">
      <c r="B102" s="174" t="s">
        <v>95</v>
      </c>
      <c r="C102" s="175" t="s">
        <v>407</v>
      </c>
      <c r="D102" s="176" t="s">
        <v>408</v>
      </c>
      <c r="E102" s="177" t="s">
        <v>96</v>
      </c>
      <c r="F102" s="175">
        <f t="shared" si="3"/>
        <v>9</v>
      </c>
      <c r="G102" s="175" t="str">
        <f t="shared" si="4"/>
        <v>Jamaica</v>
      </c>
      <c r="H102" s="175"/>
      <c r="I102" s="178" t="s">
        <v>2007</v>
      </c>
      <c r="J102" s="27" t="s">
        <v>408</v>
      </c>
      <c r="K102" s="27">
        <v>921</v>
      </c>
      <c r="L102" s="179">
        <v>5027</v>
      </c>
      <c r="M102" s="180" t="s">
        <v>2360</v>
      </c>
      <c r="N102" s="181" t="s">
        <v>408</v>
      </c>
      <c r="O102" s="182" t="s">
        <v>1359</v>
      </c>
    </row>
    <row r="103" spans="2:15">
      <c r="B103" s="174" t="s">
        <v>169</v>
      </c>
      <c r="C103" s="175" t="s">
        <v>407</v>
      </c>
      <c r="D103" s="176" t="s">
        <v>408</v>
      </c>
      <c r="E103" s="177" t="s">
        <v>170</v>
      </c>
      <c r="F103" s="175">
        <f t="shared" si="3"/>
        <v>10</v>
      </c>
      <c r="G103" s="175" t="str">
        <f t="shared" si="4"/>
        <v>Minneola</v>
      </c>
      <c r="H103" s="175"/>
      <c r="I103" s="178" t="s">
        <v>2007</v>
      </c>
      <c r="J103" s="27" t="s">
        <v>408</v>
      </c>
      <c r="K103" s="27">
        <v>921</v>
      </c>
      <c r="L103" s="179">
        <v>5027</v>
      </c>
      <c r="M103" s="180" t="s">
        <v>2360</v>
      </c>
      <c r="N103" s="181" t="s">
        <v>408</v>
      </c>
      <c r="O103" s="182" t="s">
        <v>1359</v>
      </c>
    </row>
    <row r="104" spans="2:15">
      <c r="B104" s="174" t="s">
        <v>1973</v>
      </c>
      <c r="C104" s="175" t="s">
        <v>407</v>
      </c>
      <c r="D104" s="176" t="s">
        <v>408</v>
      </c>
      <c r="E104" s="177" t="s">
        <v>1974</v>
      </c>
      <c r="F104" s="175">
        <f t="shared" si="3"/>
        <v>14</v>
      </c>
      <c r="G104" s="175" t="str">
        <f t="shared" si="4"/>
        <v>Far Rockaway</v>
      </c>
      <c r="H104" s="175"/>
      <c r="I104" s="178" t="s">
        <v>1975</v>
      </c>
      <c r="J104" s="27" t="s">
        <v>408</v>
      </c>
      <c r="K104" s="27">
        <v>706</v>
      </c>
      <c r="L104" s="179">
        <v>5647</v>
      </c>
      <c r="M104" s="178" t="s">
        <v>647</v>
      </c>
      <c r="N104" s="27" t="s">
        <v>644</v>
      </c>
      <c r="O104" s="182" t="s">
        <v>648</v>
      </c>
    </row>
    <row r="105" spans="2:15">
      <c r="B105" s="174" t="s">
        <v>739</v>
      </c>
      <c r="C105" s="175" t="s">
        <v>407</v>
      </c>
      <c r="D105" s="176" t="s">
        <v>408</v>
      </c>
      <c r="E105" s="177" t="s">
        <v>740</v>
      </c>
      <c r="F105" s="175">
        <f t="shared" si="3"/>
        <v>12</v>
      </c>
      <c r="G105" s="175" t="str">
        <f t="shared" si="4"/>
        <v>Hicksville</v>
      </c>
      <c r="H105" s="175"/>
      <c r="I105" s="178" t="s">
        <v>1975</v>
      </c>
      <c r="J105" s="27" t="s">
        <v>408</v>
      </c>
      <c r="K105" s="27">
        <v>706</v>
      </c>
      <c r="L105" s="179">
        <v>5647</v>
      </c>
      <c r="M105" s="178" t="s">
        <v>647</v>
      </c>
      <c r="N105" s="27" t="s">
        <v>644</v>
      </c>
      <c r="O105" s="182" t="s">
        <v>648</v>
      </c>
    </row>
    <row r="106" spans="2:15">
      <c r="B106" s="174" t="s">
        <v>741</v>
      </c>
      <c r="C106" s="175" t="s">
        <v>407</v>
      </c>
      <c r="D106" s="176" t="s">
        <v>408</v>
      </c>
      <c r="E106" s="177" t="s">
        <v>740</v>
      </c>
      <c r="F106" s="175">
        <f t="shared" si="3"/>
        <v>12</v>
      </c>
      <c r="G106" s="175" t="str">
        <f t="shared" si="4"/>
        <v>Hicksville</v>
      </c>
      <c r="H106" s="175"/>
      <c r="I106" s="178" t="s">
        <v>1975</v>
      </c>
      <c r="J106" s="27" t="s">
        <v>408</v>
      </c>
      <c r="K106" s="27">
        <v>706</v>
      </c>
      <c r="L106" s="179">
        <v>5647</v>
      </c>
      <c r="M106" s="178" t="s">
        <v>647</v>
      </c>
      <c r="N106" s="27" t="s">
        <v>644</v>
      </c>
      <c r="O106" s="182" t="s">
        <v>648</v>
      </c>
    </row>
    <row r="107" spans="2:15">
      <c r="B107" s="174" t="s">
        <v>285</v>
      </c>
      <c r="C107" s="175" t="s">
        <v>407</v>
      </c>
      <c r="D107" s="176" t="s">
        <v>408</v>
      </c>
      <c r="E107" s="177" t="s">
        <v>286</v>
      </c>
      <c r="F107" s="175">
        <f t="shared" si="3"/>
        <v>11</v>
      </c>
      <c r="G107" s="175" t="str">
        <f t="shared" si="4"/>
        <v>Riverhead</v>
      </c>
      <c r="H107" s="175"/>
      <c r="I107" s="178" t="s">
        <v>646</v>
      </c>
      <c r="J107" s="27" t="s">
        <v>644</v>
      </c>
      <c r="K107" s="27">
        <v>724</v>
      </c>
      <c r="L107" s="179">
        <v>5537</v>
      </c>
      <c r="M107" s="178" t="s">
        <v>647</v>
      </c>
      <c r="N107" s="27" t="s">
        <v>644</v>
      </c>
      <c r="O107" s="182" t="s">
        <v>648</v>
      </c>
    </row>
    <row r="108" spans="2:15">
      <c r="B108" s="174" t="s">
        <v>406</v>
      </c>
      <c r="C108" s="175" t="s">
        <v>407</v>
      </c>
      <c r="D108" s="176" t="s">
        <v>408</v>
      </c>
      <c r="E108" s="177" t="s">
        <v>402</v>
      </c>
      <c r="F108" s="175">
        <f t="shared" si="3"/>
        <v>8</v>
      </c>
      <c r="G108" s="175" t="str">
        <f t="shared" si="4"/>
        <v>Albany</v>
      </c>
      <c r="H108" s="175"/>
      <c r="I108" s="178" t="s">
        <v>409</v>
      </c>
      <c r="J108" s="27" t="s">
        <v>408</v>
      </c>
      <c r="K108" s="27">
        <v>507</v>
      </c>
      <c r="L108" s="179">
        <v>6894</v>
      </c>
      <c r="M108" s="180" t="s">
        <v>410</v>
      </c>
      <c r="N108" s="181" t="s">
        <v>408</v>
      </c>
      <c r="O108" s="182" t="s">
        <v>411</v>
      </c>
    </row>
    <row r="109" spans="2:15">
      <c r="B109" s="174" t="s">
        <v>412</v>
      </c>
      <c r="C109" s="175" t="s">
        <v>407</v>
      </c>
      <c r="D109" s="176" t="s">
        <v>408</v>
      </c>
      <c r="E109" s="177" t="s">
        <v>402</v>
      </c>
      <c r="F109" s="175">
        <f t="shared" si="3"/>
        <v>8</v>
      </c>
      <c r="G109" s="175" t="str">
        <f t="shared" si="4"/>
        <v>Albany</v>
      </c>
      <c r="H109" s="175"/>
      <c r="I109" s="178" t="s">
        <v>409</v>
      </c>
      <c r="J109" s="27" t="s">
        <v>408</v>
      </c>
      <c r="K109" s="27">
        <v>507</v>
      </c>
      <c r="L109" s="179">
        <v>6894</v>
      </c>
      <c r="M109" s="180" t="s">
        <v>410</v>
      </c>
      <c r="N109" s="181" t="s">
        <v>408</v>
      </c>
      <c r="O109" s="182" t="s">
        <v>411</v>
      </c>
    </row>
    <row r="110" spans="2:15">
      <c r="B110" s="174" t="s">
        <v>413</v>
      </c>
      <c r="C110" s="175" t="s">
        <v>407</v>
      </c>
      <c r="D110" s="176" t="s">
        <v>408</v>
      </c>
      <c r="E110" s="177" t="s">
        <v>402</v>
      </c>
      <c r="F110" s="175">
        <f t="shared" si="3"/>
        <v>8</v>
      </c>
      <c r="G110" s="175" t="str">
        <f t="shared" si="4"/>
        <v>Albany</v>
      </c>
      <c r="H110" s="175"/>
      <c r="I110" s="178" t="s">
        <v>409</v>
      </c>
      <c r="J110" s="27" t="s">
        <v>408</v>
      </c>
      <c r="K110" s="27">
        <v>507</v>
      </c>
      <c r="L110" s="179">
        <v>6894</v>
      </c>
      <c r="M110" s="180" t="s">
        <v>410</v>
      </c>
      <c r="N110" s="181" t="s">
        <v>408</v>
      </c>
      <c r="O110" s="182" t="s">
        <v>411</v>
      </c>
    </row>
    <row r="111" spans="2:15">
      <c r="B111" s="174" t="s">
        <v>1036</v>
      </c>
      <c r="C111" s="175" t="s">
        <v>407</v>
      </c>
      <c r="D111" s="176" t="s">
        <v>408</v>
      </c>
      <c r="E111" s="177" t="s">
        <v>1037</v>
      </c>
      <c r="F111" s="175">
        <f t="shared" si="3"/>
        <v>13</v>
      </c>
      <c r="G111" s="175" t="str">
        <f t="shared" si="4"/>
        <v>Schenectady</v>
      </c>
      <c r="H111" s="175"/>
      <c r="I111" s="178" t="s">
        <v>409</v>
      </c>
      <c r="J111" s="27" t="s">
        <v>408</v>
      </c>
      <c r="K111" s="27">
        <v>507</v>
      </c>
      <c r="L111" s="179">
        <v>6894</v>
      </c>
      <c r="M111" s="180" t="s">
        <v>410</v>
      </c>
      <c r="N111" s="181" t="s">
        <v>408</v>
      </c>
      <c r="O111" s="182" t="s">
        <v>411</v>
      </c>
    </row>
    <row r="112" spans="2:15">
      <c r="B112" s="174" t="s">
        <v>931</v>
      </c>
      <c r="C112" s="175" t="s">
        <v>407</v>
      </c>
      <c r="D112" s="176" t="s">
        <v>408</v>
      </c>
      <c r="E112" s="177" t="s">
        <v>932</v>
      </c>
      <c r="F112" s="175">
        <f t="shared" si="3"/>
        <v>10</v>
      </c>
      <c r="G112" s="175" t="str">
        <f t="shared" si="4"/>
        <v>Kingston</v>
      </c>
      <c r="H112" s="175"/>
      <c r="I112" s="178" t="s">
        <v>409</v>
      </c>
      <c r="J112" s="27" t="s">
        <v>408</v>
      </c>
      <c r="K112" s="27">
        <v>507</v>
      </c>
      <c r="L112" s="179">
        <v>6894</v>
      </c>
      <c r="M112" s="180" t="s">
        <v>410</v>
      </c>
      <c r="N112" s="181" t="s">
        <v>408</v>
      </c>
      <c r="O112" s="182" t="s">
        <v>411</v>
      </c>
    </row>
    <row r="113" spans="2:20">
      <c r="B113" s="174" t="s">
        <v>2578</v>
      </c>
      <c r="C113" s="175" t="s">
        <v>407</v>
      </c>
      <c r="D113" s="176" t="s">
        <v>408</v>
      </c>
      <c r="E113" s="177" t="s">
        <v>2579</v>
      </c>
      <c r="F113" s="175">
        <f t="shared" si="3"/>
        <v>14</v>
      </c>
      <c r="G113" s="175" t="str">
        <f t="shared" si="4"/>
        <v>Poughkeepsie</v>
      </c>
      <c r="H113" s="175"/>
      <c r="I113" s="178" t="s">
        <v>714</v>
      </c>
      <c r="J113" s="27" t="s">
        <v>644</v>
      </c>
      <c r="K113" s="27">
        <v>677</v>
      </c>
      <c r="L113" s="179">
        <v>6151</v>
      </c>
      <c r="M113" s="178" t="s">
        <v>711</v>
      </c>
      <c r="N113" s="27" t="s">
        <v>644</v>
      </c>
      <c r="O113" s="182" t="s">
        <v>712</v>
      </c>
    </row>
    <row r="114" spans="2:20">
      <c r="B114" s="174" t="s">
        <v>2580</v>
      </c>
      <c r="C114" s="175" t="s">
        <v>407</v>
      </c>
      <c r="D114" s="176" t="s">
        <v>408</v>
      </c>
      <c r="E114" s="177" t="s">
        <v>2579</v>
      </c>
      <c r="F114" s="175">
        <f t="shared" si="3"/>
        <v>14</v>
      </c>
      <c r="G114" s="175" t="str">
        <f t="shared" si="4"/>
        <v>Poughkeepsie</v>
      </c>
      <c r="H114" s="175"/>
      <c r="I114" s="178" t="s">
        <v>646</v>
      </c>
      <c r="J114" s="27" t="s">
        <v>644</v>
      </c>
      <c r="K114" s="27">
        <v>724</v>
      </c>
      <c r="L114" s="179">
        <v>5537</v>
      </c>
      <c r="M114" s="178" t="s">
        <v>647</v>
      </c>
      <c r="N114" s="27" t="s">
        <v>644</v>
      </c>
      <c r="O114" s="182" t="s">
        <v>648</v>
      </c>
      <c r="S114" s="27"/>
      <c r="T114" s="27"/>
    </row>
    <row r="115" spans="2:20">
      <c r="B115" s="174" t="s">
        <v>1096</v>
      </c>
      <c r="C115" s="175" t="s">
        <v>407</v>
      </c>
      <c r="D115" s="176" t="s">
        <v>408</v>
      </c>
      <c r="E115" s="177" t="s">
        <v>1097</v>
      </c>
      <c r="F115" s="175">
        <f t="shared" si="3"/>
        <v>12</v>
      </c>
      <c r="G115" s="175" t="str">
        <f t="shared" si="4"/>
        <v>Monticello</v>
      </c>
      <c r="H115" s="175"/>
      <c r="I115" s="178" t="s">
        <v>1498</v>
      </c>
      <c r="J115" s="27" t="s">
        <v>408</v>
      </c>
      <c r="K115" s="27">
        <v>337</v>
      </c>
      <c r="L115" s="179">
        <v>7273</v>
      </c>
      <c r="M115" s="180" t="s">
        <v>1499</v>
      </c>
      <c r="N115" s="181" t="s">
        <v>441</v>
      </c>
      <c r="O115" s="182" t="s">
        <v>1500</v>
      </c>
    </row>
    <row r="116" spans="2:20">
      <c r="B116" s="174" t="s">
        <v>2084</v>
      </c>
      <c r="C116" s="175" t="s">
        <v>407</v>
      </c>
      <c r="D116" s="176" t="s">
        <v>408</v>
      </c>
      <c r="E116" s="177" t="s">
        <v>2085</v>
      </c>
      <c r="F116" s="175">
        <f t="shared" si="3"/>
        <v>13</v>
      </c>
      <c r="G116" s="175" t="str">
        <f t="shared" si="4"/>
        <v>Glens Falls</v>
      </c>
      <c r="H116" s="175"/>
      <c r="I116" s="178" t="s">
        <v>1401</v>
      </c>
      <c r="J116" s="27" t="s">
        <v>1684</v>
      </c>
      <c r="K116" s="27">
        <v>388</v>
      </c>
      <c r="L116" s="179">
        <v>7771</v>
      </c>
      <c r="M116" s="180" t="s">
        <v>1402</v>
      </c>
      <c r="N116" s="181" t="s">
        <v>1684</v>
      </c>
      <c r="O116" s="182" t="s">
        <v>1403</v>
      </c>
    </row>
    <row r="117" spans="2:20">
      <c r="B117" s="174" t="s">
        <v>2549</v>
      </c>
      <c r="C117" s="175" t="s">
        <v>407</v>
      </c>
      <c r="D117" s="176" t="s">
        <v>408</v>
      </c>
      <c r="E117" s="177" t="s">
        <v>2550</v>
      </c>
      <c r="F117" s="175">
        <f t="shared" si="3"/>
        <v>13</v>
      </c>
      <c r="G117" s="175" t="str">
        <f t="shared" si="4"/>
        <v>Plattsburgh</v>
      </c>
      <c r="H117" s="175"/>
      <c r="I117" s="178" t="s">
        <v>1401</v>
      </c>
      <c r="J117" s="27" t="s">
        <v>1684</v>
      </c>
      <c r="K117" s="27">
        <v>388</v>
      </c>
      <c r="L117" s="179">
        <v>7771</v>
      </c>
      <c r="M117" s="180" t="s">
        <v>1402</v>
      </c>
      <c r="N117" s="181" t="s">
        <v>1684</v>
      </c>
      <c r="O117" s="182" t="s">
        <v>1403</v>
      </c>
    </row>
    <row r="118" spans="2:20">
      <c r="B118" s="174" t="s">
        <v>808</v>
      </c>
      <c r="C118" s="175" t="s">
        <v>407</v>
      </c>
      <c r="D118" s="176" t="s">
        <v>408</v>
      </c>
      <c r="E118" s="177" t="s">
        <v>809</v>
      </c>
      <c r="F118" s="175">
        <f t="shared" si="3"/>
        <v>10</v>
      </c>
      <c r="G118" s="175" t="str">
        <f t="shared" si="4"/>
        <v>Syracuse</v>
      </c>
      <c r="H118" s="175"/>
      <c r="I118" s="178" t="s">
        <v>81</v>
      </c>
      <c r="J118" s="27" t="s">
        <v>408</v>
      </c>
      <c r="K118" s="27">
        <v>438</v>
      </c>
      <c r="L118" s="179">
        <v>6834</v>
      </c>
      <c r="M118" s="180" t="s">
        <v>1063</v>
      </c>
      <c r="N118" s="181" t="s">
        <v>408</v>
      </c>
      <c r="O118" s="182" t="s">
        <v>1064</v>
      </c>
    </row>
    <row r="119" spans="2:20">
      <c r="B119" s="174" t="s">
        <v>810</v>
      </c>
      <c r="C119" s="175" t="s">
        <v>407</v>
      </c>
      <c r="D119" s="176" t="s">
        <v>408</v>
      </c>
      <c r="E119" s="177" t="s">
        <v>809</v>
      </c>
      <c r="F119" s="175">
        <f t="shared" si="3"/>
        <v>10</v>
      </c>
      <c r="G119" s="175" t="str">
        <f t="shared" si="4"/>
        <v>Syracuse</v>
      </c>
      <c r="H119" s="175"/>
      <c r="I119" s="178" t="s">
        <v>1384</v>
      </c>
      <c r="J119" s="27" t="s">
        <v>408</v>
      </c>
      <c r="K119" s="27">
        <v>425</v>
      </c>
      <c r="L119" s="179">
        <v>6734</v>
      </c>
      <c r="M119" s="180" t="s">
        <v>1063</v>
      </c>
      <c r="N119" s="181" t="s">
        <v>408</v>
      </c>
      <c r="O119" s="182" t="s">
        <v>1064</v>
      </c>
    </row>
    <row r="120" spans="2:20">
      <c r="B120" s="174" t="s">
        <v>811</v>
      </c>
      <c r="C120" s="175" t="s">
        <v>407</v>
      </c>
      <c r="D120" s="176" t="s">
        <v>408</v>
      </c>
      <c r="E120" s="177" t="s">
        <v>809</v>
      </c>
      <c r="F120" s="175">
        <f t="shared" si="3"/>
        <v>10</v>
      </c>
      <c r="G120" s="175" t="str">
        <f t="shared" si="4"/>
        <v>Syracuse</v>
      </c>
      <c r="H120" s="175"/>
      <c r="I120" s="178" t="s">
        <v>81</v>
      </c>
      <c r="J120" s="27" t="s">
        <v>408</v>
      </c>
      <c r="K120" s="27">
        <v>438</v>
      </c>
      <c r="L120" s="179">
        <v>6834</v>
      </c>
      <c r="M120" s="180" t="s">
        <v>1063</v>
      </c>
      <c r="N120" s="181" t="s">
        <v>408</v>
      </c>
      <c r="O120" s="182" t="s">
        <v>1064</v>
      </c>
    </row>
    <row r="121" spans="2:20">
      <c r="B121" s="174" t="s">
        <v>1845</v>
      </c>
      <c r="C121" s="175" t="s">
        <v>407</v>
      </c>
      <c r="D121" s="176" t="s">
        <v>408</v>
      </c>
      <c r="E121" s="177" t="s">
        <v>1846</v>
      </c>
      <c r="F121" s="175">
        <f t="shared" si="3"/>
        <v>7</v>
      </c>
      <c r="G121" s="175" t="str">
        <f t="shared" si="4"/>
        <v>Utica</v>
      </c>
      <c r="H121" s="175"/>
      <c r="I121" s="178" t="s">
        <v>1498</v>
      </c>
      <c r="J121" s="27" t="s">
        <v>408</v>
      </c>
      <c r="K121" s="27">
        <v>337</v>
      </c>
      <c r="L121" s="179">
        <v>7273</v>
      </c>
      <c r="M121" s="180" t="s">
        <v>1499</v>
      </c>
      <c r="N121" s="181" t="s">
        <v>441</v>
      </c>
      <c r="O121" s="182" t="s">
        <v>1500</v>
      </c>
    </row>
    <row r="122" spans="2:20">
      <c r="B122" s="174" t="s">
        <v>1847</v>
      </c>
      <c r="C122" s="175" t="s">
        <v>407</v>
      </c>
      <c r="D122" s="176" t="s">
        <v>408</v>
      </c>
      <c r="E122" s="177" t="s">
        <v>1846</v>
      </c>
      <c r="F122" s="175">
        <f t="shared" si="3"/>
        <v>7</v>
      </c>
      <c r="G122" s="175" t="str">
        <f t="shared" si="4"/>
        <v>Utica</v>
      </c>
      <c r="H122" s="175"/>
      <c r="I122" s="178" t="s">
        <v>1498</v>
      </c>
      <c r="J122" s="27" t="s">
        <v>408</v>
      </c>
      <c r="K122" s="27">
        <v>337</v>
      </c>
      <c r="L122" s="179">
        <v>7273</v>
      </c>
      <c r="M122" s="180" t="s">
        <v>1499</v>
      </c>
      <c r="N122" s="181" t="s">
        <v>441</v>
      </c>
      <c r="O122" s="182" t="s">
        <v>1500</v>
      </c>
    </row>
    <row r="123" spans="2:20">
      <c r="B123" s="174" t="s">
        <v>1848</v>
      </c>
      <c r="C123" s="175" t="s">
        <v>407</v>
      </c>
      <c r="D123" s="176" t="s">
        <v>408</v>
      </c>
      <c r="E123" s="177" t="s">
        <v>1846</v>
      </c>
      <c r="F123" s="175">
        <f t="shared" si="3"/>
        <v>7</v>
      </c>
      <c r="G123" s="175" t="str">
        <f t="shared" si="4"/>
        <v>Utica</v>
      </c>
      <c r="H123" s="175"/>
      <c r="I123" s="178" t="s">
        <v>81</v>
      </c>
      <c r="J123" s="27" t="s">
        <v>408</v>
      </c>
      <c r="K123" s="27">
        <v>438</v>
      </c>
      <c r="L123" s="179">
        <v>6834</v>
      </c>
      <c r="M123" s="180" t="s">
        <v>1063</v>
      </c>
      <c r="N123" s="181" t="s">
        <v>408</v>
      </c>
      <c r="O123" s="182" t="s">
        <v>1064</v>
      </c>
    </row>
    <row r="124" spans="2:20">
      <c r="B124" s="174" t="s">
        <v>1887</v>
      </c>
      <c r="C124" s="175" t="s">
        <v>407</v>
      </c>
      <c r="D124" s="176" t="s">
        <v>408</v>
      </c>
      <c r="E124" s="177" t="s">
        <v>1888</v>
      </c>
      <c r="F124" s="175">
        <f t="shared" si="3"/>
        <v>11</v>
      </c>
      <c r="G124" s="175" t="str">
        <f t="shared" si="4"/>
        <v>Watertown</v>
      </c>
      <c r="H124" s="175"/>
      <c r="I124" s="178" t="s">
        <v>81</v>
      </c>
      <c r="J124" s="27" t="s">
        <v>408</v>
      </c>
      <c r="K124" s="27">
        <v>438</v>
      </c>
      <c r="L124" s="179">
        <v>6834</v>
      </c>
      <c r="M124" s="180" t="s">
        <v>1063</v>
      </c>
      <c r="N124" s="181" t="s">
        <v>408</v>
      </c>
      <c r="O124" s="182" t="s">
        <v>1064</v>
      </c>
      <c r="S124" s="27"/>
      <c r="T124" s="27"/>
    </row>
    <row r="125" spans="2:20">
      <c r="B125" s="174" t="s">
        <v>1494</v>
      </c>
      <c r="C125" s="175" t="s">
        <v>407</v>
      </c>
      <c r="D125" s="176" t="s">
        <v>408</v>
      </c>
      <c r="E125" s="177" t="s">
        <v>1495</v>
      </c>
      <c r="F125" s="175">
        <f t="shared" si="3"/>
        <v>12</v>
      </c>
      <c r="G125" s="175" t="str">
        <f t="shared" si="4"/>
        <v>Binghamton</v>
      </c>
      <c r="H125" s="175"/>
      <c r="I125" s="178" t="s">
        <v>409</v>
      </c>
      <c r="J125" s="27" t="s">
        <v>408</v>
      </c>
      <c r="K125" s="27">
        <v>507</v>
      </c>
      <c r="L125" s="179">
        <v>6894</v>
      </c>
      <c r="M125" s="180" t="s">
        <v>410</v>
      </c>
      <c r="N125" s="181" t="s">
        <v>408</v>
      </c>
      <c r="O125" s="182" t="s">
        <v>411</v>
      </c>
      <c r="S125" s="27"/>
      <c r="T125" s="27"/>
    </row>
    <row r="126" spans="2:20">
      <c r="B126" s="174" t="s">
        <v>1496</v>
      </c>
      <c r="C126" s="175" t="s">
        <v>407</v>
      </c>
      <c r="D126" s="176" t="s">
        <v>408</v>
      </c>
      <c r="E126" s="177" t="s">
        <v>1495</v>
      </c>
      <c r="F126" s="175">
        <f t="shared" si="3"/>
        <v>12</v>
      </c>
      <c r="G126" s="175" t="str">
        <f t="shared" si="4"/>
        <v>Binghamton</v>
      </c>
      <c r="H126" s="175"/>
      <c r="I126" s="178" t="s">
        <v>409</v>
      </c>
      <c r="J126" s="27" t="s">
        <v>408</v>
      </c>
      <c r="K126" s="27">
        <v>507</v>
      </c>
      <c r="L126" s="179">
        <v>6894</v>
      </c>
      <c r="M126" s="180" t="s">
        <v>410</v>
      </c>
      <c r="N126" s="181" t="s">
        <v>408</v>
      </c>
      <c r="O126" s="182" t="s">
        <v>411</v>
      </c>
    </row>
    <row r="127" spans="2:20">
      <c r="B127" s="174" t="s">
        <v>1497</v>
      </c>
      <c r="C127" s="175" t="s">
        <v>407</v>
      </c>
      <c r="D127" s="176" t="s">
        <v>408</v>
      </c>
      <c r="E127" s="177" t="s">
        <v>1495</v>
      </c>
      <c r="F127" s="175">
        <f t="shared" si="3"/>
        <v>12</v>
      </c>
      <c r="G127" s="175" t="str">
        <f t="shared" si="4"/>
        <v>Binghamton</v>
      </c>
      <c r="H127" s="175"/>
      <c r="I127" s="178" t="s">
        <v>1498</v>
      </c>
      <c r="J127" s="27" t="s">
        <v>408</v>
      </c>
      <c r="K127" s="27">
        <v>337</v>
      </c>
      <c r="L127" s="179">
        <v>7273</v>
      </c>
      <c r="M127" s="180" t="s">
        <v>1499</v>
      </c>
      <c r="N127" s="181" t="s">
        <v>441</v>
      </c>
      <c r="O127" s="182" t="s">
        <v>1500</v>
      </c>
    </row>
    <row r="128" spans="2:20">
      <c r="B128" s="174" t="s">
        <v>1381</v>
      </c>
      <c r="C128" s="175" t="s">
        <v>407</v>
      </c>
      <c r="D128" s="176" t="s">
        <v>408</v>
      </c>
      <c r="E128" s="177" t="s">
        <v>1382</v>
      </c>
      <c r="F128" s="175">
        <f t="shared" si="3"/>
        <v>9</v>
      </c>
      <c r="G128" s="175" t="str">
        <f t="shared" si="4"/>
        <v>Buffalo</v>
      </c>
      <c r="H128" s="175"/>
      <c r="I128" s="178" t="s">
        <v>632</v>
      </c>
      <c r="J128" s="27" t="s">
        <v>441</v>
      </c>
      <c r="K128" s="27">
        <v>550</v>
      </c>
      <c r="L128" s="179">
        <v>6279</v>
      </c>
      <c r="M128" s="180" t="s">
        <v>633</v>
      </c>
      <c r="N128" s="181" t="s">
        <v>441</v>
      </c>
      <c r="O128" s="182" t="s">
        <v>634</v>
      </c>
    </row>
    <row r="129" spans="2:20">
      <c r="B129" s="174" t="s">
        <v>1383</v>
      </c>
      <c r="C129" s="175" t="s">
        <v>407</v>
      </c>
      <c r="D129" s="176" t="s">
        <v>408</v>
      </c>
      <c r="E129" s="177" t="s">
        <v>1382</v>
      </c>
      <c r="F129" s="175">
        <f t="shared" si="3"/>
        <v>9</v>
      </c>
      <c r="G129" s="175" t="str">
        <f t="shared" si="4"/>
        <v>Buffalo</v>
      </c>
      <c r="H129" s="175"/>
      <c r="I129" s="178" t="s">
        <v>1384</v>
      </c>
      <c r="J129" s="27" t="s">
        <v>408</v>
      </c>
      <c r="K129" s="27">
        <v>425</v>
      </c>
      <c r="L129" s="179">
        <v>6734</v>
      </c>
      <c r="M129" s="180" t="s">
        <v>1385</v>
      </c>
      <c r="N129" s="181" t="s">
        <v>408</v>
      </c>
      <c r="O129" s="182" t="s">
        <v>1386</v>
      </c>
    </row>
    <row r="130" spans="2:20">
      <c r="B130" s="174" t="s">
        <v>1387</v>
      </c>
      <c r="C130" s="175" t="s">
        <v>407</v>
      </c>
      <c r="D130" s="176" t="s">
        <v>408</v>
      </c>
      <c r="E130" s="177" t="s">
        <v>1382</v>
      </c>
      <c r="F130" s="175">
        <f t="shared" si="3"/>
        <v>9</v>
      </c>
      <c r="G130" s="175" t="str">
        <f t="shared" si="4"/>
        <v>Buffalo</v>
      </c>
      <c r="H130" s="175"/>
      <c r="I130" s="178" t="s">
        <v>1388</v>
      </c>
      <c r="J130" s="27" t="s">
        <v>408</v>
      </c>
      <c r="K130" s="27">
        <v>477</v>
      </c>
      <c r="L130" s="179">
        <v>6747</v>
      </c>
      <c r="M130" s="180" t="s">
        <v>1389</v>
      </c>
      <c r="N130" s="181" t="s">
        <v>408</v>
      </c>
      <c r="O130" s="182" t="s">
        <v>1390</v>
      </c>
    </row>
    <row r="131" spans="2:20">
      <c r="B131" s="174" t="s">
        <v>133</v>
      </c>
      <c r="C131" s="175" t="s">
        <v>407</v>
      </c>
      <c r="D131" s="176" t="s">
        <v>408</v>
      </c>
      <c r="E131" s="177" t="s">
        <v>134</v>
      </c>
      <c r="F131" s="175">
        <f t="shared" si="3"/>
        <v>15</v>
      </c>
      <c r="G131" s="175" t="str">
        <f t="shared" si="4"/>
        <v>Niagara Falls</v>
      </c>
      <c r="H131" s="175"/>
      <c r="I131" s="178" t="s">
        <v>1388</v>
      </c>
      <c r="J131" s="27" t="s">
        <v>408</v>
      </c>
      <c r="K131" s="27">
        <v>477</v>
      </c>
      <c r="L131" s="179">
        <v>6747</v>
      </c>
      <c r="M131" s="180" t="s">
        <v>1389</v>
      </c>
      <c r="N131" s="181" t="s">
        <v>408</v>
      </c>
      <c r="O131" s="182" t="s">
        <v>1390</v>
      </c>
    </row>
    <row r="132" spans="2:20">
      <c r="B132" s="174" t="s">
        <v>296</v>
      </c>
      <c r="C132" s="175" t="s">
        <v>407</v>
      </c>
      <c r="D132" s="176" t="s">
        <v>408</v>
      </c>
      <c r="E132" s="177" t="s">
        <v>295</v>
      </c>
      <c r="F132" s="175">
        <f t="shared" si="3"/>
        <v>11</v>
      </c>
      <c r="G132" s="175" t="str">
        <f t="shared" si="4"/>
        <v>Rochester</v>
      </c>
      <c r="H132" s="175"/>
      <c r="I132" s="178" t="s">
        <v>1388</v>
      </c>
      <c r="J132" s="27" t="s">
        <v>408</v>
      </c>
      <c r="K132" s="27">
        <v>477</v>
      </c>
      <c r="L132" s="179">
        <v>6747</v>
      </c>
      <c r="M132" s="180" t="s">
        <v>1389</v>
      </c>
      <c r="N132" s="181" t="s">
        <v>408</v>
      </c>
      <c r="O132" s="182" t="s">
        <v>1390</v>
      </c>
    </row>
    <row r="133" spans="2:20">
      <c r="B133" s="174" t="s">
        <v>297</v>
      </c>
      <c r="C133" s="175" t="s">
        <v>407</v>
      </c>
      <c r="D133" s="176" t="s">
        <v>408</v>
      </c>
      <c r="E133" s="177" t="s">
        <v>295</v>
      </c>
      <c r="F133" s="175">
        <f t="shared" si="3"/>
        <v>11</v>
      </c>
      <c r="G133" s="175" t="str">
        <f t="shared" si="4"/>
        <v>Rochester</v>
      </c>
      <c r="H133" s="175"/>
      <c r="I133" s="178" t="s">
        <v>1388</v>
      </c>
      <c r="J133" s="27" t="s">
        <v>408</v>
      </c>
      <c r="K133" s="27">
        <v>477</v>
      </c>
      <c r="L133" s="179">
        <v>6747</v>
      </c>
      <c r="M133" s="180" t="s">
        <v>1389</v>
      </c>
      <c r="N133" s="181" t="s">
        <v>408</v>
      </c>
      <c r="O133" s="182" t="s">
        <v>1390</v>
      </c>
      <c r="S133" s="27"/>
      <c r="T133" s="27"/>
    </row>
    <row r="134" spans="2:20">
      <c r="B134" s="174" t="s">
        <v>298</v>
      </c>
      <c r="C134" s="175" t="s">
        <v>407</v>
      </c>
      <c r="D134" s="176" t="s">
        <v>408</v>
      </c>
      <c r="E134" s="177" t="s">
        <v>295</v>
      </c>
      <c r="F134" s="175">
        <f t="shared" si="3"/>
        <v>11</v>
      </c>
      <c r="G134" s="175" t="str">
        <f t="shared" si="4"/>
        <v>Rochester</v>
      </c>
      <c r="H134" s="175"/>
      <c r="I134" s="178" t="s">
        <v>1384</v>
      </c>
      <c r="J134" s="27" t="s">
        <v>408</v>
      </c>
      <c r="K134" s="27">
        <v>425</v>
      </c>
      <c r="L134" s="179">
        <v>6734</v>
      </c>
      <c r="M134" s="180" t="s">
        <v>1385</v>
      </c>
      <c r="N134" s="181" t="s">
        <v>408</v>
      </c>
      <c r="O134" s="182" t="s">
        <v>1386</v>
      </c>
    </row>
    <row r="135" spans="2:20">
      <c r="B135" s="174" t="s">
        <v>99</v>
      </c>
      <c r="C135" s="175" t="s">
        <v>407</v>
      </c>
      <c r="D135" s="176" t="s">
        <v>408</v>
      </c>
      <c r="E135" s="177" t="s">
        <v>98</v>
      </c>
      <c r="F135" s="175">
        <f t="shared" si="3"/>
        <v>11</v>
      </c>
      <c r="G135" s="175" t="str">
        <f t="shared" si="4"/>
        <v>Jamestown</v>
      </c>
      <c r="H135" s="175"/>
      <c r="I135" s="178" t="s">
        <v>632</v>
      </c>
      <c r="J135" s="27" t="s">
        <v>441</v>
      </c>
      <c r="K135" s="27">
        <v>550</v>
      </c>
      <c r="L135" s="179">
        <v>6279</v>
      </c>
      <c r="M135" s="180" t="s">
        <v>633</v>
      </c>
      <c r="N135" s="181" t="s">
        <v>441</v>
      </c>
      <c r="O135" s="182" t="s">
        <v>634</v>
      </c>
    </row>
    <row r="136" spans="2:20">
      <c r="B136" s="174" t="s">
        <v>79</v>
      </c>
      <c r="C136" s="175" t="s">
        <v>407</v>
      </c>
      <c r="D136" s="176" t="s">
        <v>408</v>
      </c>
      <c r="E136" s="177" t="s">
        <v>80</v>
      </c>
      <c r="F136" s="175">
        <f t="shared" si="3"/>
        <v>8</v>
      </c>
      <c r="G136" s="175" t="str">
        <f t="shared" si="4"/>
        <v>Ithaca</v>
      </c>
      <c r="H136" s="175"/>
      <c r="I136" s="178" t="s">
        <v>81</v>
      </c>
      <c r="J136" s="27" t="s">
        <v>408</v>
      </c>
      <c r="K136" s="27">
        <v>438</v>
      </c>
      <c r="L136" s="179">
        <v>6834</v>
      </c>
      <c r="M136" s="180" t="s">
        <v>1063</v>
      </c>
      <c r="N136" s="181" t="s">
        <v>408</v>
      </c>
      <c r="O136" s="182" t="s">
        <v>1064</v>
      </c>
    </row>
    <row r="137" spans="2:20">
      <c r="B137" s="174" t="s">
        <v>1061</v>
      </c>
      <c r="C137" s="175" t="s">
        <v>407</v>
      </c>
      <c r="D137" s="176" t="s">
        <v>408</v>
      </c>
      <c r="E137" s="177" t="s">
        <v>1062</v>
      </c>
      <c r="F137" s="175">
        <f t="shared" si="3"/>
        <v>8</v>
      </c>
      <c r="G137" s="175" t="str">
        <f t="shared" si="4"/>
        <v>Elmira</v>
      </c>
      <c r="H137" s="175"/>
      <c r="I137" s="178" t="s">
        <v>1498</v>
      </c>
      <c r="J137" s="27" t="s">
        <v>408</v>
      </c>
      <c r="K137" s="27">
        <v>337</v>
      </c>
      <c r="L137" s="179">
        <v>7273</v>
      </c>
      <c r="M137" s="180" t="s">
        <v>1063</v>
      </c>
      <c r="N137" s="181" t="s">
        <v>408</v>
      </c>
      <c r="O137" s="182" t="s">
        <v>1064</v>
      </c>
    </row>
    <row r="138" spans="2:20">
      <c r="B138" s="174" t="s">
        <v>2540</v>
      </c>
      <c r="C138" s="175" t="s">
        <v>440</v>
      </c>
      <c r="D138" s="176" t="s">
        <v>441</v>
      </c>
      <c r="E138" s="177" t="s">
        <v>2541</v>
      </c>
      <c r="F138" s="175">
        <f t="shared" ref="F138:F201" si="5">LEN(E138)</f>
        <v>12</v>
      </c>
      <c r="G138" s="175" t="str">
        <f t="shared" ref="G138:G201" si="6">MID(E138,2,F138-2)</f>
        <v>Pittsburgh</v>
      </c>
      <c r="H138" s="175"/>
      <c r="I138" s="178" t="s">
        <v>455</v>
      </c>
      <c r="J138" s="27" t="s">
        <v>441</v>
      </c>
      <c r="K138" s="27">
        <v>654</v>
      </c>
      <c r="L138" s="179">
        <v>5968</v>
      </c>
      <c r="M138" s="180" t="s">
        <v>456</v>
      </c>
      <c r="N138" s="181" t="s">
        <v>441</v>
      </c>
      <c r="O138" s="182" t="s">
        <v>457</v>
      </c>
    </row>
    <row r="139" spans="2:20">
      <c r="B139" s="174" t="s">
        <v>2542</v>
      </c>
      <c r="C139" s="175" t="s">
        <v>440</v>
      </c>
      <c r="D139" s="176" t="s">
        <v>441</v>
      </c>
      <c r="E139" s="177" t="s">
        <v>2541</v>
      </c>
      <c r="F139" s="175">
        <f t="shared" si="5"/>
        <v>12</v>
      </c>
      <c r="G139" s="175" t="str">
        <f t="shared" si="6"/>
        <v>Pittsburgh</v>
      </c>
      <c r="H139" s="175"/>
      <c r="I139" s="178" t="s">
        <v>455</v>
      </c>
      <c r="J139" s="27" t="s">
        <v>441</v>
      </c>
      <c r="K139" s="27">
        <v>654</v>
      </c>
      <c r="L139" s="179">
        <v>5968</v>
      </c>
      <c r="M139" s="180" t="s">
        <v>456</v>
      </c>
      <c r="N139" s="181" t="s">
        <v>441</v>
      </c>
      <c r="O139" s="182" t="s">
        <v>457</v>
      </c>
    </row>
    <row r="140" spans="2:20">
      <c r="B140" s="174" t="s">
        <v>2543</v>
      </c>
      <c r="C140" s="175" t="s">
        <v>440</v>
      </c>
      <c r="D140" s="176" t="s">
        <v>441</v>
      </c>
      <c r="E140" s="177" t="s">
        <v>2541</v>
      </c>
      <c r="F140" s="175">
        <f t="shared" si="5"/>
        <v>12</v>
      </c>
      <c r="G140" s="175" t="str">
        <f t="shared" si="6"/>
        <v>Pittsburgh</v>
      </c>
      <c r="H140" s="175"/>
      <c r="I140" s="178" t="s">
        <v>455</v>
      </c>
      <c r="J140" s="27" t="s">
        <v>441</v>
      </c>
      <c r="K140" s="27">
        <v>654</v>
      </c>
      <c r="L140" s="179">
        <v>5968</v>
      </c>
      <c r="M140" s="180" t="s">
        <v>456</v>
      </c>
      <c r="N140" s="181" t="s">
        <v>441</v>
      </c>
      <c r="O140" s="182" t="s">
        <v>457</v>
      </c>
    </row>
    <row r="141" spans="2:20">
      <c r="B141" s="174" t="s">
        <v>1881</v>
      </c>
      <c r="C141" s="175" t="s">
        <v>440</v>
      </c>
      <c r="D141" s="176" t="s">
        <v>441</v>
      </c>
      <c r="E141" s="177" t="s">
        <v>547</v>
      </c>
      <c r="F141" s="175">
        <f t="shared" si="5"/>
        <v>12</v>
      </c>
      <c r="G141" s="175" t="str">
        <f t="shared" si="6"/>
        <v>Washington</v>
      </c>
      <c r="H141" s="175"/>
      <c r="I141" s="178" t="s">
        <v>455</v>
      </c>
      <c r="J141" s="27" t="s">
        <v>441</v>
      </c>
      <c r="K141" s="27">
        <v>654</v>
      </c>
      <c r="L141" s="179">
        <v>5968</v>
      </c>
      <c r="M141" s="180" t="s">
        <v>456</v>
      </c>
      <c r="N141" s="181" t="s">
        <v>441</v>
      </c>
      <c r="O141" s="182" t="s">
        <v>457</v>
      </c>
    </row>
    <row r="142" spans="2:20">
      <c r="B142" s="174" t="s">
        <v>1843</v>
      </c>
      <c r="C142" s="175" t="s">
        <v>440</v>
      </c>
      <c r="D142" s="176" t="s">
        <v>441</v>
      </c>
      <c r="E142" s="177" t="s">
        <v>1844</v>
      </c>
      <c r="F142" s="175">
        <f t="shared" si="5"/>
        <v>11</v>
      </c>
      <c r="G142" s="175" t="str">
        <f t="shared" si="6"/>
        <v>Uniontown</v>
      </c>
      <c r="H142" s="175"/>
      <c r="I142" s="178" t="s">
        <v>455</v>
      </c>
      <c r="J142" s="27" t="s">
        <v>441</v>
      </c>
      <c r="K142" s="27">
        <v>654</v>
      </c>
      <c r="L142" s="179">
        <v>5968</v>
      </c>
      <c r="M142" s="180" t="s">
        <v>456</v>
      </c>
      <c r="N142" s="181" t="s">
        <v>441</v>
      </c>
      <c r="O142" s="182" t="s">
        <v>457</v>
      </c>
    </row>
    <row r="143" spans="2:20">
      <c r="B143" s="174" t="s">
        <v>2341</v>
      </c>
      <c r="C143" s="175" t="s">
        <v>440</v>
      </c>
      <c r="D143" s="176" t="s">
        <v>441</v>
      </c>
      <c r="E143" s="177" t="s">
        <v>2339</v>
      </c>
      <c r="F143" s="175">
        <f t="shared" si="5"/>
        <v>10</v>
      </c>
      <c r="G143" s="175" t="str">
        <f t="shared" si="6"/>
        <v>Somerset</v>
      </c>
      <c r="H143" s="175"/>
      <c r="I143" s="178" t="s">
        <v>455</v>
      </c>
      <c r="J143" s="27" t="s">
        <v>441</v>
      </c>
      <c r="K143" s="27">
        <v>654</v>
      </c>
      <c r="L143" s="179">
        <v>5968</v>
      </c>
      <c r="M143" s="180" t="s">
        <v>456</v>
      </c>
      <c r="N143" s="181" t="s">
        <v>441</v>
      </c>
      <c r="O143" s="182" t="s">
        <v>457</v>
      </c>
    </row>
    <row r="144" spans="2:20">
      <c r="B144" s="174" t="s">
        <v>2130</v>
      </c>
      <c r="C144" s="175" t="s">
        <v>440</v>
      </c>
      <c r="D144" s="176" t="s">
        <v>441</v>
      </c>
      <c r="E144" s="177" t="s">
        <v>2131</v>
      </c>
      <c r="F144" s="175">
        <f t="shared" si="5"/>
        <v>12</v>
      </c>
      <c r="G144" s="175" t="str">
        <f t="shared" si="6"/>
        <v>Greensburg</v>
      </c>
      <c r="H144" s="175"/>
      <c r="I144" s="178" t="s">
        <v>455</v>
      </c>
      <c r="J144" s="27" t="s">
        <v>441</v>
      </c>
      <c r="K144" s="27">
        <v>654</v>
      </c>
      <c r="L144" s="179">
        <v>5968</v>
      </c>
      <c r="M144" s="180" t="s">
        <v>456</v>
      </c>
      <c r="N144" s="181" t="s">
        <v>441</v>
      </c>
      <c r="O144" s="182" t="s">
        <v>457</v>
      </c>
    </row>
    <row r="145" spans="2:15">
      <c r="B145" s="174" t="s">
        <v>68</v>
      </c>
      <c r="C145" s="175" t="s">
        <v>440</v>
      </c>
      <c r="D145" s="176" t="s">
        <v>441</v>
      </c>
      <c r="E145" s="177" t="s">
        <v>2363</v>
      </c>
      <c r="F145" s="175">
        <f t="shared" si="5"/>
        <v>9</v>
      </c>
      <c r="G145" s="175" t="str">
        <f t="shared" si="6"/>
        <v>Indiana</v>
      </c>
      <c r="H145" s="175"/>
      <c r="I145" s="178" t="s">
        <v>455</v>
      </c>
      <c r="J145" s="27" t="s">
        <v>441</v>
      </c>
      <c r="K145" s="27">
        <v>654</v>
      </c>
      <c r="L145" s="179">
        <v>5968</v>
      </c>
      <c r="M145" s="180" t="s">
        <v>456</v>
      </c>
      <c r="N145" s="181" t="s">
        <v>441</v>
      </c>
      <c r="O145" s="182" t="s">
        <v>457</v>
      </c>
    </row>
    <row r="146" spans="2:15">
      <c r="B146" s="174" t="s">
        <v>1802</v>
      </c>
      <c r="C146" s="175" t="s">
        <v>440</v>
      </c>
      <c r="D146" s="176" t="s">
        <v>441</v>
      </c>
      <c r="E146" s="177" t="s">
        <v>1803</v>
      </c>
      <c r="F146" s="175">
        <f t="shared" si="5"/>
        <v>9</v>
      </c>
      <c r="G146" s="175" t="str">
        <f t="shared" si="6"/>
        <v>Du Bois</v>
      </c>
      <c r="H146" s="175"/>
      <c r="I146" s="178" t="s">
        <v>1804</v>
      </c>
      <c r="J146" s="27" t="s">
        <v>441</v>
      </c>
      <c r="K146" s="27">
        <v>622</v>
      </c>
      <c r="L146" s="179">
        <v>6087</v>
      </c>
      <c r="M146" s="180" t="s">
        <v>456</v>
      </c>
      <c r="N146" s="181" t="s">
        <v>441</v>
      </c>
      <c r="O146" s="182" t="s">
        <v>457</v>
      </c>
    </row>
    <row r="147" spans="2:15">
      <c r="B147" s="174" t="s">
        <v>109</v>
      </c>
      <c r="C147" s="175" t="s">
        <v>440</v>
      </c>
      <c r="D147" s="176" t="s">
        <v>441</v>
      </c>
      <c r="E147" s="177" t="s">
        <v>110</v>
      </c>
      <c r="F147" s="175">
        <f t="shared" si="5"/>
        <v>11</v>
      </c>
      <c r="G147" s="175" t="str">
        <f t="shared" si="6"/>
        <v>Johnstown</v>
      </c>
      <c r="H147" s="175"/>
      <c r="I147" s="178" t="s">
        <v>455</v>
      </c>
      <c r="J147" s="27" t="s">
        <v>441</v>
      </c>
      <c r="K147" s="27">
        <v>654</v>
      </c>
      <c r="L147" s="179">
        <v>5968</v>
      </c>
      <c r="M147" s="180" t="s">
        <v>456</v>
      </c>
      <c r="N147" s="181" t="s">
        <v>441</v>
      </c>
      <c r="O147" s="182" t="s">
        <v>457</v>
      </c>
    </row>
    <row r="148" spans="2:15">
      <c r="B148" s="174" t="s">
        <v>1410</v>
      </c>
      <c r="C148" s="175" t="s">
        <v>440</v>
      </c>
      <c r="D148" s="176" t="s">
        <v>441</v>
      </c>
      <c r="E148" s="177" t="s">
        <v>1405</v>
      </c>
      <c r="F148" s="175">
        <f t="shared" si="5"/>
        <v>8</v>
      </c>
      <c r="G148" s="175" t="str">
        <f t="shared" si="6"/>
        <v>Butler</v>
      </c>
      <c r="H148" s="175"/>
      <c r="I148" s="178" t="s">
        <v>1411</v>
      </c>
      <c r="J148" s="27" t="s">
        <v>386</v>
      </c>
      <c r="K148" s="27">
        <v>497</v>
      </c>
      <c r="L148" s="179">
        <v>6544</v>
      </c>
      <c r="M148" s="180" t="s">
        <v>1412</v>
      </c>
      <c r="N148" s="181" t="s">
        <v>386</v>
      </c>
      <c r="O148" s="182" t="s">
        <v>1413</v>
      </c>
    </row>
    <row r="149" spans="2:15">
      <c r="B149" s="174" t="s">
        <v>1124</v>
      </c>
      <c r="C149" s="175" t="s">
        <v>440</v>
      </c>
      <c r="D149" s="176" t="s">
        <v>441</v>
      </c>
      <c r="E149" s="177" t="s">
        <v>1125</v>
      </c>
      <c r="F149" s="175">
        <f t="shared" si="5"/>
        <v>12</v>
      </c>
      <c r="G149" s="175" t="str">
        <f t="shared" si="6"/>
        <v>New Castle</v>
      </c>
      <c r="H149" s="175"/>
      <c r="I149" s="178" t="s">
        <v>455</v>
      </c>
      <c r="J149" s="27" t="s">
        <v>441</v>
      </c>
      <c r="K149" s="27">
        <v>654</v>
      </c>
      <c r="L149" s="179">
        <v>5968</v>
      </c>
      <c r="M149" s="180" t="s">
        <v>456</v>
      </c>
      <c r="N149" s="181" t="s">
        <v>441</v>
      </c>
      <c r="O149" s="182" t="s">
        <v>457</v>
      </c>
    </row>
    <row r="150" spans="2:15">
      <c r="B150" s="174" t="s">
        <v>937</v>
      </c>
      <c r="C150" s="175" t="s">
        <v>440</v>
      </c>
      <c r="D150" s="176" t="s">
        <v>441</v>
      </c>
      <c r="E150" s="177" t="s">
        <v>938</v>
      </c>
      <c r="F150" s="175">
        <f t="shared" si="5"/>
        <v>12</v>
      </c>
      <c r="G150" s="175" t="str">
        <f t="shared" si="6"/>
        <v>Kittanning</v>
      </c>
      <c r="H150" s="175"/>
      <c r="I150" s="178" t="s">
        <v>1411</v>
      </c>
      <c r="J150" s="27" t="s">
        <v>386</v>
      </c>
      <c r="K150" s="27">
        <v>497</v>
      </c>
      <c r="L150" s="179">
        <v>6544</v>
      </c>
      <c r="M150" s="180" t="s">
        <v>1412</v>
      </c>
      <c r="N150" s="181" t="s">
        <v>386</v>
      </c>
      <c r="O150" s="182" t="s">
        <v>1413</v>
      </c>
    </row>
    <row r="151" spans="2:15">
      <c r="B151" s="174" t="s">
        <v>1509</v>
      </c>
      <c r="C151" s="175" t="s">
        <v>440</v>
      </c>
      <c r="D151" s="176" t="s">
        <v>441</v>
      </c>
      <c r="E151" s="177" t="s">
        <v>1510</v>
      </c>
      <c r="F151" s="175">
        <f t="shared" si="5"/>
        <v>10</v>
      </c>
      <c r="G151" s="175" t="str">
        <f t="shared" si="6"/>
        <v>Oil City</v>
      </c>
      <c r="H151" s="175"/>
      <c r="I151" s="178" t="s">
        <v>1411</v>
      </c>
      <c r="J151" s="27" t="s">
        <v>386</v>
      </c>
      <c r="K151" s="27">
        <v>497</v>
      </c>
      <c r="L151" s="179">
        <v>6544</v>
      </c>
      <c r="M151" s="180" t="s">
        <v>1412</v>
      </c>
      <c r="N151" s="181" t="s">
        <v>386</v>
      </c>
      <c r="O151" s="182" t="s">
        <v>1413</v>
      </c>
    </row>
    <row r="152" spans="2:15">
      <c r="B152" s="174" t="s">
        <v>1073</v>
      </c>
      <c r="C152" s="175" t="s">
        <v>440</v>
      </c>
      <c r="D152" s="176" t="s">
        <v>441</v>
      </c>
      <c r="E152" s="177" t="s">
        <v>529</v>
      </c>
      <c r="F152" s="175">
        <f t="shared" si="5"/>
        <v>6</v>
      </c>
      <c r="G152" s="175" t="str">
        <f t="shared" si="6"/>
        <v>Erie</v>
      </c>
      <c r="H152" s="175"/>
      <c r="I152" s="178" t="s">
        <v>632</v>
      </c>
      <c r="J152" s="27" t="s">
        <v>441</v>
      </c>
      <c r="K152" s="27">
        <v>550</v>
      </c>
      <c r="L152" s="179">
        <v>6279</v>
      </c>
      <c r="M152" s="180" t="s">
        <v>633</v>
      </c>
      <c r="N152" s="181" t="s">
        <v>441</v>
      </c>
      <c r="O152" s="182" t="s">
        <v>634</v>
      </c>
    </row>
    <row r="153" spans="2:15">
      <c r="B153" s="174" t="s">
        <v>530</v>
      </c>
      <c r="C153" s="175" t="s">
        <v>440</v>
      </c>
      <c r="D153" s="176" t="s">
        <v>441</v>
      </c>
      <c r="E153" s="177" t="s">
        <v>529</v>
      </c>
      <c r="F153" s="175">
        <f t="shared" si="5"/>
        <v>6</v>
      </c>
      <c r="G153" s="175" t="str">
        <f t="shared" si="6"/>
        <v>Erie</v>
      </c>
      <c r="H153" s="175"/>
      <c r="I153" s="178" t="s">
        <v>632</v>
      </c>
      <c r="J153" s="27" t="s">
        <v>441</v>
      </c>
      <c r="K153" s="27">
        <v>550</v>
      </c>
      <c r="L153" s="179">
        <v>6279</v>
      </c>
      <c r="M153" s="180" t="s">
        <v>633</v>
      </c>
      <c r="N153" s="181" t="s">
        <v>441</v>
      </c>
      <c r="O153" s="182" t="s">
        <v>634</v>
      </c>
    </row>
    <row r="154" spans="2:15">
      <c r="B154" s="174" t="s">
        <v>453</v>
      </c>
      <c r="C154" s="175" t="s">
        <v>440</v>
      </c>
      <c r="D154" s="176" t="s">
        <v>441</v>
      </c>
      <c r="E154" s="177" t="s">
        <v>454</v>
      </c>
      <c r="F154" s="175">
        <f t="shared" si="5"/>
        <v>9</v>
      </c>
      <c r="G154" s="175" t="str">
        <f t="shared" si="6"/>
        <v>Altoona</v>
      </c>
      <c r="H154" s="175"/>
      <c r="I154" s="178" t="s">
        <v>455</v>
      </c>
      <c r="J154" s="27" t="s">
        <v>441</v>
      </c>
      <c r="K154" s="27">
        <v>654</v>
      </c>
      <c r="L154" s="179">
        <v>5968</v>
      </c>
      <c r="M154" s="180" t="s">
        <v>456</v>
      </c>
      <c r="N154" s="181" t="s">
        <v>441</v>
      </c>
      <c r="O154" s="182" t="s">
        <v>457</v>
      </c>
    </row>
    <row r="155" spans="2:15">
      <c r="B155" s="174" t="s">
        <v>630</v>
      </c>
      <c r="C155" s="175" t="s">
        <v>440</v>
      </c>
      <c r="D155" s="176" t="s">
        <v>441</v>
      </c>
      <c r="E155" s="177" t="s">
        <v>631</v>
      </c>
      <c r="F155" s="175">
        <f t="shared" si="5"/>
        <v>10</v>
      </c>
      <c r="G155" s="175" t="str">
        <f t="shared" si="6"/>
        <v>Bradford</v>
      </c>
      <c r="H155" s="175"/>
      <c r="I155" s="178" t="s">
        <v>632</v>
      </c>
      <c r="J155" s="27" t="s">
        <v>441</v>
      </c>
      <c r="K155" s="27">
        <v>550</v>
      </c>
      <c r="L155" s="179">
        <v>6279</v>
      </c>
      <c r="M155" s="180" t="s">
        <v>633</v>
      </c>
      <c r="N155" s="181" t="s">
        <v>441</v>
      </c>
      <c r="O155" s="182" t="s">
        <v>634</v>
      </c>
    </row>
    <row r="156" spans="2:15">
      <c r="B156" s="174" t="s">
        <v>1319</v>
      </c>
      <c r="C156" s="175" t="s">
        <v>440</v>
      </c>
      <c r="D156" s="176" t="s">
        <v>441</v>
      </c>
      <c r="E156" s="177" t="s">
        <v>1320</v>
      </c>
      <c r="F156" s="175">
        <f t="shared" si="5"/>
        <v>15</v>
      </c>
      <c r="G156" s="175" t="str">
        <f t="shared" si="6"/>
        <v>State College</v>
      </c>
      <c r="H156" s="175"/>
      <c r="I156" s="178" t="s">
        <v>1804</v>
      </c>
      <c r="J156" s="27" t="s">
        <v>441</v>
      </c>
      <c r="K156" s="27">
        <v>622</v>
      </c>
      <c r="L156" s="179">
        <v>6087</v>
      </c>
      <c r="M156" s="180" t="s">
        <v>2430</v>
      </c>
      <c r="N156" s="181" t="s">
        <v>441</v>
      </c>
      <c r="O156" s="182" t="s">
        <v>2431</v>
      </c>
    </row>
    <row r="157" spans="2:15">
      <c r="B157" s="174" t="s">
        <v>1898</v>
      </c>
      <c r="C157" s="175" t="s">
        <v>440</v>
      </c>
      <c r="D157" s="176" t="s">
        <v>441</v>
      </c>
      <c r="E157" s="177" t="s">
        <v>1899</v>
      </c>
      <c r="F157" s="175">
        <f t="shared" si="5"/>
        <v>11</v>
      </c>
      <c r="G157" s="175" t="str">
        <f t="shared" si="6"/>
        <v>Wellsboro</v>
      </c>
      <c r="H157" s="175"/>
      <c r="I157" s="178" t="s">
        <v>1498</v>
      </c>
      <c r="J157" s="27" t="s">
        <v>408</v>
      </c>
      <c r="K157" s="27">
        <v>337</v>
      </c>
      <c r="L157" s="179">
        <v>7273</v>
      </c>
      <c r="M157" s="180" t="s">
        <v>1499</v>
      </c>
      <c r="N157" s="181" t="s">
        <v>441</v>
      </c>
      <c r="O157" s="182" t="s">
        <v>1500</v>
      </c>
    </row>
    <row r="158" spans="2:15">
      <c r="B158" s="174" t="s">
        <v>2154</v>
      </c>
      <c r="C158" s="175" t="s">
        <v>440</v>
      </c>
      <c r="D158" s="176" t="s">
        <v>441</v>
      </c>
      <c r="E158" s="177" t="s">
        <v>2155</v>
      </c>
      <c r="F158" s="175">
        <f t="shared" si="5"/>
        <v>12</v>
      </c>
      <c r="G158" s="175" t="str">
        <f t="shared" si="6"/>
        <v>Harrisburg</v>
      </c>
      <c r="H158" s="175"/>
      <c r="I158" s="178" t="s">
        <v>2429</v>
      </c>
      <c r="J158" s="27" t="s">
        <v>441</v>
      </c>
      <c r="K158" s="27">
        <v>962</v>
      </c>
      <c r="L158" s="179">
        <v>5347</v>
      </c>
      <c r="M158" s="180" t="s">
        <v>2430</v>
      </c>
      <c r="N158" s="181" t="s">
        <v>441</v>
      </c>
      <c r="O158" s="182" t="s">
        <v>2431</v>
      </c>
    </row>
    <row r="159" spans="2:15">
      <c r="B159" s="174" t="s">
        <v>2156</v>
      </c>
      <c r="C159" s="175" t="s">
        <v>440</v>
      </c>
      <c r="D159" s="176" t="s">
        <v>441</v>
      </c>
      <c r="E159" s="177" t="s">
        <v>2155</v>
      </c>
      <c r="F159" s="175">
        <f t="shared" si="5"/>
        <v>12</v>
      </c>
      <c r="G159" s="175" t="str">
        <f t="shared" si="6"/>
        <v>Harrisburg</v>
      </c>
      <c r="H159" s="175"/>
      <c r="I159" s="178" t="s">
        <v>2429</v>
      </c>
      <c r="J159" s="27" t="s">
        <v>441</v>
      </c>
      <c r="K159" s="27">
        <v>962</v>
      </c>
      <c r="L159" s="179">
        <v>5347</v>
      </c>
      <c r="M159" s="180" t="s">
        <v>2430</v>
      </c>
      <c r="N159" s="181" t="s">
        <v>441</v>
      </c>
      <c r="O159" s="182" t="s">
        <v>2431</v>
      </c>
    </row>
    <row r="160" spans="2:15">
      <c r="B160" s="174" t="s">
        <v>2427</v>
      </c>
      <c r="C160" s="175" t="s">
        <v>440</v>
      </c>
      <c r="D160" s="176" t="s">
        <v>441</v>
      </c>
      <c r="E160" s="177" t="s">
        <v>2428</v>
      </c>
      <c r="F160" s="175">
        <f t="shared" si="5"/>
        <v>14</v>
      </c>
      <c r="G160" s="175" t="str">
        <f t="shared" si="6"/>
        <v>Chambersburg</v>
      </c>
      <c r="H160" s="175"/>
      <c r="I160" s="178" t="s">
        <v>2429</v>
      </c>
      <c r="J160" s="27" t="s">
        <v>441</v>
      </c>
      <c r="K160" s="27">
        <v>962</v>
      </c>
      <c r="L160" s="179">
        <v>5347</v>
      </c>
      <c r="M160" s="180" t="s">
        <v>2430</v>
      </c>
      <c r="N160" s="181" t="s">
        <v>441</v>
      </c>
      <c r="O160" s="182" t="s">
        <v>2431</v>
      </c>
    </row>
    <row r="161" spans="2:20">
      <c r="B161" s="174" t="s">
        <v>1930</v>
      </c>
      <c r="C161" s="175" t="s">
        <v>440</v>
      </c>
      <c r="D161" s="176" t="s">
        <v>441</v>
      </c>
      <c r="E161" s="177" t="s">
        <v>1931</v>
      </c>
      <c r="F161" s="175">
        <f t="shared" si="5"/>
        <v>6</v>
      </c>
      <c r="G161" s="175" t="str">
        <f t="shared" si="6"/>
        <v>York</v>
      </c>
      <c r="H161" s="175"/>
      <c r="I161" s="178" t="s">
        <v>2429</v>
      </c>
      <c r="J161" s="27" t="s">
        <v>441</v>
      </c>
      <c r="K161" s="27">
        <v>962</v>
      </c>
      <c r="L161" s="179">
        <v>5347</v>
      </c>
      <c r="M161" s="180" t="s">
        <v>2430</v>
      </c>
      <c r="N161" s="181" t="s">
        <v>441</v>
      </c>
      <c r="O161" s="182" t="s">
        <v>2431</v>
      </c>
    </row>
    <row r="162" spans="2:20">
      <c r="B162" s="174" t="s">
        <v>1932</v>
      </c>
      <c r="C162" s="175" t="s">
        <v>440</v>
      </c>
      <c r="D162" s="176" t="s">
        <v>441</v>
      </c>
      <c r="E162" s="177" t="s">
        <v>1931</v>
      </c>
      <c r="F162" s="175">
        <f t="shared" si="5"/>
        <v>6</v>
      </c>
      <c r="G162" s="175" t="str">
        <f t="shared" si="6"/>
        <v>York</v>
      </c>
      <c r="H162" s="175"/>
      <c r="I162" s="178" t="s">
        <v>2429</v>
      </c>
      <c r="J162" s="27" t="s">
        <v>441</v>
      </c>
      <c r="K162" s="27">
        <v>962</v>
      </c>
      <c r="L162" s="179">
        <v>5347</v>
      </c>
      <c r="M162" s="180" t="s">
        <v>2430</v>
      </c>
      <c r="N162" s="181" t="s">
        <v>441</v>
      </c>
      <c r="O162" s="182" t="s">
        <v>2431</v>
      </c>
    </row>
    <row r="163" spans="2:20">
      <c r="B163" s="174" t="s">
        <v>972</v>
      </c>
      <c r="C163" s="175" t="s">
        <v>440</v>
      </c>
      <c r="D163" s="176" t="s">
        <v>441</v>
      </c>
      <c r="E163" s="177" t="s">
        <v>970</v>
      </c>
      <c r="F163" s="175">
        <f t="shared" si="5"/>
        <v>11</v>
      </c>
      <c r="G163" s="175" t="str">
        <f t="shared" si="6"/>
        <v>Lancaster</v>
      </c>
      <c r="H163" s="175"/>
      <c r="I163" s="178" t="s">
        <v>2429</v>
      </c>
      <c r="J163" s="27" t="s">
        <v>441</v>
      </c>
      <c r="K163" s="27">
        <v>962</v>
      </c>
      <c r="L163" s="179">
        <v>5347</v>
      </c>
      <c r="M163" s="180" t="s">
        <v>2430</v>
      </c>
      <c r="N163" s="181" t="s">
        <v>441</v>
      </c>
      <c r="O163" s="182" t="s">
        <v>2431</v>
      </c>
    </row>
    <row r="164" spans="2:20">
      <c r="B164" s="174" t="s">
        <v>973</v>
      </c>
      <c r="C164" s="175" t="s">
        <v>440</v>
      </c>
      <c r="D164" s="176" t="s">
        <v>441</v>
      </c>
      <c r="E164" s="177" t="s">
        <v>970</v>
      </c>
      <c r="F164" s="175">
        <f t="shared" si="5"/>
        <v>11</v>
      </c>
      <c r="G164" s="175" t="str">
        <f t="shared" si="6"/>
        <v>Lancaster</v>
      </c>
      <c r="H164" s="175"/>
      <c r="I164" s="178" t="s">
        <v>2429</v>
      </c>
      <c r="J164" s="27" t="s">
        <v>441</v>
      </c>
      <c r="K164" s="27">
        <v>962</v>
      </c>
      <c r="L164" s="179">
        <v>5347</v>
      </c>
      <c r="M164" s="180" t="s">
        <v>2430</v>
      </c>
      <c r="N164" s="181" t="s">
        <v>441</v>
      </c>
      <c r="O164" s="182" t="s">
        <v>2431</v>
      </c>
    </row>
    <row r="165" spans="2:20">
      <c r="B165" s="174" t="s">
        <v>679</v>
      </c>
      <c r="C165" s="175" t="s">
        <v>440</v>
      </c>
      <c r="D165" s="176" t="s">
        <v>441</v>
      </c>
      <c r="E165" s="177" t="s">
        <v>680</v>
      </c>
      <c r="F165" s="175">
        <f t="shared" si="5"/>
        <v>14</v>
      </c>
      <c r="G165" s="175" t="str">
        <f t="shared" si="6"/>
        <v>Williamsport</v>
      </c>
      <c r="H165" s="175"/>
      <c r="I165" s="178" t="s">
        <v>1804</v>
      </c>
      <c r="J165" s="27" t="s">
        <v>441</v>
      </c>
      <c r="K165" s="27">
        <v>622</v>
      </c>
      <c r="L165" s="179">
        <v>6087</v>
      </c>
      <c r="M165" s="180" t="s">
        <v>2430</v>
      </c>
      <c r="N165" s="181" t="s">
        <v>441</v>
      </c>
      <c r="O165" s="182" t="s">
        <v>2431</v>
      </c>
    </row>
    <row r="166" spans="2:20">
      <c r="B166" s="174" t="s">
        <v>801</v>
      </c>
      <c r="C166" s="175" t="s">
        <v>440</v>
      </c>
      <c r="D166" s="176" t="s">
        <v>441</v>
      </c>
      <c r="E166" s="177" t="s">
        <v>802</v>
      </c>
      <c r="F166" s="175">
        <f t="shared" si="5"/>
        <v>9</v>
      </c>
      <c r="G166" s="175" t="str">
        <f t="shared" si="6"/>
        <v>Sunbury</v>
      </c>
      <c r="H166" s="175"/>
      <c r="I166" s="178" t="s">
        <v>1804</v>
      </c>
      <c r="J166" s="27" t="s">
        <v>441</v>
      </c>
      <c r="K166" s="27">
        <v>622</v>
      </c>
      <c r="L166" s="179">
        <v>6087</v>
      </c>
      <c r="M166" s="180" t="s">
        <v>2430</v>
      </c>
      <c r="N166" s="181" t="s">
        <v>441</v>
      </c>
      <c r="O166" s="182" t="s">
        <v>2431</v>
      </c>
    </row>
    <row r="167" spans="2:20">
      <c r="B167" s="174" t="s">
        <v>2576</v>
      </c>
      <c r="C167" s="175" t="s">
        <v>440</v>
      </c>
      <c r="D167" s="176" t="s">
        <v>441</v>
      </c>
      <c r="E167" s="177" t="s">
        <v>2577</v>
      </c>
      <c r="F167" s="175">
        <f t="shared" si="5"/>
        <v>12</v>
      </c>
      <c r="G167" s="175" t="str">
        <f t="shared" si="6"/>
        <v>Pottsville</v>
      </c>
      <c r="H167" s="175"/>
      <c r="I167" s="178" t="s">
        <v>443</v>
      </c>
      <c r="J167" s="27" t="s">
        <v>441</v>
      </c>
      <c r="K167" s="27">
        <v>773</v>
      </c>
      <c r="L167" s="179">
        <v>5785</v>
      </c>
      <c r="M167" s="178" t="s">
        <v>444</v>
      </c>
      <c r="N167" s="27" t="s">
        <v>441</v>
      </c>
      <c r="O167" s="182" t="s">
        <v>445</v>
      </c>
    </row>
    <row r="168" spans="2:20">
      <c r="B168" s="174" t="s">
        <v>2173</v>
      </c>
      <c r="C168" s="175" t="s">
        <v>440</v>
      </c>
      <c r="D168" s="176" t="s">
        <v>441</v>
      </c>
      <c r="E168" s="177" t="s">
        <v>2174</v>
      </c>
      <c r="F168" s="175">
        <f t="shared" si="5"/>
        <v>15</v>
      </c>
      <c r="G168" s="175" t="str">
        <f t="shared" si="6"/>
        <v>Lehigh_Valley</v>
      </c>
      <c r="H168" s="175"/>
      <c r="I168" s="178" t="s">
        <v>443</v>
      </c>
      <c r="J168" s="27" t="s">
        <v>441</v>
      </c>
      <c r="K168" s="27">
        <v>773</v>
      </c>
      <c r="L168" s="179">
        <v>5785</v>
      </c>
      <c r="M168" s="178" t="s">
        <v>444</v>
      </c>
      <c r="N168" s="27" t="s">
        <v>441</v>
      </c>
      <c r="O168" s="182" t="s">
        <v>445</v>
      </c>
    </row>
    <row r="169" spans="2:20">
      <c r="B169" s="174" t="s">
        <v>439</v>
      </c>
      <c r="C169" s="175" t="s">
        <v>440</v>
      </c>
      <c r="D169" s="176" t="s">
        <v>441</v>
      </c>
      <c r="E169" s="177" t="s">
        <v>442</v>
      </c>
      <c r="F169" s="175">
        <f t="shared" si="5"/>
        <v>11</v>
      </c>
      <c r="G169" s="175" t="str">
        <f t="shared" si="6"/>
        <v>Allentown</v>
      </c>
      <c r="H169" s="175"/>
      <c r="I169" s="178" t="s">
        <v>443</v>
      </c>
      <c r="J169" s="27" t="s">
        <v>441</v>
      </c>
      <c r="K169" s="27">
        <v>773</v>
      </c>
      <c r="L169" s="179">
        <v>5785</v>
      </c>
      <c r="M169" s="178" t="s">
        <v>444</v>
      </c>
      <c r="N169" s="27" t="s">
        <v>441</v>
      </c>
      <c r="O169" s="182" t="s">
        <v>445</v>
      </c>
      <c r="S169" s="27"/>
      <c r="T169" s="27"/>
    </row>
    <row r="170" spans="2:20">
      <c r="B170" s="174" t="s">
        <v>729</v>
      </c>
      <c r="C170" s="175" t="s">
        <v>440</v>
      </c>
      <c r="D170" s="176" t="s">
        <v>441</v>
      </c>
      <c r="E170" s="177" t="s">
        <v>730</v>
      </c>
      <c r="F170" s="175">
        <f t="shared" si="5"/>
        <v>10</v>
      </c>
      <c r="G170" s="175" t="str">
        <f t="shared" si="6"/>
        <v>Hazleton</v>
      </c>
      <c r="H170" s="175"/>
      <c r="I170" s="178" t="s">
        <v>731</v>
      </c>
      <c r="J170" s="27" t="s">
        <v>441</v>
      </c>
      <c r="K170" s="27">
        <v>539</v>
      </c>
      <c r="L170" s="179">
        <v>6291</v>
      </c>
      <c r="M170" s="180" t="s">
        <v>1499</v>
      </c>
      <c r="N170" s="181" t="s">
        <v>441</v>
      </c>
      <c r="O170" s="182" t="s">
        <v>1500</v>
      </c>
    </row>
    <row r="171" spans="2:20">
      <c r="B171" s="174" t="s">
        <v>793</v>
      </c>
      <c r="C171" s="175" t="s">
        <v>440</v>
      </c>
      <c r="D171" s="176" t="s">
        <v>441</v>
      </c>
      <c r="E171" s="177" t="s">
        <v>794</v>
      </c>
      <c r="F171" s="175">
        <f t="shared" si="5"/>
        <v>13</v>
      </c>
      <c r="G171" s="175" t="str">
        <f t="shared" si="6"/>
        <v>Stroudsburg</v>
      </c>
      <c r="H171" s="175"/>
      <c r="I171" s="178" t="s">
        <v>443</v>
      </c>
      <c r="J171" s="27" t="s">
        <v>441</v>
      </c>
      <c r="K171" s="27">
        <v>773</v>
      </c>
      <c r="L171" s="179">
        <v>5785</v>
      </c>
      <c r="M171" s="178" t="s">
        <v>444</v>
      </c>
      <c r="N171" s="27" t="s">
        <v>441</v>
      </c>
      <c r="O171" s="182" t="s">
        <v>445</v>
      </c>
    </row>
    <row r="172" spans="2:20">
      <c r="B172" s="174" t="s">
        <v>1038</v>
      </c>
      <c r="C172" s="175" t="s">
        <v>440</v>
      </c>
      <c r="D172" s="176" t="s">
        <v>441</v>
      </c>
      <c r="E172" s="177" t="s">
        <v>1039</v>
      </c>
      <c r="F172" s="175">
        <f t="shared" si="5"/>
        <v>10</v>
      </c>
      <c r="G172" s="175" t="str">
        <f t="shared" si="6"/>
        <v>Scranton</v>
      </c>
      <c r="H172" s="175"/>
      <c r="I172" s="178" t="s">
        <v>731</v>
      </c>
      <c r="J172" s="27" t="s">
        <v>441</v>
      </c>
      <c r="K172" s="27">
        <v>539</v>
      </c>
      <c r="L172" s="179">
        <v>6291</v>
      </c>
      <c r="M172" s="180" t="s">
        <v>1499</v>
      </c>
      <c r="N172" s="181" t="s">
        <v>441</v>
      </c>
      <c r="O172" s="182" t="s">
        <v>1500</v>
      </c>
    </row>
    <row r="173" spans="2:20">
      <c r="B173" s="174" t="s">
        <v>1040</v>
      </c>
      <c r="C173" s="175" t="s">
        <v>440</v>
      </c>
      <c r="D173" s="176" t="s">
        <v>441</v>
      </c>
      <c r="E173" s="177" t="s">
        <v>1039</v>
      </c>
      <c r="F173" s="175">
        <f t="shared" si="5"/>
        <v>10</v>
      </c>
      <c r="G173" s="175" t="str">
        <f t="shared" si="6"/>
        <v>Scranton</v>
      </c>
      <c r="H173" s="175"/>
      <c r="I173" s="178" t="s">
        <v>731</v>
      </c>
      <c r="J173" s="27" t="s">
        <v>441</v>
      </c>
      <c r="K173" s="27">
        <v>539</v>
      </c>
      <c r="L173" s="179">
        <v>6291</v>
      </c>
      <c r="M173" s="180" t="s">
        <v>1499</v>
      </c>
      <c r="N173" s="181" t="s">
        <v>441</v>
      </c>
      <c r="O173" s="182" t="s">
        <v>1500</v>
      </c>
    </row>
    <row r="174" spans="2:20">
      <c r="B174" s="174" t="s">
        <v>676</v>
      </c>
      <c r="C174" s="175" t="s">
        <v>440</v>
      </c>
      <c r="D174" s="176" t="s">
        <v>441</v>
      </c>
      <c r="E174" s="177" t="s">
        <v>677</v>
      </c>
      <c r="F174" s="175">
        <f t="shared" si="5"/>
        <v>14</v>
      </c>
      <c r="G174" s="175" t="str">
        <f t="shared" si="6"/>
        <v>Wilkes-Barre</v>
      </c>
      <c r="H174" s="175"/>
      <c r="I174" s="178" t="s">
        <v>731</v>
      </c>
      <c r="J174" s="27" t="s">
        <v>441</v>
      </c>
      <c r="K174" s="27">
        <v>539</v>
      </c>
      <c r="L174" s="179">
        <v>6291</v>
      </c>
      <c r="M174" s="180" t="s">
        <v>1499</v>
      </c>
      <c r="N174" s="181" t="s">
        <v>441</v>
      </c>
      <c r="O174" s="182" t="s">
        <v>1500</v>
      </c>
    </row>
    <row r="175" spans="2:20">
      <c r="B175" s="174" t="s">
        <v>678</v>
      </c>
      <c r="C175" s="175" t="s">
        <v>440</v>
      </c>
      <c r="D175" s="176" t="s">
        <v>441</v>
      </c>
      <c r="E175" s="177" t="s">
        <v>677</v>
      </c>
      <c r="F175" s="175">
        <f t="shared" si="5"/>
        <v>14</v>
      </c>
      <c r="G175" s="175" t="str">
        <f t="shared" si="6"/>
        <v>Wilkes-Barre</v>
      </c>
      <c r="H175" s="175"/>
      <c r="I175" s="178" t="s">
        <v>731</v>
      </c>
      <c r="J175" s="27" t="s">
        <v>441</v>
      </c>
      <c r="K175" s="27">
        <v>539</v>
      </c>
      <c r="L175" s="179">
        <v>6291</v>
      </c>
      <c r="M175" s="180" t="s">
        <v>1499</v>
      </c>
      <c r="N175" s="181" t="s">
        <v>441</v>
      </c>
      <c r="O175" s="182" t="s">
        <v>1500</v>
      </c>
    </row>
    <row r="176" spans="2:20">
      <c r="B176" s="174" t="s">
        <v>1102</v>
      </c>
      <c r="C176" s="175" t="s">
        <v>440</v>
      </c>
      <c r="D176" s="176" t="s">
        <v>441</v>
      </c>
      <c r="E176" s="177" t="s">
        <v>1101</v>
      </c>
      <c r="F176" s="175">
        <f t="shared" si="5"/>
        <v>10</v>
      </c>
      <c r="G176" s="175" t="str">
        <f t="shared" si="6"/>
        <v>Montrose</v>
      </c>
      <c r="H176" s="175"/>
      <c r="I176" s="178" t="s">
        <v>1498</v>
      </c>
      <c r="J176" s="27" t="s">
        <v>408</v>
      </c>
      <c r="K176" s="27">
        <v>337</v>
      </c>
      <c r="L176" s="179">
        <v>7273</v>
      </c>
      <c r="M176" s="180" t="s">
        <v>1499</v>
      </c>
      <c r="N176" s="181" t="s">
        <v>441</v>
      </c>
      <c r="O176" s="182" t="s">
        <v>1500</v>
      </c>
    </row>
    <row r="177" spans="2:15">
      <c r="B177" s="174" t="s">
        <v>1800</v>
      </c>
      <c r="C177" s="175" t="s">
        <v>440</v>
      </c>
      <c r="D177" s="176" t="s">
        <v>441</v>
      </c>
      <c r="E177" s="177" t="s">
        <v>1801</v>
      </c>
      <c r="F177" s="175">
        <f t="shared" si="5"/>
        <v>12</v>
      </c>
      <c r="G177" s="175" t="str">
        <f t="shared" si="6"/>
        <v>Doylestown</v>
      </c>
      <c r="H177" s="175"/>
      <c r="I177" s="178" t="s">
        <v>1425</v>
      </c>
      <c r="J177" s="27" t="s">
        <v>441</v>
      </c>
      <c r="K177" s="27">
        <v>1101</v>
      </c>
      <c r="L177" s="179">
        <v>4954</v>
      </c>
      <c r="M177" s="180" t="s">
        <v>1426</v>
      </c>
      <c r="N177" s="181" t="s">
        <v>441</v>
      </c>
      <c r="O177" s="182" t="s">
        <v>1427</v>
      </c>
    </row>
    <row r="178" spans="2:15">
      <c r="B178" s="174" t="s">
        <v>2524</v>
      </c>
      <c r="C178" s="175" t="s">
        <v>440</v>
      </c>
      <c r="D178" s="176" t="s">
        <v>441</v>
      </c>
      <c r="E178" s="177" t="s">
        <v>2525</v>
      </c>
      <c r="F178" s="175">
        <f t="shared" si="5"/>
        <v>14</v>
      </c>
      <c r="G178" s="175" t="str">
        <f t="shared" si="6"/>
        <v>Philadelphia</v>
      </c>
      <c r="H178" s="175"/>
      <c r="I178" s="178" t="s">
        <v>1056</v>
      </c>
      <c r="J178" s="27" t="s">
        <v>1797</v>
      </c>
      <c r="K178" s="27">
        <v>1046</v>
      </c>
      <c r="L178" s="179">
        <v>4937</v>
      </c>
      <c r="M178" s="180" t="s">
        <v>1426</v>
      </c>
      <c r="N178" s="181" t="s">
        <v>441</v>
      </c>
      <c r="O178" s="182" t="s">
        <v>1427</v>
      </c>
    </row>
    <row r="179" spans="2:15">
      <c r="B179" s="174" t="s">
        <v>2526</v>
      </c>
      <c r="C179" s="175" t="s">
        <v>440</v>
      </c>
      <c r="D179" s="176" t="s">
        <v>441</v>
      </c>
      <c r="E179" s="177" t="s">
        <v>2525</v>
      </c>
      <c r="F179" s="175">
        <f t="shared" si="5"/>
        <v>14</v>
      </c>
      <c r="G179" s="175" t="str">
        <f t="shared" si="6"/>
        <v>Philadelphia</v>
      </c>
      <c r="H179" s="175"/>
      <c r="I179" s="178" t="s">
        <v>1425</v>
      </c>
      <c r="J179" s="27" t="s">
        <v>441</v>
      </c>
      <c r="K179" s="27">
        <v>1101</v>
      </c>
      <c r="L179" s="179">
        <v>4954</v>
      </c>
      <c r="M179" s="180" t="s">
        <v>1426</v>
      </c>
      <c r="N179" s="181" t="s">
        <v>441</v>
      </c>
      <c r="O179" s="182" t="s">
        <v>1427</v>
      </c>
    </row>
    <row r="180" spans="2:15">
      <c r="B180" s="174" t="s">
        <v>1286</v>
      </c>
      <c r="C180" s="175" t="s">
        <v>440</v>
      </c>
      <c r="D180" s="176" t="s">
        <v>441</v>
      </c>
      <c r="E180" s="177" t="s">
        <v>1287</v>
      </c>
      <c r="F180" s="175">
        <f t="shared" si="5"/>
        <v>14</v>
      </c>
      <c r="G180" s="175" t="str">
        <f t="shared" si="6"/>
        <v>Southeastern</v>
      </c>
      <c r="H180" s="175"/>
      <c r="I180" s="178" t="s">
        <v>1056</v>
      </c>
      <c r="J180" s="27" t="s">
        <v>1797</v>
      </c>
      <c r="K180" s="27">
        <v>1046</v>
      </c>
      <c r="L180" s="179">
        <v>4937</v>
      </c>
      <c r="M180" s="180" t="s">
        <v>1057</v>
      </c>
      <c r="N180" s="181" t="s">
        <v>1797</v>
      </c>
      <c r="O180" s="182" t="s">
        <v>1058</v>
      </c>
    </row>
    <row r="181" spans="2:15">
      <c r="B181" s="174" t="s">
        <v>1288</v>
      </c>
      <c r="C181" s="175" t="s">
        <v>440</v>
      </c>
      <c r="D181" s="176" t="s">
        <v>441</v>
      </c>
      <c r="E181" s="177" t="s">
        <v>1287</v>
      </c>
      <c r="F181" s="175">
        <f t="shared" si="5"/>
        <v>14</v>
      </c>
      <c r="G181" s="175" t="str">
        <f t="shared" si="6"/>
        <v>Southeastern</v>
      </c>
      <c r="H181" s="175"/>
      <c r="I181" s="178" t="s">
        <v>1056</v>
      </c>
      <c r="J181" s="27" t="s">
        <v>1797</v>
      </c>
      <c r="K181" s="27">
        <v>1046</v>
      </c>
      <c r="L181" s="179">
        <v>4937</v>
      </c>
      <c r="M181" s="180" t="s">
        <v>1057</v>
      </c>
      <c r="N181" s="181" t="s">
        <v>1797</v>
      </c>
      <c r="O181" s="182" t="s">
        <v>1058</v>
      </c>
    </row>
    <row r="182" spans="2:15">
      <c r="B182" s="174" t="s">
        <v>2606</v>
      </c>
      <c r="C182" s="175" t="s">
        <v>440</v>
      </c>
      <c r="D182" s="176" t="s">
        <v>441</v>
      </c>
      <c r="E182" s="177" t="s">
        <v>2607</v>
      </c>
      <c r="F182" s="175">
        <f t="shared" si="5"/>
        <v>9</v>
      </c>
      <c r="G182" s="175" t="str">
        <f t="shared" si="6"/>
        <v>Reading</v>
      </c>
      <c r="H182" s="175"/>
      <c r="I182" s="178" t="s">
        <v>443</v>
      </c>
      <c r="J182" s="27" t="s">
        <v>441</v>
      </c>
      <c r="K182" s="27">
        <v>773</v>
      </c>
      <c r="L182" s="179">
        <v>5785</v>
      </c>
      <c r="M182" s="178" t="s">
        <v>444</v>
      </c>
      <c r="N182" s="27" t="s">
        <v>441</v>
      </c>
      <c r="O182" s="182" t="s">
        <v>445</v>
      </c>
    </row>
    <row r="183" spans="2:15">
      <c r="B183" s="174" t="s">
        <v>2608</v>
      </c>
      <c r="C183" s="175" t="s">
        <v>440</v>
      </c>
      <c r="D183" s="176" t="s">
        <v>441</v>
      </c>
      <c r="E183" s="177" t="s">
        <v>2607</v>
      </c>
      <c r="F183" s="175">
        <f t="shared" si="5"/>
        <v>9</v>
      </c>
      <c r="G183" s="175" t="str">
        <f t="shared" si="6"/>
        <v>Reading</v>
      </c>
      <c r="H183" s="175"/>
      <c r="I183" s="178" t="s">
        <v>443</v>
      </c>
      <c r="J183" s="27" t="s">
        <v>441</v>
      </c>
      <c r="K183" s="27">
        <v>773</v>
      </c>
      <c r="L183" s="179">
        <v>5785</v>
      </c>
      <c r="M183" s="178" t="s">
        <v>444</v>
      </c>
      <c r="N183" s="27" t="s">
        <v>441</v>
      </c>
      <c r="O183" s="182" t="s">
        <v>445</v>
      </c>
    </row>
    <row r="184" spans="2:15">
      <c r="B184" s="174" t="s">
        <v>688</v>
      </c>
      <c r="C184" s="175" t="s">
        <v>1796</v>
      </c>
      <c r="D184" s="176" t="s">
        <v>1797</v>
      </c>
      <c r="E184" s="177" t="s">
        <v>689</v>
      </c>
      <c r="F184" s="175">
        <f t="shared" si="5"/>
        <v>12</v>
      </c>
      <c r="G184" s="175" t="str">
        <f t="shared" si="6"/>
        <v>Wilmington</v>
      </c>
      <c r="H184" s="175"/>
      <c r="I184" s="178" t="s">
        <v>1056</v>
      </c>
      <c r="J184" s="27" t="s">
        <v>1797</v>
      </c>
      <c r="K184" s="27">
        <v>1046</v>
      </c>
      <c r="L184" s="179">
        <v>4937</v>
      </c>
      <c r="M184" s="180" t="s">
        <v>1057</v>
      </c>
      <c r="N184" s="181" t="s">
        <v>1797</v>
      </c>
      <c r="O184" s="182" t="s">
        <v>1058</v>
      </c>
    </row>
    <row r="185" spans="2:15">
      <c r="B185" s="174" t="s">
        <v>690</v>
      </c>
      <c r="C185" s="175" t="s">
        <v>1796</v>
      </c>
      <c r="D185" s="176" t="s">
        <v>1797</v>
      </c>
      <c r="E185" s="177" t="s">
        <v>689</v>
      </c>
      <c r="F185" s="175">
        <f t="shared" si="5"/>
        <v>12</v>
      </c>
      <c r="G185" s="175" t="str">
        <f t="shared" si="6"/>
        <v>Wilmington</v>
      </c>
      <c r="H185" s="175"/>
      <c r="I185" s="178" t="s">
        <v>1056</v>
      </c>
      <c r="J185" s="27" t="s">
        <v>1797</v>
      </c>
      <c r="K185" s="27">
        <v>1046</v>
      </c>
      <c r="L185" s="179">
        <v>4937</v>
      </c>
      <c r="M185" s="180" t="s">
        <v>1057</v>
      </c>
      <c r="N185" s="181" t="s">
        <v>1797</v>
      </c>
      <c r="O185" s="182" t="s">
        <v>1058</v>
      </c>
    </row>
    <row r="186" spans="2:15">
      <c r="B186" s="174" t="s">
        <v>1795</v>
      </c>
      <c r="C186" s="175" t="s">
        <v>1796</v>
      </c>
      <c r="D186" s="176" t="s">
        <v>1797</v>
      </c>
      <c r="E186" s="177" t="s">
        <v>1798</v>
      </c>
      <c r="F186" s="175">
        <f t="shared" si="5"/>
        <v>7</v>
      </c>
      <c r="G186" s="175" t="str">
        <f t="shared" si="6"/>
        <v>Dover</v>
      </c>
      <c r="H186" s="175"/>
      <c r="I186" s="178" t="s">
        <v>489</v>
      </c>
      <c r="J186" s="27" t="s">
        <v>430</v>
      </c>
      <c r="K186" s="27">
        <v>1137</v>
      </c>
      <c r="L186" s="179">
        <v>4707</v>
      </c>
      <c r="M186" s="180" t="s">
        <v>490</v>
      </c>
      <c r="N186" s="181" t="s">
        <v>430</v>
      </c>
      <c r="O186" s="182" t="s">
        <v>491</v>
      </c>
    </row>
    <row r="187" spans="2:15">
      <c r="B187" s="174" t="s">
        <v>1873</v>
      </c>
      <c r="C187" s="175" t="s">
        <v>1874</v>
      </c>
      <c r="D187" s="176" t="s">
        <v>428</v>
      </c>
      <c r="E187" s="177" t="s">
        <v>547</v>
      </c>
      <c r="F187" s="175">
        <f t="shared" si="5"/>
        <v>12</v>
      </c>
      <c r="G187" s="175" t="str">
        <f t="shared" si="6"/>
        <v>Washington</v>
      </c>
      <c r="H187" s="175"/>
      <c r="I187" s="178" t="s">
        <v>427</v>
      </c>
      <c r="J187" s="27" t="s">
        <v>428</v>
      </c>
      <c r="K187" s="27">
        <v>1549</v>
      </c>
      <c r="L187" s="179">
        <v>4047</v>
      </c>
      <c r="M187" s="180" t="s">
        <v>429</v>
      </c>
      <c r="N187" s="181" t="s">
        <v>430</v>
      </c>
      <c r="O187" s="182" t="s">
        <v>431</v>
      </c>
    </row>
    <row r="188" spans="2:15">
      <c r="B188" s="174" t="s">
        <v>1875</v>
      </c>
      <c r="C188" s="175" t="s">
        <v>1874</v>
      </c>
      <c r="D188" s="176" t="s">
        <v>428</v>
      </c>
      <c r="E188" s="177" t="s">
        <v>547</v>
      </c>
      <c r="F188" s="175">
        <f t="shared" si="5"/>
        <v>12</v>
      </c>
      <c r="G188" s="175" t="str">
        <f t="shared" si="6"/>
        <v>Washington</v>
      </c>
      <c r="H188" s="175"/>
      <c r="I188" s="178" t="s">
        <v>427</v>
      </c>
      <c r="J188" s="27" t="s">
        <v>428</v>
      </c>
      <c r="K188" s="27">
        <v>1549</v>
      </c>
      <c r="L188" s="179">
        <v>4047</v>
      </c>
      <c r="M188" s="180" t="s">
        <v>429</v>
      </c>
      <c r="N188" s="181" t="s">
        <v>430</v>
      </c>
      <c r="O188" s="182" t="s">
        <v>431</v>
      </c>
    </row>
    <row r="189" spans="2:15">
      <c r="B189" s="174" t="s">
        <v>1876</v>
      </c>
      <c r="C189" s="175" t="s">
        <v>1874</v>
      </c>
      <c r="D189" s="176" t="s">
        <v>428</v>
      </c>
      <c r="E189" s="177" t="s">
        <v>547</v>
      </c>
      <c r="F189" s="175">
        <f t="shared" si="5"/>
        <v>12</v>
      </c>
      <c r="G189" s="175" t="str">
        <f t="shared" si="6"/>
        <v>Washington</v>
      </c>
      <c r="H189" s="175"/>
      <c r="I189" s="178" t="s">
        <v>427</v>
      </c>
      <c r="J189" s="27" t="s">
        <v>428</v>
      </c>
      <c r="K189" s="27">
        <v>1549</v>
      </c>
      <c r="L189" s="179">
        <v>4047</v>
      </c>
      <c r="M189" s="180" t="s">
        <v>429</v>
      </c>
      <c r="N189" s="181" t="s">
        <v>430</v>
      </c>
      <c r="O189" s="182" t="s">
        <v>431</v>
      </c>
    </row>
    <row r="190" spans="2:15">
      <c r="B190" s="174" t="s">
        <v>1877</v>
      </c>
      <c r="C190" s="175" t="s">
        <v>1874</v>
      </c>
      <c r="D190" s="176" t="s">
        <v>428</v>
      </c>
      <c r="E190" s="177" t="s">
        <v>547</v>
      </c>
      <c r="F190" s="175">
        <f t="shared" si="5"/>
        <v>12</v>
      </c>
      <c r="G190" s="175" t="str">
        <f t="shared" si="6"/>
        <v>Washington</v>
      </c>
      <c r="H190" s="175"/>
      <c r="I190" s="178" t="s">
        <v>427</v>
      </c>
      <c r="J190" s="27" t="s">
        <v>428</v>
      </c>
      <c r="K190" s="27">
        <v>1549</v>
      </c>
      <c r="L190" s="179">
        <v>4047</v>
      </c>
      <c r="M190" s="180" t="s">
        <v>429</v>
      </c>
      <c r="N190" s="181" t="s">
        <v>430</v>
      </c>
      <c r="O190" s="182" t="s">
        <v>431</v>
      </c>
    </row>
    <row r="191" spans="2:15">
      <c r="B191" s="174" t="s">
        <v>1878</v>
      </c>
      <c r="C191" s="175" t="s">
        <v>1874</v>
      </c>
      <c r="D191" s="176" t="s">
        <v>428</v>
      </c>
      <c r="E191" s="177" t="s">
        <v>547</v>
      </c>
      <c r="F191" s="175">
        <f t="shared" si="5"/>
        <v>12</v>
      </c>
      <c r="G191" s="175" t="str">
        <f t="shared" si="6"/>
        <v>Washington</v>
      </c>
      <c r="H191" s="175"/>
      <c r="I191" s="178" t="s">
        <v>427</v>
      </c>
      <c r="J191" s="27" t="s">
        <v>428</v>
      </c>
      <c r="K191" s="27">
        <v>1549</v>
      </c>
      <c r="L191" s="179">
        <v>4047</v>
      </c>
      <c r="M191" s="180" t="s">
        <v>429</v>
      </c>
      <c r="N191" s="181" t="s">
        <v>430</v>
      </c>
      <c r="O191" s="182" t="s">
        <v>431</v>
      </c>
    </row>
    <row r="192" spans="2:15">
      <c r="B192" s="174" t="s">
        <v>1879</v>
      </c>
      <c r="C192" s="175" t="s">
        <v>1874</v>
      </c>
      <c r="D192" s="176" t="s">
        <v>428</v>
      </c>
      <c r="E192" s="177" t="s">
        <v>547</v>
      </c>
      <c r="F192" s="175">
        <f t="shared" si="5"/>
        <v>12</v>
      </c>
      <c r="G192" s="175" t="str">
        <f t="shared" si="6"/>
        <v>Washington</v>
      </c>
      <c r="H192" s="175"/>
      <c r="I192" s="178" t="s">
        <v>427</v>
      </c>
      <c r="J192" s="27" t="s">
        <v>428</v>
      </c>
      <c r="K192" s="27">
        <v>1549</v>
      </c>
      <c r="L192" s="179">
        <v>4047</v>
      </c>
      <c r="M192" s="180" t="s">
        <v>429</v>
      </c>
      <c r="N192" s="181" t="s">
        <v>430</v>
      </c>
      <c r="O192" s="182" t="s">
        <v>431</v>
      </c>
    </row>
    <row r="193" spans="2:20">
      <c r="B193" s="174" t="s">
        <v>1871</v>
      </c>
      <c r="C193" s="175" t="s">
        <v>487</v>
      </c>
      <c r="D193" s="176" t="s">
        <v>430</v>
      </c>
      <c r="E193" s="177" t="s">
        <v>1872</v>
      </c>
      <c r="F193" s="175">
        <f t="shared" si="5"/>
        <v>9</v>
      </c>
      <c r="G193" s="175" t="str">
        <f t="shared" si="6"/>
        <v>Waldorf</v>
      </c>
      <c r="H193" s="175"/>
      <c r="I193" s="178" t="s">
        <v>427</v>
      </c>
      <c r="J193" s="27" t="s">
        <v>428</v>
      </c>
      <c r="K193" s="27">
        <v>1549</v>
      </c>
      <c r="L193" s="179">
        <v>4047</v>
      </c>
      <c r="M193" s="180" t="s">
        <v>429</v>
      </c>
      <c r="N193" s="181" t="s">
        <v>430</v>
      </c>
      <c r="O193" s="182" t="s">
        <v>431</v>
      </c>
    </row>
    <row r="194" spans="2:20">
      <c r="B194" s="174" t="s">
        <v>2164</v>
      </c>
      <c r="C194" s="175" t="s">
        <v>487</v>
      </c>
      <c r="D194" s="176" t="s">
        <v>430</v>
      </c>
      <c r="E194" s="177" t="s">
        <v>2165</v>
      </c>
      <c r="F194" s="175">
        <f t="shared" si="5"/>
        <v>8</v>
      </c>
      <c r="G194" s="175" t="str">
        <f t="shared" si="6"/>
        <v>Laurel</v>
      </c>
      <c r="H194" s="175"/>
      <c r="I194" s="178" t="s">
        <v>489</v>
      </c>
      <c r="J194" s="27" t="s">
        <v>430</v>
      </c>
      <c r="K194" s="27">
        <v>1137</v>
      </c>
      <c r="L194" s="179">
        <v>4707</v>
      </c>
      <c r="M194" s="180" t="s">
        <v>490</v>
      </c>
      <c r="N194" s="181" t="s">
        <v>430</v>
      </c>
      <c r="O194" s="182" t="s">
        <v>491</v>
      </c>
    </row>
    <row r="195" spans="2:20">
      <c r="B195" s="174" t="s">
        <v>310</v>
      </c>
      <c r="C195" s="175" t="s">
        <v>487</v>
      </c>
      <c r="D195" s="176" t="s">
        <v>430</v>
      </c>
      <c r="E195" s="177" t="s">
        <v>311</v>
      </c>
      <c r="F195" s="175">
        <f t="shared" si="5"/>
        <v>11</v>
      </c>
      <c r="G195" s="175" t="str">
        <f t="shared" si="6"/>
        <v>Rockville</v>
      </c>
      <c r="H195" s="175"/>
      <c r="I195" s="178" t="s">
        <v>489</v>
      </c>
      <c r="J195" s="27" t="s">
        <v>430</v>
      </c>
      <c r="K195" s="27">
        <v>1137</v>
      </c>
      <c r="L195" s="179">
        <v>4707</v>
      </c>
      <c r="M195" s="180" t="s">
        <v>490</v>
      </c>
      <c r="N195" s="181" t="s">
        <v>430</v>
      </c>
      <c r="O195" s="182" t="s">
        <v>491</v>
      </c>
    </row>
    <row r="196" spans="2:20">
      <c r="B196" s="174" t="s">
        <v>2326</v>
      </c>
      <c r="C196" s="175" t="s">
        <v>487</v>
      </c>
      <c r="D196" s="176" t="s">
        <v>430</v>
      </c>
      <c r="E196" s="177" t="s">
        <v>2327</v>
      </c>
      <c r="F196" s="175">
        <f t="shared" si="5"/>
        <v>15</v>
      </c>
      <c r="G196" s="175" t="str">
        <f t="shared" si="6"/>
        <v>Silver Spring</v>
      </c>
      <c r="H196" s="175"/>
      <c r="I196" s="178" t="s">
        <v>427</v>
      </c>
      <c r="J196" s="27" t="s">
        <v>428</v>
      </c>
      <c r="K196" s="27">
        <v>1549</v>
      </c>
      <c r="L196" s="179">
        <v>4047</v>
      </c>
      <c r="M196" s="180" t="s">
        <v>429</v>
      </c>
      <c r="N196" s="181" t="s">
        <v>430</v>
      </c>
      <c r="O196" s="182" t="s">
        <v>431</v>
      </c>
    </row>
    <row r="197" spans="2:20">
      <c r="B197" s="174" t="s">
        <v>1642</v>
      </c>
      <c r="C197" s="175" t="s">
        <v>487</v>
      </c>
      <c r="D197" s="176" t="s">
        <v>430</v>
      </c>
      <c r="E197" s="177" t="s">
        <v>1643</v>
      </c>
      <c r="F197" s="175">
        <f t="shared" si="5"/>
        <v>11</v>
      </c>
      <c r="G197" s="175" t="str">
        <f t="shared" si="6"/>
        <v>Baltimore</v>
      </c>
      <c r="H197" s="175"/>
      <c r="I197" s="178" t="s">
        <v>489</v>
      </c>
      <c r="J197" s="27" t="s">
        <v>430</v>
      </c>
      <c r="K197" s="27">
        <v>1137</v>
      </c>
      <c r="L197" s="179">
        <v>4707</v>
      </c>
      <c r="M197" s="180" t="s">
        <v>490</v>
      </c>
      <c r="N197" s="181" t="s">
        <v>430</v>
      </c>
      <c r="O197" s="182" t="s">
        <v>491</v>
      </c>
    </row>
    <row r="198" spans="2:20">
      <c r="B198" s="174" t="s">
        <v>1644</v>
      </c>
      <c r="C198" s="175" t="s">
        <v>487</v>
      </c>
      <c r="D198" s="176" t="s">
        <v>430</v>
      </c>
      <c r="E198" s="177" t="s">
        <v>1643</v>
      </c>
      <c r="F198" s="175">
        <f t="shared" si="5"/>
        <v>11</v>
      </c>
      <c r="G198" s="175" t="str">
        <f t="shared" si="6"/>
        <v>Baltimore</v>
      </c>
      <c r="H198" s="175"/>
      <c r="I198" s="178" t="s">
        <v>489</v>
      </c>
      <c r="J198" s="27" t="s">
        <v>430</v>
      </c>
      <c r="K198" s="27">
        <v>1137</v>
      </c>
      <c r="L198" s="179">
        <v>4707</v>
      </c>
      <c r="M198" s="180" t="s">
        <v>490</v>
      </c>
      <c r="N198" s="181" t="s">
        <v>430</v>
      </c>
      <c r="O198" s="182" t="s">
        <v>491</v>
      </c>
    </row>
    <row r="199" spans="2:20">
      <c r="B199" s="174" t="s">
        <v>1645</v>
      </c>
      <c r="C199" s="175" t="s">
        <v>487</v>
      </c>
      <c r="D199" s="176" t="s">
        <v>430</v>
      </c>
      <c r="E199" s="177" t="s">
        <v>1643</v>
      </c>
      <c r="F199" s="175">
        <f t="shared" si="5"/>
        <v>11</v>
      </c>
      <c r="G199" s="175" t="str">
        <f t="shared" si="6"/>
        <v>Baltimore</v>
      </c>
      <c r="H199" s="175"/>
      <c r="I199" s="178" t="s">
        <v>489</v>
      </c>
      <c r="J199" s="27" t="s">
        <v>430</v>
      </c>
      <c r="K199" s="27">
        <v>1137</v>
      </c>
      <c r="L199" s="179">
        <v>4707</v>
      </c>
      <c r="M199" s="180" t="s">
        <v>490</v>
      </c>
      <c r="N199" s="181" t="s">
        <v>430</v>
      </c>
      <c r="O199" s="182" t="s">
        <v>491</v>
      </c>
    </row>
    <row r="200" spans="2:20">
      <c r="B200" s="174" t="s">
        <v>1646</v>
      </c>
      <c r="C200" s="175" t="s">
        <v>487</v>
      </c>
      <c r="D200" s="176" t="s">
        <v>430</v>
      </c>
      <c r="E200" s="177" t="s">
        <v>1643</v>
      </c>
      <c r="F200" s="175">
        <f t="shared" si="5"/>
        <v>11</v>
      </c>
      <c r="G200" s="175" t="str">
        <f t="shared" si="6"/>
        <v>Baltimore</v>
      </c>
      <c r="H200" s="175"/>
      <c r="I200" s="178" t="s">
        <v>489</v>
      </c>
      <c r="J200" s="27" t="s">
        <v>430</v>
      </c>
      <c r="K200" s="27">
        <v>1137</v>
      </c>
      <c r="L200" s="179">
        <v>4707</v>
      </c>
      <c r="M200" s="180" t="s">
        <v>490</v>
      </c>
      <c r="N200" s="181" t="s">
        <v>430</v>
      </c>
      <c r="O200" s="182" t="s">
        <v>491</v>
      </c>
      <c r="P200" s="26"/>
      <c r="Q200" s="27"/>
      <c r="R200" s="183"/>
      <c r="S200" s="27"/>
      <c r="T200" s="27"/>
    </row>
    <row r="201" spans="2:20">
      <c r="B201" s="174" t="s">
        <v>486</v>
      </c>
      <c r="C201" s="175" t="s">
        <v>487</v>
      </c>
      <c r="D201" s="176" t="s">
        <v>430</v>
      </c>
      <c r="E201" s="177" t="s">
        <v>488</v>
      </c>
      <c r="F201" s="175">
        <f t="shared" si="5"/>
        <v>11</v>
      </c>
      <c r="G201" s="175" t="str">
        <f t="shared" si="6"/>
        <v>Annapolis</v>
      </c>
      <c r="H201" s="175"/>
      <c r="I201" s="178" t="s">
        <v>489</v>
      </c>
      <c r="J201" s="27" t="s">
        <v>430</v>
      </c>
      <c r="K201" s="27">
        <v>1137</v>
      </c>
      <c r="L201" s="179">
        <v>4707</v>
      </c>
      <c r="M201" s="180" t="s">
        <v>490</v>
      </c>
      <c r="N201" s="181" t="s">
        <v>430</v>
      </c>
      <c r="O201" s="182" t="s">
        <v>491</v>
      </c>
    </row>
    <row r="202" spans="2:20">
      <c r="B202" s="174" t="s">
        <v>1738</v>
      </c>
      <c r="C202" s="175" t="s">
        <v>487</v>
      </c>
      <c r="D202" s="176" t="s">
        <v>430</v>
      </c>
      <c r="E202" s="177" t="s">
        <v>1739</v>
      </c>
      <c r="F202" s="175">
        <f t="shared" ref="F202:F265" si="7">LEN(E202)</f>
        <v>12</v>
      </c>
      <c r="G202" s="175" t="str">
        <f t="shared" ref="G202:G265" si="8">MID(E202,2,F202-2)</f>
        <v>Cumberland</v>
      </c>
      <c r="H202" s="175"/>
      <c r="I202" s="178" t="s">
        <v>455</v>
      </c>
      <c r="J202" s="27" t="s">
        <v>441</v>
      </c>
      <c r="K202" s="27">
        <v>654</v>
      </c>
      <c r="L202" s="179">
        <v>5968</v>
      </c>
      <c r="M202" s="180" t="s">
        <v>456</v>
      </c>
      <c r="N202" s="181" t="s">
        <v>441</v>
      </c>
      <c r="O202" s="182" t="s">
        <v>457</v>
      </c>
    </row>
    <row r="203" spans="2:20">
      <c r="B203" s="174" t="s">
        <v>526</v>
      </c>
      <c r="C203" s="175" t="s">
        <v>487</v>
      </c>
      <c r="D203" s="176" t="s">
        <v>430</v>
      </c>
      <c r="E203" s="177" t="s">
        <v>527</v>
      </c>
      <c r="F203" s="175">
        <f t="shared" si="7"/>
        <v>8</v>
      </c>
      <c r="G203" s="175" t="str">
        <f t="shared" si="8"/>
        <v>Easton</v>
      </c>
      <c r="H203" s="175"/>
      <c r="I203" s="178" t="s">
        <v>427</v>
      </c>
      <c r="J203" s="27" t="s">
        <v>428</v>
      </c>
      <c r="K203" s="27">
        <v>1549</v>
      </c>
      <c r="L203" s="179">
        <v>4047</v>
      </c>
      <c r="M203" s="180" t="s">
        <v>429</v>
      </c>
      <c r="N203" s="181" t="s">
        <v>430</v>
      </c>
      <c r="O203" s="182" t="s">
        <v>431</v>
      </c>
    </row>
    <row r="204" spans="2:20">
      <c r="B204" s="174" t="s">
        <v>2043</v>
      </c>
      <c r="C204" s="175" t="s">
        <v>487</v>
      </c>
      <c r="D204" s="176" t="s">
        <v>430</v>
      </c>
      <c r="E204" s="177" t="s">
        <v>2044</v>
      </c>
      <c r="F204" s="175">
        <f t="shared" si="7"/>
        <v>11</v>
      </c>
      <c r="G204" s="175" t="str">
        <f t="shared" si="8"/>
        <v>Frederick</v>
      </c>
      <c r="H204" s="175"/>
      <c r="I204" s="178" t="s">
        <v>489</v>
      </c>
      <c r="J204" s="27" t="s">
        <v>430</v>
      </c>
      <c r="K204" s="27">
        <v>1137</v>
      </c>
      <c r="L204" s="179">
        <v>4707</v>
      </c>
      <c r="M204" s="180" t="s">
        <v>490</v>
      </c>
      <c r="N204" s="181" t="s">
        <v>430</v>
      </c>
      <c r="O204" s="182" t="s">
        <v>491</v>
      </c>
    </row>
    <row r="205" spans="2:20">
      <c r="B205" s="174" t="s">
        <v>355</v>
      </c>
      <c r="C205" s="175" t="s">
        <v>487</v>
      </c>
      <c r="D205" s="176" t="s">
        <v>430</v>
      </c>
      <c r="E205" s="177" t="s">
        <v>356</v>
      </c>
      <c r="F205" s="175">
        <f t="shared" si="7"/>
        <v>11</v>
      </c>
      <c r="G205" s="175" t="str">
        <f t="shared" si="8"/>
        <v>Salisbury</v>
      </c>
      <c r="H205" s="175"/>
      <c r="I205" s="178" t="s">
        <v>357</v>
      </c>
      <c r="J205" s="27" t="s">
        <v>426</v>
      </c>
      <c r="K205" s="27">
        <v>1096</v>
      </c>
      <c r="L205" s="179">
        <v>4261</v>
      </c>
      <c r="M205" s="180" t="s">
        <v>2454</v>
      </c>
      <c r="N205" s="181" t="s">
        <v>426</v>
      </c>
      <c r="O205" s="182" t="s">
        <v>2455</v>
      </c>
    </row>
    <row r="206" spans="2:20">
      <c r="B206" s="174" t="s">
        <v>1054</v>
      </c>
      <c r="C206" s="175" t="s">
        <v>487</v>
      </c>
      <c r="D206" s="176" t="s">
        <v>430</v>
      </c>
      <c r="E206" s="177" t="s">
        <v>1055</v>
      </c>
      <c r="F206" s="175">
        <f t="shared" si="7"/>
        <v>8</v>
      </c>
      <c r="G206" s="175" t="str">
        <f t="shared" si="8"/>
        <v>Elkton</v>
      </c>
      <c r="H206" s="175"/>
      <c r="I206" s="178" t="s">
        <v>1056</v>
      </c>
      <c r="J206" s="27" t="s">
        <v>1797</v>
      </c>
      <c r="K206" s="27">
        <v>1046</v>
      </c>
      <c r="L206" s="179">
        <v>4937</v>
      </c>
      <c r="M206" s="180" t="s">
        <v>1057</v>
      </c>
      <c r="N206" s="181" t="s">
        <v>1797</v>
      </c>
      <c r="O206" s="182" t="s">
        <v>1058</v>
      </c>
    </row>
    <row r="207" spans="2:20">
      <c r="B207" s="174" t="s">
        <v>1207</v>
      </c>
      <c r="C207" s="175" t="s">
        <v>425</v>
      </c>
      <c r="D207" s="176" t="s">
        <v>426</v>
      </c>
      <c r="E207" s="177" t="s">
        <v>1208</v>
      </c>
      <c r="F207" s="175">
        <f t="shared" si="7"/>
        <v>13</v>
      </c>
      <c r="G207" s="175" t="str">
        <f t="shared" si="8"/>
        <v>Northern VA</v>
      </c>
      <c r="H207" s="175"/>
      <c r="I207" s="178" t="s">
        <v>1737</v>
      </c>
      <c r="J207" s="27" t="s">
        <v>428</v>
      </c>
      <c r="K207" s="27">
        <v>973</v>
      </c>
      <c r="L207" s="179">
        <v>5006</v>
      </c>
      <c r="M207" s="180" t="s">
        <v>429</v>
      </c>
      <c r="N207" s="181" t="s">
        <v>430</v>
      </c>
      <c r="O207" s="182" t="s">
        <v>431</v>
      </c>
    </row>
    <row r="208" spans="2:20">
      <c r="B208" s="174" t="s">
        <v>1209</v>
      </c>
      <c r="C208" s="175" t="s">
        <v>425</v>
      </c>
      <c r="D208" s="176" t="s">
        <v>426</v>
      </c>
      <c r="E208" s="177" t="s">
        <v>1208</v>
      </c>
      <c r="F208" s="175">
        <f t="shared" si="7"/>
        <v>13</v>
      </c>
      <c r="G208" s="175" t="str">
        <f t="shared" si="8"/>
        <v>Northern VA</v>
      </c>
      <c r="H208" s="175"/>
      <c r="I208" s="178" t="s">
        <v>1737</v>
      </c>
      <c r="J208" s="27" t="s">
        <v>428</v>
      </c>
      <c r="K208" s="27">
        <v>973</v>
      </c>
      <c r="L208" s="179">
        <v>5006</v>
      </c>
      <c r="M208" s="180" t="s">
        <v>429</v>
      </c>
      <c r="N208" s="181" t="s">
        <v>430</v>
      </c>
      <c r="O208" s="182" t="s">
        <v>431</v>
      </c>
    </row>
    <row r="209" spans="2:20">
      <c r="B209" s="174" t="s">
        <v>506</v>
      </c>
      <c r="C209" s="175" t="s">
        <v>425</v>
      </c>
      <c r="D209" s="176" t="s">
        <v>426</v>
      </c>
      <c r="E209" s="177" t="s">
        <v>507</v>
      </c>
      <c r="F209" s="175">
        <f t="shared" si="7"/>
        <v>11</v>
      </c>
      <c r="G209" s="175" t="str">
        <f t="shared" si="8"/>
        <v>Arlington</v>
      </c>
      <c r="H209" s="175"/>
      <c r="I209" s="178" t="s">
        <v>427</v>
      </c>
      <c r="J209" s="27" t="s">
        <v>428</v>
      </c>
      <c r="K209" s="27">
        <v>1549</v>
      </c>
      <c r="L209" s="179">
        <v>4047</v>
      </c>
      <c r="M209" s="180" t="s">
        <v>429</v>
      </c>
      <c r="N209" s="181" t="s">
        <v>430</v>
      </c>
      <c r="O209" s="182" t="s">
        <v>431</v>
      </c>
    </row>
    <row r="210" spans="2:20">
      <c r="B210" s="174" t="s">
        <v>424</v>
      </c>
      <c r="C210" s="175" t="s">
        <v>425</v>
      </c>
      <c r="D210" s="176" t="s">
        <v>426</v>
      </c>
      <c r="E210" s="177" t="s">
        <v>423</v>
      </c>
      <c r="F210" s="175">
        <f t="shared" si="7"/>
        <v>12</v>
      </c>
      <c r="G210" s="175" t="str">
        <f t="shared" si="8"/>
        <v>Alexandria</v>
      </c>
      <c r="H210" s="175"/>
      <c r="I210" s="178" t="s">
        <v>427</v>
      </c>
      <c r="J210" s="27" t="s">
        <v>428</v>
      </c>
      <c r="K210" s="27">
        <v>1549</v>
      </c>
      <c r="L210" s="179">
        <v>4047</v>
      </c>
      <c r="M210" s="180" t="s">
        <v>429</v>
      </c>
      <c r="N210" s="181" t="s">
        <v>430</v>
      </c>
      <c r="O210" s="182" t="s">
        <v>431</v>
      </c>
    </row>
    <row r="211" spans="2:20">
      <c r="B211" s="174" t="s">
        <v>2045</v>
      </c>
      <c r="C211" s="175" t="s">
        <v>425</v>
      </c>
      <c r="D211" s="176" t="s">
        <v>426</v>
      </c>
      <c r="E211" s="177" t="s">
        <v>2046</v>
      </c>
      <c r="F211" s="175">
        <f t="shared" si="7"/>
        <v>16</v>
      </c>
      <c r="G211" s="175" t="str">
        <f t="shared" si="8"/>
        <v>Fredericksburg</v>
      </c>
      <c r="H211" s="175"/>
      <c r="I211" s="178" t="s">
        <v>2453</v>
      </c>
      <c r="J211" s="27" t="s">
        <v>426</v>
      </c>
      <c r="K211" s="27">
        <v>1348</v>
      </c>
      <c r="L211" s="179">
        <v>3963</v>
      </c>
      <c r="M211" s="180" t="s">
        <v>2454</v>
      </c>
      <c r="N211" s="181" t="s">
        <v>426</v>
      </c>
      <c r="O211" s="182" t="s">
        <v>2455</v>
      </c>
    </row>
    <row r="212" spans="2:20">
      <c r="B212" s="174" t="s">
        <v>2047</v>
      </c>
      <c r="C212" s="175" t="s">
        <v>425</v>
      </c>
      <c r="D212" s="176" t="s">
        <v>426</v>
      </c>
      <c r="E212" s="177" t="s">
        <v>2046</v>
      </c>
      <c r="F212" s="175">
        <f t="shared" si="7"/>
        <v>16</v>
      </c>
      <c r="G212" s="175" t="str">
        <f t="shared" si="8"/>
        <v>Fredericksburg</v>
      </c>
      <c r="H212" s="175"/>
      <c r="I212" s="178" t="s">
        <v>2453</v>
      </c>
      <c r="J212" s="27" t="s">
        <v>426</v>
      </c>
      <c r="K212" s="27">
        <v>1348</v>
      </c>
      <c r="L212" s="179">
        <v>3963</v>
      </c>
      <c r="M212" s="180" t="s">
        <v>2454</v>
      </c>
      <c r="N212" s="181" t="s">
        <v>426</v>
      </c>
      <c r="O212" s="182" t="s">
        <v>2455</v>
      </c>
    </row>
    <row r="213" spans="2:20">
      <c r="B213" s="174" t="s">
        <v>692</v>
      </c>
      <c r="C213" s="175" t="s">
        <v>425</v>
      </c>
      <c r="D213" s="176" t="s">
        <v>426</v>
      </c>
      <c r="E213" s="177" t="s">
        <v>693</v>
      </c>
      <c r="F213" s="175">
        <f t="shared" si="7"/>
        <v>12</v>
      </c>
      <c r="G213" s="175" t="str">
        <f t="shared" si="8"/>
        <v>Winchester</v>
      </c>
      <c r="H213" s="175"/>
      <c r="I213" s="178" t="s">
        <v>1737</v>
      </c>
      <c r="J213" s="27" t="s">
        <v>428</v>
      </c>
      <c r="K213" s="27">
        <v>973</v>
      </c>
      <c r="L213" s="179">
        <v>5006</v>
      </c>
      <c r="M213" s="180" t="s">
        <v>429</v>
      </c>
      <c r="N213" s="181" t="s">
        <v>430</v>
      </c>
      <c r="O213" s="182" t="s">
        <v>431</v>
      </c>
    </row>
    <row r="214" spans="2:20">
      <c r="B214" s="174" t="s">
        <v>1735</v>
      </c>
      <c r="C214" s="175" t="s">
        <v>425</v>
      </c>
      <c r="D214" s="176" t="s">
        <v>426</v>
      </c>
      <c r="E214" s="177" t="s">
        <v>1736</v>
      </c>
      <c r="F214" s="175">
        <f t="shared" si="7"/>
        <v>10</v>
      </c>
      <c r="G214" s="175" t="str">
        <f t="shared" si="8"/>
        <v>Culpeper</v>
      </c>
      <c r="H214" s="175"/>
      <c r="I214" s="178" t="s">
        <v>1737</v>
      </c>
      <c r="J214" s="27" t="s">
        <v>428</v>
      </c>
      <c r="K214" s="27">
        <v>973</v>
      </c>
      <c r="L214" s="179">
        <v>5006</v>
      </c>
      <c r="M214" s="180" t="s">
        <v>429</v>
      </c>
      <c r="N214" s="181" t="s">
        <v>430</v>
      </c>
      <c r="O214" s="182" t="s">
        <v>431</v>
      </c>
      <c r="P214" s="26"/>
      <c r="Q214" s="27"/>
      <c r="R214" s="183"/>
      <c r="S214" s="27"/>
      <c r="T214" s="27"/>
    </row>
    <row r="215" spans="2:20">
      <c r="B215" s="174" t="s">
        <v>2248</v>
      </c>
      <c r="C215" s="175" t="s">
        <v>425</v>
      </c>
      <c r="D215" s="176" t="s">
        <v>426</v>
      </c>
      <c r="E215" s="177" t="s">
        <v>2249</v>
      </c>
      <c r="F215" s="175">
        <f t="shared" si="7"/>
        <v>14</v>
      </c>
      <c r="G215" s="175" t="str">
        <f t="shared" si="8"/>
        <v>Harrisonburg</v>
      </c>
      <c r="H215" s="175"/>
      <c r="I215" s="178" t="s">
        <v>1737</v>
      </c>
      <c r="J215" s="27" t="s">
        <v>428</v>
      </c>
      <c r="K215" s="27">
        <v>973</v>
      </c>
      <c r="L215" s="179">
        <v>5006</v>
      </c>
      <c r="M215" s="180" t="s">
        <v>429</v>
      </c>
      <c r="N215" s="181" t="s">
        <v>430</v>
      </c>
      <c r="O215" s="182" t="s">
        <v>431</v>
      </c>
      <c r="P215" s="26"/>
      <c r="Q215" s="27"/>
      <c r="R215" s="183"/>
      <c r="S215" s="27"/>
      <c r="T215" s="27"/>
    </row>
    <row r="216" spans="2:20">
      <c r="B216" s="174" t="s">
        <v>2451</v>
      </c>
      <c r="C216" s="175" t="s">
        <v>425</v>
      </c>
      <c r="D216" s="176" t="s">
        <v>426</v>
      </c>
      <c r="E216" s="177" t="s">
        <v>2452</v>
      </c>
      <c r="F216" s="175">
        <f t="shared" si="7"/>
        <v>17</v>
      </c>
      <c r="G216" s="175" t="str">
        <f t="shared" si="8"/>
        <v>Charlottesville</v>
      </c>
      <c r="H216" s="175"/>
      <c r="I216" s="178" t="s">
        <v>2453</v>
      </c>
      <c r="J216" s="27" t="s">
        <v>426</v>
      </c>
      <c r="K216" s="27">
        <v>1348</v>
      </c>
      <c r="L216" s="179">
        <v>3963</v>
      </c>
      <c r="M216" s="180" t="s">
        <v>2454</v>
      </c>
      <c r="N216" s="181" t="s">
        <v>426</v>
      </c>
      <c r="O216" s="182" t="s">
        <v>2455</v>
      </c>
      <c r="P216" s="26"/>
      <c r="Q216" s="27"/>
      <c r="R216" s="183"/>
      <c r="S216" s="27"/>
      <c r="T216" s="27"/>
    </row>
    <row r="217" spans="2:20">
      <c r="B217" s="174" t="s">
        <v>27</v>
      </c>
      <c r="C217" s="175" t="s">
        <v>425</v>
      </c>
      <c r="D217" s="176" t="s">
        <v>426</v>
      </c>
      <c r="E217" s="177" t="s">
        <v>26</v>
      </c>
      <c r="F217" s="175">
        <f t="shared" si="7"/>
        <v>10</v>
      </c>
      <c r="G217" s="175" t="str">
        <f t="shared" si="8"/>
        <v>Richmond</v>
      </c>
      <c r="H217" s="175"/>
      <c r="I217" s="178" t="s">
        <v>2453</v>
      </c>
      <c r="J217" s="27" t="s">
        <v>426</v>
      </c>
      <c r="K217" s="27">
        <v>1348</v>
      </c>
      <c r="L217" s="179">
        <v>3963</v>
      </c>
      <c r="M217" s="180" t="s">
        <v>2454</v>
      </c>
      <c r="N217" s="181" t="s">
        <v>426</v>
      </c>
      <c r="O217" s="182" t="s">
        <v>2455</v>
      </c>
      <c r="P217" s="26"/>
      <c r="Q217" s="27"/>
      <c r="R217" s="183"/>
      <c r="S217" s="27"/>
      <c r="T217" s="27"/>
    </row>
    <row r="218" spans="2:20">
      <c r="B218" s="174" t="s">
        <v>28</v>
      </c>
      <c r="C218" s="175" t="s">
        <v>425</v>
      </c>
      <c r="D218" s="176" t="s">
        <v>426</v>
      </c>
      <c r="E218" s="177" t="s">
        <v>26</v>
      </c>
      <c r="F218" s="175">
        <f t="shared" si="7"/>
        <v>10</v>
      </c>
      <c r="G218" s="175" t="str">
        <f t="shared" si="8"/>
        <v>Richmond</v>
      </c>
      <c r="H218" s="175"/>
      <c r="I218" s="178" t="s">
        <v>2453</v>
      </c>
      <c r="J218" s="27" t="s">
        <v>426</v>
      </c>
      <c r="K218" s="27">
        <v>1348</v>
      </c>
      <c r="L218" s="179">
        <v>3963</v>
      </c>
      <c r="M218" s="180" t="s">
        <v>2454</v>
      </c>
      <c r="N218" s="181" t="s">
        <v>426</v>
      </c>
      <c r="O218" s="182" t="s">
        <v>2455</v>
      </c>
      <c r="P218" s="26"/>
      <c r="Q218" s="27"/>
      <c r="R218" s="183"/>
      <c r="S218" s="27"/>
      <c r="T218" s="27"/>
    </row>
    <row r="219" spans="2:20">
      <c r="B219" s="174" t="s">
        <v>29</v>
      </c>
      <c r="C219" s="175" t="s">
        <v>425</v>
      </c>
      <c r="D219" s="176" t="s">
        <v>426</v>
      </c>
      <c r="E219" s="177" t="s">
        <v>26</v>
      </c>
      <c r="F219" s="175">
        <f t="shared" si="7"/>
        <v>10</v>
      </c>
      <c r="G219" s="175" t="str">
        <f t="shared" si="8"/>
        <v>Richmond</v>
      </c>
      <c r="H219" s="175"/>
      <c r="I219" s="178" t="s">
        <v>2453</v>
      </c>
      <c r="J219" s="27" t="s">
        <v>426</v>
      </c>
      <c r="K219" s="27">
        <v>1348</v>
      </c>
      <c r="L219" s="179">
        <v>3963</v>
      </c>
      <c r="M219" s="180" t="s">
        <v>2454</v>
      </c>
      <c r="N219" s="181" t="s">
        <v>426</v>
      </c>
      <c r="O219" s="182" t="s">
        <v>2455</v>
      </c>
      <c r="P219" s="26"/>
      <c r="Q219" s="27"/>
      <c r="R219" s="183"/>
      <c r="S219" s="27"/>
      <c r="T219" s="27"/>
    </row>
    <row r="220" spans="2:20">
      <c r="B220" s="174" t="s">
        <v>1190</v>
      </c>
      <c r="C220" s="175" t="s">
        <v>425</v>
      </c>
      <c r="D220" s="176" t="s">
        <v>426</v>
      </c>
      <c r="E220" s="177" t="s">
        <v>136</v>
      </c>
      <c r="F220" s="175">
        <f t="shared" si="7"/>
        <v>9</v>
      </c>
      <c r="G220" s="175" t="str">
        <f t="shared" si="8"/>
        <v>Norfolk</v>
      </c>
      <c r="H220" s="175"/>
      <c r="I220" s="178" t="s">
        <v>47</v>
      </c>
      <c r="J220" s="27" t="s">
        <v>426</v>
      </c>
      <c r="K220" s="27">
        <v>1422</v>
      </c>
      <c r="L220" s="179">
        <v>3495</v>
      </c>
      <c r="M220" s="180" t="s">
        <v>48</v>
      </c>
      <c r="N220" s="181" t="s">
        <v>426</v>
      </c>
      <c r="O220" s="182" t="s">
        <v>49</v>
      </c>
    </row>
    <row r="221" spans="2:20">
      <c r="B221" s="174" t="s">
        <v>1191</v>
      </c>
      <c r="C221" s="175" t="s">
        <v>425</v>
      </c>
      <c r="D221" s="176" t="s">
        <v>426</v>
      </c>
      <c r="E221" s="177" t="s">
        <v>136</v>
      </c>
      <c r="F221" s="175">
        <f t="shared" si="7"/>
        <v>9</v>
      </c>
      <c r="G221" s="175" t="str">
        <f t="shared" si="8"/>
        <v>Norfolk</v>
      </c>
      <c r="H221" s="175"/>
      <c r="I221" s="178" t="s">
        <v>47</v>
      </c>
      <c r="J221" s="27" t="s">
        <v>426</v>
      </c>
      <c r="K221" s="27">
        <v>1422</v>
      </c>
      <c r="L221" s="179">
        <v>3495</v>
      </c>
      <c r="M221" s="180" t="s">
        <v>48</v>
      </c>
      <c r="N221" s="181" t="s">
        <v>426</v>
      </c>
      <c r="O221" s="182" t="s">
        <v>49</v>
      </c>
    </row>
    <row r="222" spans="2:20">
      <c r="B222" s="174" t="s">
        <v>1192</v>
      </c>
      <c r="C222" s="175" t="s">
        <v>425</v>
      </c>
      <c r="D222" s="176" t="s">
        <v>426</v>
      </c>
      <c r="E222" s="177" t="s">
        <v>136</v>
      </c>
      <c r="F222" s="175">
        <f t="shared" si="7"/>
        <v>9</v>
      </c>
      <c r="G222" s="175" t="str">
        <f t="shared" si="8"/>
        <v>Norfolk</v>
      </c>
      <c r="H222" s="175"/>
      <c r="I222" s="178" t="s">
        <v>47</v>
      </c>
      <c r="J222" s="27" t="s">
        <v>426</v>
      </c>
      <c r="K222" s="27">
        <v>1422</v>
      </c>
      <c r="L222" s="179">
        <v>3495</v>
      </c>
      <c r="M222" s="180" t="s">
        <v>48</v>
      </c>
      <c r="N222" s="181" t="s">
        <v>426</v>
      </c>
      <c r="O222" s="182" t="s">
        <v>49</v>
      </c>
    </row>
    <row r="223" spans="2:20">
      <c r="B223" s="174" t="s">
        <v>1193</v>
      </c>
      <c r="C223" s="175" t="s">
        <v>425</v>
      </c>
      <c r="D223" s="176" t="s">
        <v>426</v>
      </c>
      <c r="E223" s="177" t="s">
        <v>136</v>
      </c>
      <c r="F223" s="175">
        <f t="shared" si="7"/>
        <v>9</v>
      </c>
      <c r="G223" s="175" t="str">
        <f t="shared" si="8"/>
        <v>Norfolk</v>
      </c>
      <c r="H223" s="175"/>
      <c r="I223" s="178" t="s">
        <v>47</v>
      </c>
      <c r="J223" s="27" t="s">
        <v>426</v>
      </c>
      <c r="K223" s="27">
        <v>1422</v>
      </c>
      <c r="L223" s="179">
        <v>3495</v>
      </c>
      <c r="M223" s="180" t="s">
        <v>48</v>
      </c>
      <c r="N223" s="181" t="s">
        <v>426</v>
      </c>
      <c r="O223" s="182" t="s">
        <v>49</v>
      </c>
    </row>
    <row r="224" spans="2:20">
      <c r="B224" s="174" t="s">
        <v>2573</v>
      </c>
      <c r="C224" s="175" t="s">
        <v>425</v>
      </c>
      <c r="D224" s="176" t="s">
        <v>426</v>
      </c>
      <c r="E224" s="177" t="s">
        <v>2572</v>
      </c>
      <c r="F224" s="175">
        <f t="shared" si="7"/>
        <v>12</v>
      </c>
      <c r="G224" s="175" t="str">
        <f t="shared" si="8"/>
        <v>Portsmouth</v>
      </c>
      <c r="H224" s="175"/>
      <c r="I224" s="178" t="s">
        <v>47</v>
      </c>
      <c r="J224" s="27" t="s">
        <v>426</v>
      </c>
      <c r="K224" s="27">
        <v>1422</v>
      </c>
      <c r="L224" s="179">
        <v>3495</v>
      </c>
      <c r="M224" s="180" t="s">
        <v>48</v>
      </c>
      <c r="N224" s="181" t="s">
        <v>426</v>
      </c>
      <c r="O224" s="182" t="s">
        <v>49</v>
      </c>
    </row>
    <row r="225" spans="2:15">
      <c r="B225" s="174" t="s">
        <v>2521</v>
      </c>
      <c r="C225" s="175" t="s">
        <v>425</v>
      </c>
      <c r="D225" s="176" t="s">
        <v>426</v>
      </c>
      <c r="E225" s="177" t="s">
        <v>2522</v>
      </c>
      <c r="F225" s="175">
        <f t="shared" si="7"/>
        <v>12</v>
      </c>
      <c r="G225" s="175" t="str">
        <f t="shared" si="8"/>
        <v>Petersburg</v>
      </c>
      <c r="H225" s="175"/>
      <c r="I225" s="178" t="s">
        <v>47</v>
      </c>
      <c r="J225" s="27" t="s">
        <v>426</v>
      </c>
      <c r="K225" s="27">
        <v>1422</v>
      </c>
      <c r="L225" s="179">
        <v>3495</v>
      </c>
      <c r="M225" s="180" t="s">
        <v>48</v>
      </c>
      <c r="N225" s="181" t="s">
        <v>426</v>
      </c>
      <c r="O225" s="182" t="s">
        <v>49</v>
      </c>
    </row>
    <row r="226" spans="2:15">
      <c r="B226" s="174" t="s">
        <v>1981</v>
      </c>
      <c r="C226" s="175" t="s">
        <v>425</v>
      </c>
      <c r="D226" s="176" t="s">
        <v>426</v>
      </c>
      <c r="E226" s="177" t="s">
        <v>1982</v>
      </c>
      <c r="F226" s="175">
        <f t="shared" si="7"/>
        <v>11</v>
      </c>
      <c r="G226" s="175" t="str">
        <f t="shared" si="8"/>
        <v>Farmville</v>
      </c>
      <c r="H226" s="175"/>
      <c r="I226" s="178" t="s">
        <v>2453</v>
      </c>
      <c r="J226" s="27" t="s">
        <v>426</v>
      </c>
      <c r="K226" s="27">
        <v>1348</v>
      </c>
      <c r="L226" s="179">
        <v>3963</v>
      </c>
      <c r="M226" s="180" t="s">
        <v>2454</v>
      </c>
      <c r="N226" s="181" t="s">
        <v>426</v>
      </c>
      <c r="O226" s="182" t="s">
        <v>2455</v>
      </c>
    </row>
    <row r="227" spans="2:15">
      <c r="B227" s="174" t="s">
        <v>291</v>
      </c>
      <c r="C227" s="175" t="s">
        <v>425</v>
      </c>
      <c r="D227" s="176" t="s">
        <v>426</v>
      </c>
      <c r="E227" s="177" t="s">
        <v>292</v>
      </c>
      <c r="F227" s="175">
        <f t="shared" si="7"/>
        <v>9</v>
      </c>
      <c r="G227" s="175" t="str">
        <f t="shared" si="8"/>
        <v>Roanoke</v>
      </c>
      <c r="H227" s="175"/>
      <c r="I227" s="178" t="s">
        <v>2370</v>
      </c>
      <c r="J227" s="27" t="s">
        <v>426</v>
      </c>
      <c r="K227" s="27">
        <v>1052</v>
      </c>
      <c r="L227" s="179">
        <v>4360</v>
      </c>
      <c r="M227" s="180" t="s">
        <v>2371</v>
      </c>
      <c r="N227" s="181" t="s">
        <v>426</v>
      </c>
      <c r="O227" s="182" t="s">
        <v>2372</v>
      </c>
    </row>
    <row r="228" spans="2:15">
      <c r="B228" s="174" t="s">
        <v>293</v>
      </c>
      <c r="C228" s="175" t="s">
        <v>425</v>
      </c>
      <c r="D228" s="176" t="s">
        <v>426</v>
      </c>
      <c r="E228" s="177" t="s">
        <v>292</v>
      </c>
      <c r="F228" s="175">
        <f t="shared" si="7"/>
        <v>9</v>
      </c>
      <c r="G228" s="175" t="str">
        <f t="shared" si="8"/>
        <v>Roanoke</v>
      </c>
      <c r="H228" s="175"/>
      <c r="I228" s="178" t="s">
        <v>2370</v>
      </c>
      <c r="J228" s="27" t="s">
        <v>426</v>
      </c>
      <c r="K228" s="27">
        <v>1052</v>
      </c>
      <c r="L228" s="179">
        <v>4360</v>
      </c>
      <c r="M228" s="180" t="s">
        <v>2371</v>
      </c>
      <c r="N228" s="181" t="s">
        <v>426</v>
      </c>
      <c r="O228" s="182" t="s">
        <v>2372</v>
      </c>
    </row>
    <row r="229" spans="2:15">
      <c r="B229" s="174" t="s">
        <v>649</v>
      </c>
      <c r="C229" s="175" t="s">
        <v>425</v>
      </c>
      <c r="D229" s="176" t="s">
        <v>426</v>
      </c>
      <c r="E229" s="177" t="s">
        <v>650</v>
      </c>
      <c r="F229" s="175">
        <f t="shared" si="7"/>
        <v>9</v>
      </c>
      <c r="G229" s="175" t="str">
        <f t="shared" si="8"/>
        <v>Bristol</v>
      </c>
      <c r="H229" s="175"/>
      <c r="I229" s="178" t="s">
        <v>2370</v>
      </c>
      <c r="J229" s="27" t="s">
        <v>426</v>
      </c>
      <c r="K229" s="27">
        <v>1052</v>
      </c>
      <c r="L229" s="179">
        <v>4360</v>
      </c>
      <c r="M229" s="180" t="s">
        <v>2371</v>
      </c>
      <c r="N229" s="181" t="s">
        <v>426</v>
      </c>
      <c r="O229" s="182" t="s">
        <v>2372</v>
      </c>
    </row>
    <row r="230" spans="2:15">
      <c r="B230" s="174" t="s">
        <v>2591</v>
      </c>
      <c r="C230" s="175" t="s">
        <v>425</v>
      </c>
      <c r="D230" s="176" t="s">
        <v>426</v>
      </c>
      <c r="E230" s="177" t="s">
        <v>2592</v>
      </c>
      <c r="F230" s="175">
        <f t="shared" si="7"/>
        <v>9</v>
      </c>
      <c r="G230" s="175" t="str">
        <f t="shared" si="8"/>
        <v>Pulaski</v>
      </c>
      <c r="H230" s="175"/>
      <c r="I230" s="178" t="s">
        <v>2370</v>
      </c>
      <c r="J230" s="27" t="s">
        <v>426</v>
      </c>
      <c r="K230" s="27">
        <v>1052</v>
      </c>
      <c r="L230" s="179">
        <v>4360</v>
      </c>
      <c r="M230" s="180" t="s">
        <v>2371</v>
      </c>
      <c r="N230" s="181" t="s">
        <v>426</v>
      </c>
      <c r="O230" s="182" t="s">
        <v>2372</v>
      </c>
    </row>
    <row r="231" spans="2:15">
      <c r="B231" s="174" t="s">
        <v>1323</v>
      </c>
      <c r="C231" s="175" t="s">
        <v>425</v>
      </c>
      <c r="D231" s="176" t="s">
        <v>426</v>
      </c>
      <c r="E231" s="177" t="s">
        <v>1324</v>
      </c>
      <c r="F231" s="175">
        <f t="shared" si="7"/>
        <v>10</v>
      </c>
      <c r="G231" s="175" t="str">
        <f t="shared" si="8"/>
        <v>Staunton</v>
      </c>
      <c r="H231" s="175"/>
      <c r="I231" s="178" t="s">
        <v>2370</v>
      </c>
      <c r="J231" s="27" t="s">
        <v>426</v>
      </c>
      <c r="K231" s="27">
        <v>1052</v>
      </c>
      <c r="L231" s="179">
        <v>4360</v>
      </c>
      <c r="M231" s="180" t="s">
        <v>2371</v>
      </c>
      <c r="N231" s="181" t="s">
        <v>426</v>
      </c>
      <c r="O231" s="182" t="s">
        <v>2372</v>
      </c>
    </row>
    <row r="232" spans="2:15">
      <c r="B232" s="174" t="s">
        <v>2223</v>
      </c>
      <c r="C232" s="175" t="s">
        <v>425</v>
      </c>
      <c r="D232" s="176" t="s">
        <v>426</v>
      </c>
      <c r="E232" s="177" t="s">
        <v>2224</v>
      </c>
      <c r="F232" s="175">
        <f t="shared" si="7"/>
        <v>11</v>
      </c>
      <c r="G232" s="175" t="str">
        <f t="shared" si="8"/>
        <v>Lynchburg</v>
      </c>
      <c r="H232" s="175"/>
      <c r="I232" s="178" t="s">
        <v>2225</v>
      </c>
      <c r="J232" s="27" t="s">
        <v>426</v>
      </c>
      <c r="K232" s="27">
        <v>1048</v>
      </c>
      <c r="L232" s="179">
        <v>4340</v>
      </c>
      <c r="M232" s="180" t="s">
        <v>2371</v>
      </c>
      <c r="N232" s="181" t="s">
        <v>426</v>
      </c>
      <c r="O232" s="182" t="s">
        <v>2372</v>
      </c>
    </row>
    <row r="233" spans="2:15">
      <c r="B233" s="174" t="s">
        <v>822</v>
      </c>
      <c r="C233" s="175" t="s">
        <v>425</v>
      </c>
      <c r="D233" s="176" t="s">
        <v>426</v>
      </c>
      <c r="E233" s="177" t="s">
        <v>823</v>
      </c>
      <c r="F233" s="175">
        <f t="shared" si="7"/>
        <v>10</v>
      </c>
      <c r="G233" s="175" t="str">
        <f t="shared" si="8"/>
        <v>Tazewell</v>
      </c>
      <c r="H233" s="175"/>
      <c r="I233" s="178" t="s">
        <v>2370</v>
      </c>
      <c r="J233" s="27" t="s">
        <v>426</v>
      </c>
      <c r="K233" s="27">
        <v>1052</v>
      </c>
      <c r="L233" s="179">
        <v>4360</v>
      </c>
      <c r="M233" s="180" t="s">
        <v>2371</v>
      </c>
      <c r="N233" s="181" t="s">
        <v>426</v>
      </c>
      <c r="O233" s="182" t="s">
        <v>2372</v>
      </c>
    </row>
    <row r="234" spans="2:15">
      <c r="B234" s="174" t="s">
        <v>2368</v>
      </c>
      <c r="C234" s="175" t="s">
        <v>1678</v>
      </c>
      <c r="D234" s="176" t="s">
        <v>1591</v>
      </c>
      <c r="E234" s="177" t="s">
        <v>2369</v>
      </c>
      <c r="F234" s="175">
        <f t="shared" si="7"/>
        <v>11</v>
      </c>
      <c r="G234" s="175" t="str">
        <f t="shared" si="8"/>
        <v>Bluefield</v>
      </c>
      <c r="H234" s="175"/>
      <c r="I234" s="178" t="s">
        <v>2370</v>
      </c>
      <c r="J234" s="27" t="s">
        <v>426</v>
      </c>
      <c r="K234" s="27">
        <v>1052</v>
      </c>
      <c r="L234" s="179">
        <v>4360</v>
      </c>
      <c r="M234" s="180" t="s">
        <v>2371</v>
      </c>
      <c r="N234" s="181" t="s">
        <v>426</v>
      </c>
      <c r="O234" s="182" t="s">
        <v>2372</v>
      </c>
    </row>
    <row r="235" spans="2:15">
      <c r="B235" s="174" t="s">
        <v>1896</v>
      </c>
      <c r="C235" s="175" t="s">
        <v>1678</v>
      </c>
      <c r="D235" s="176" t="s">
        <v>1591</v>
      </c>
      <c r="E235" s="177" t="s">
        <v>1897</v>
      </c>
      <c r="F235" s="175">
        <f t="shared" si="7"/>
        <v>7</v>
      </c>
      <c r="G235" s="175" t="str">
        <f t="shared" si="8"/>
        <v>Welch</v>
      </c>
      <c r="H235" s="175"/>
      <c r="I235" s="178" t="s">
        <v>1380</v>
      </c>
      <c r="J235" s="27" t="s">
        <v>1591</v>
      </c>
      <c r="K235" s="27">
        <v>1031</v>
      </c>
      <c r="L235" s="179">
        <v>4646</v>
      </c>
      <c r="M235" s="180" t="s">
        <v>1592</v>
      </c>
      <c r="N235" s="181" t="s">
        <v>1591</v>
      </c>
      <c r="O235" s="182" t="s">
        <v>1593</v>
      </c>
    </row>
    <row r="236" spans="2:15">
      <c r="B236" s="174" t="s">
        <v>2175</v>
      </c>
      <c r="C236" s="175" t="s">
        <v>1678</v>
      </c>
      <c r="D236" s="176" t="s">
        <v>1591</v>
      </c>
      <c r="E236" s="177" t="s">
        <v>2176</v>
      </c>
      <c r="F236" s="175">
        <f t="shared" si="7"/>
        <v>11</v>
      </c>
      <c r="G236" s="175" t="str">
        <f t="shared" si="8"/>
        <v>Lewisburg</v>
      </c>
      <c r="H236" s="175"/>
      <c r="I236" s="178" t="s">
        <v>1380</v>
      </c>
      <c r="J236" s="27" t="s">
        <v>1591</v>
      </c>
      <c r="K236" s="27">
        <v>1031</v>
      </c>
      <c r="L236" s="179">
        <v>4646</v>
      </c>
      <c r="M236" s="180" t="s">
        <v>1592</v>
      </c>
      <c r="N236" s="181" t="s">
        <v>1591</v>
      </c>
      <c r="O236" s="182" t="s">
        <v>1593</v>
      </c>
    </row>
    <row r="237" spans="2:15">
      <c r="B237" s="174" t="s">
        <v>2439</v>
      </c>
      <c r="C237" s="175" t="s">
        <v>1678</v>
      </c>
      <c r="D237" s="176" t="s">
        <v>1591</v>
      </c>
      <c r="E237" s="177" t="s">
        <v>2436</v>
      </c>
      <c r="F237" s="175">
        <f t="shared" si="7"/>
        <v>12</v>
      </c>
      <c r="G237" s="175" t="str">
        <f t="shared" si="8"/>
        <v>Charleston</v>
      </c>
      <c r="H237" s="175"/>
      <c r="I237" s="178" t="s">
        <v>1380</v>
      </c>
      <c r="J237" s="27" t="s">
        <v>1591</v>
      </c>
      <c r="K237" s="27">
        <v>1031</v>
      </c>
      <c r="L237" s="179">
        <v>4646</v>
      </c>
      <c r="M237" s="180" t="s">
        <v>1592</v>
      </c>
      <c r="N237" s="181" t="s">
        <v>1591</v>
      </c>
      <c r="O237" s="182" t="s">
        <v>1593</v>
      </c>
    </row>
    <row r="238" spans="2:15">
      <c r="B238" s="174" t="s">
        <v>2440</v>
      </c>
      <c r="C238" s="175" t="s">
        <v>1678</v>
      </c>
      <c r="D238" s="176" t="s">
        <v>1591</v>
      </c>
      <c r="E238" s="177" t="s">
        <v>2436</v>
      </c>
      <c r="F238" s="175">
        <f t="shared" si="7"/>
        <v>12</v>
      </c>
      <c r="G238" s="175" t="str">
        <f t="shared" si="8"/>
        <v>Charleston</v>
      </c>
      <c r="H238" s="175"/>
      <c r="I238" s="178" t="s">
        <v>1380</v>
      </c>
      <c r="J238" s="27" t="s">
        <v>1591</v>
      </c>
      <c r="K238" s="27">
        <v>1031</v>
      </c>
      <c r="L238" s="179">
        <v>4646</v>
      </c>
      <c r="M238" s="180" t="s">
        <v>1592</v>
      </c>
      <c r="N238" s="181" t="s">
        <v>1591</v>
      </c>
      <c r="O238" s="182" t="s">
        <v>1593</v>
      </c>
    </row>
    <row r="239" spans="2:15">
      <c r="B239" s="174" t="s">
        <v>2441</v>
      </c>
      <c r="C239" s="175" t="s">
        <v>1678</v>
      </c>
      <c r="D239" s="176" t="s">
        <v>1591</v>
      </c>
      <c r="E239" s="177" t="s">
        <v>2436</v>
      </c>
      <c r="F239" s="175">
        <f t="shared" si="7"/>
        <v>12</v>
      </c>
      <c r="G239" s="175" t="str">
        <f t="shared" si="8"/>
        <v>Charleston</v>
      </c>
      <c r="H239" s="175"/>
      <c r="I239" s="178" t="s">
        <v>1380</v>
      </c>
      <c r="J239" s="27" t="s">
        <v>1591</v>
      </c>
      <c r="K239" s="27">
        <v>1031</v>
      </c>
      <c r="L239" s="179">
        <v>4646</v>
      </c>
      <c r="M239" s="180" t="s">
        <v>1592</v>
      </c>
      <c r="N239" s="181" t="s">
        <v>1591</v>
      </c>
      <c r="O239" s="182" t="s">
        <v>1593</v>
      </c>
    </row>
    <row r="240" spans="2:15">
      <c r="B240" s="174" t="s">
        <v>2442</v>
      </c>
      <c r="C240" s="175" t="s">
        <v>1678</v>
      </c>
      <c r="D240" s="176" t="s">
        <v>1591</v>
      </c>
      <c r="E240" s="177" t="s">
        <v>2436</v>
      </c>
      <c r="F240" s="175">
        <f t="shared" si="7"/>
        <v>12</v>
      </c>
      <c r="G240" s="175" t="str">
        <f t="shared" si="8"/>
        <v>Charleston</v>
      </c>
      <c r="H240" s="175"/>
      <c r="I240" s="178" t="s">
        <v>1380</v>
      </c>
      <c r="J240" s="27" t="s">
        <v>1591</v>
      </c>
      <c r="K240" s="27">
        <v>1031</v>
      </c>
      <c r="L240" s="179">
        <v>4646</v>
      </c>
      <c r="M240" s="180" t="s">
        <v>1592</v>
      </c>
      <c r="N240" s="181" t="s">
        <v>1591</v>
      </c>
      <c r="O240" s="182" t="s">
        <v>1593</v>
      </c>
    </row>
    <row r="241" spans="2:15">
      <c r="B241" s="174" t="s">
        <v>1178</v>
      </c>
      <c r="C241" s="175" t="s">
        <v>1678</v>
      </c>
      <c r="D241" s="176" t="s">
        <v>1591</v>
      </c>
      <c r="E241" s="177" t="s">
        <v>1179</v>
      </c>
      <c r="F241" s="175">
        <f t="shared" si="7"/>
        <v>13</v>
      </c>
      <c r="G241" s="175" t="str">
        <f t="shared" si="8"/>
        <v>Martinsburg</v>
      </c>
      <c r="H241" s="175"/>
      <c r="I241" s="178" t="s">
        <v>1737</v>
      </c>
      <c r="J241" s="27" t="s">
        <v>428</v>
      </c>
      <c r="K241" s="27">
        <v>973</v>
      </c>
      <c r="L241" s="179">
        <v>5006</v>
      </c>
      <c r="M241" s="180" t="s">
        <v>429</v>
      </c>
      <c r="N241" s="181" t="s">
        <v>430</v>
      </c>
      <c r="O241" s="182" t="s">
        <v>431</v>
      </c>
    </row>
    <row r="242" spans="2:15">
      <c r="B242" s="174" t="s">
        <v>770</v>
      </c>
      <c r="C242" s="175" t="s">
        <v>1678</v>
      </c>
      <c r="D242" s="176" t="s">
        <v>1591</v>
      </c>
      <c r="E242" s="177" t="s">
        <v>771</v>
      </c>
      <c r="F242" s="175">
        <f t="shared" si="7"/>
        <v>12</v>
      </c>
      <c r="G242" s="175" t="str">
        <f t="shared" si="8"/>
        <v>Huntington</v>
      </c>
      <c r="H242" s="175"/>
      <c r="I242" s="178" t="s">
        <v>1380</v>
      </c>
      <c r="J242" s="27" t="s">
        <v>1591</v>
      </c>
      <c r="K242" s="27">
        <v>1031</v>
      </c>
      <c r="L242" s="179">
        <v>4646</v>
      </c>
      <c r="M242" s="180" t="s">
        <v>1592</v>
      </c>
      <c r="N242" s="181" t="s">
        <v>1591</v>
      </c>
      <c r="O242" s="182" t="s">
        <v>1593</v>
      </c>
    </row>
    <row r="243" spans="2:15">
      <c r="B243" s="174" t="s">
        <v>2199</v>
      </c>
      <c r="C243" s="175" t="s">
        <v>1678</v>
      </c>
      <c r="D243" s="176" t="s">
        <v>1591</v>
      </c>
      <c r="E243" s="177" t="s">
        <v>2200</v>
      </c>
      <c r="F243" s="175">
        <f t="shared" si="7"/>
        <v>7</v>
      </c>
      <c r="G243" s="175" t="str">
        <f t="shared" si="8"/>
        <v>Logan</v>
      </c>
      <c r="H243" s="175"/>
      <c r="I243" s="178" t="s">
        <v>1380</v>
      </c>
      <c r="J243" s="27" t="s">
        <v>1591</v>
      </c>
      <c r="K243" s="27">
        <v>1031</v>
      </c>
      <c r="L243" s="179">
        <v>4646</v>
      </c>
      <c r="M243" s="180" t="s">
        <v>1592</v>
      </c>
      <c r="N243" s="181" t="s">
        <v>1591</v>
      </c>
      <c r="O243" s="182" t="s">
        <v>1593</v>
      </c>
    </row>
    <row r="244" spans="2:15">
      <c r="B244" s="174" t="s">
        <v>772</v>
      </c>
      <c r="C244" s="175" t="s">
        <v>1678</v>
      </c>
      <c r="D244" s="176" t="s">
        <v>1591</v>
      </c>
      <c r="E244" s="177" t="s">
        <v>771</v>
      </c>
      <c r="F244" s="175">
        <f t="shared" si="7"/>
        <v>12</v>
      </c>
      <c r="G244" s="175" t="str">
        <f t="shared" si="8"/>
        <v>Huntington</v>
      </c>
      <c r="H244" s="175"/>
      <c r="I244" s="178" t="s">
        <v>1590</v>
      </c>
      <c r="J244" s="27" t="s">
        <v>1591</v>
      </c>
      <c r="K244" s="27">
        <v>1005</v>
      </c>
      <c r="L244" s="179">
        <v>4665</v>
      </c>
      <c r="M244" s="180" t="s">
        <v>1592</v>
      </c>
      <c r="N244" s="181" t="s">
        <v>1591</v>
      </c>
      <c r="O244" s="182" t="s">
        <v>1593</v>
      </c>
    </row>
    <row r="245" spans="2:15">
      <c r="B245" s="174" t="s">
        <v>1677</v>
      </c>
      <c r="C245" s="175" t="s">
        <v>1678</v>
      </c>
      <c r="D245" s="176" t="s">
        <v>1591</v>
      </c>
      <c r="E245" s="177" t="s">
        <v>1679</v>
      </c>
      <c r="F245" s="175">
        <f t="shared" si="7"/>
        <v>9</v>
      </c>
      <c r="G245" s="175" t="str">
        <f t="shared" si="8"/>
        <v>Beckley</v>
      </c>
      <c r="H245" s="175"/>
      <c r="I245" s="178" t="s">
        <v>1680</v>
      </c>
      <c r="J245" s="27" t="s">
        <v>1591</v>
      </c>
      <c r="K245" s="27">
        <v>463</v>
      </c>
      <c r="L245" s="179">
        <v>5558</v>
      </c>
      <c r="M245" s="180" t="s">
        <v>1592</v>
      </c>
      <c r="N245" s="181" t="s">
        <v>1591</v>
      </c>
      <c r="O245" s="182" t="s">
        <v>1593</v>
      </c>
    </row>
    <row r="246" spans="2:15">
      <c r="B246" s="174" t="s">
        <v>1681</v>
      </c>
      <c r="C246" s="175" t="s">
        <v>1678</v>
      </c>
      <c r="D246" s="176" t="s">
        <v>1591</v>
      </c>
      <c r="E246" s="177" t="s">
        <v>1679</v>
      </c>
      <c r="F246" s="175">
        <f t="shared" si="7"/>
        <v>9</v>
      </c>
      <c r="G246" s="175" t="str">
        <f t="shared" si="8"/>
        <v>Beckley</v>
      </c>
      <c r="H246" s="175"/>
      <c r="I246" s="178" t="s">
        <v>1680</v>
      </c>
      <c r="J246" s="27" t="s">
        <v>1591</v>
      </c>
      <c r="K246" s="27">
        <v>463</v>
      </c>
      <c r="L246" s="179">
        <v>5558</v>
      </c>
      <c r="M246" s="180" t="s">
        <v>1592</v>
      </c>
      <c r="N246" s="181" t="s">
        <v>1591</v>
      </c>
      <c r="O246" s="182" t="s">
        <v>1593</v>
      </c>
    </row>
    <row r="247" spans="2:15">
      <c r="B247" s="174" t="s">
        <v>1915</v>
      </c>
      <c r="C247" s="175" t="s">
        <v>1678</v>
      </c>
      <c r="D247" s="176" t="s">
        <v>1591</v>
      </c>
      <c r="E247" s="177" t="s">
        <v>1916</v>
      </c>
      <c r="F247" s="175">
        <f t="shared" si="7"/>
        <v>10</v>
      </c>
      <c r="G247" s="175" t="str">
        <f t="shared" si="8"/>
        <v>Wheeling</v>
      </c>
      <c r="H247" s="175"/>
      <c r="I247" s="178" t="s">
        <v>455</v>
      </c>
      <c r="J247" s="27" t="s">
        <v>441</v>
      </c>
      <c r="K247" s="27">
        <v>654</v>
      </c>
      <c r="L247" s="179">
        <v>5968</v>
      </c>
      <c r="M247" s="180" t="s">
        <v>456</v>
      </c>
      <c r="N247" s="181" t="s">
        <v>441</v>
      </c>
      <c r="O247" s="182" t="s">
        <v>457</v>
      </c>
    </row>
    <row r="248" spans="2:15">
      <c r="B248" s="174" t="s">
        <v>567</v>
      </c>
      <c r="C248" s="175" t="s">
        <v>1678</v>
      </c>
      <c r="D248" s="176" t="s">
        <v>1591</v>
      </c>
      <c r="E248" s="177" t="s">
        <v>568</v>
      </c>
      <c r="F248" s="175">
        <f t="shared" si="7"/>
        <v>13</v>
      </c>
      <c r="G248" s="175" t="str">
        <f t="shared" si="8"/>
        <v>Parkersburg</v>
      </c>
      <c r="H248" s="175"/>
      <c r="I248" s="178" t="s">
        <v>1380</v>
      </c>
      <c r="J248" s="27" t="s">
        <v>1591</v>
      </c>
      <c r="K248" s="27">
        <v>1031</v>
      </c>
      <c r="L248" s="179">
        <v>4646</v>
      </c>
      <c r="M248" s="180" t="s">
        <v>1592</v>
      </c>
      <c r="N248" s="181" t="s">
        <v>1591</v>
      </c>
      <c r="O248" s="182" t="s">
        <v>1593</v>
      </c>
    </row>
    <row r="249" spans="2:15">
      <c r="B249" s="174" t="s">
        <v>1378</v>
      </c>
      <c r="C249" s="175" t="s">
        <v>1678</v>
      </c>
      <c r="D249" s="176" t="s">
        <v>1591</v>
      </c>
      <c r="E249" s="177" t="s">
        <v>1379</v>
      </c>
      <c r="F249" s="175">
        <f t="shared" si="7"/>
        <v>12</v>
      </c>
      <c r="G249" s="175" t="str">
        <f t="shared" si="8"/>
        <v>Buckhannon</v>
      </c>
      <c r="H249" s="175"/>
      <c r="I249" s="178" t="s">
        <v>1380</v>
      </c>
      <c r="J249" s="27" t="s">
        <v>1591</v>
      </c>
      <c r="K249" s="27">
        <v>1031</v>
      </c>
      <c r="L249" s="179">
        <v>4646</v>
      </c>
      <c r="M249" s="180" t="s">
        <v>1592</v>
      </c>
      <c r="N249" s="181" t="s">
        <v>1591</v>
      </c>
      <c r="O249" s="182" t="s">
        <v>1593</v>
      </c>
    </row>
    <row r="250" spans="2:15">
      <c r="B250" s="174" t="s">
        <v>2497</v>
      </c>
      <c r="C250" s="175" t="s">
        <v>1678</v>
      </c>
      <c r="D250" s="176" t="s">
        <v>1591</v>
      </c>
      <c r="E250" s="177" t="s">
        <v>2498</v>
      </c>
      <c r="F250" s="175">
        <f t="shared" si="7"/>
        <v>12</v>
      </c>
      <c r="G250" s="175" t="str">
        <f t="shared" si="8"/>
        <v>Clarksburg</v>
      </c>
      <c r="H250" s="175"/>
      <c r="I250" s="178" t="s">
        <v>2499</v>
      </c>
      <c r="J250" s="27" t="s">
        <v>1591</v>
      </c>
      <c r="K250" s="27">
        <v>346</v>
      </c>
      <c r="L250" s="179">
        <v>6120</v>
      </c>
      <c r="M250" s="180" t="s">
        <v>2500</v>
      </c>
      <c r="N250" s="181" t="s">
        <v>1591</v>
      </c>
      <c r="O250" s="182" t="s">
        <v>544</v>
      </c>
    </row>
    <row r="251" spans="2:15">
      <c r="B251" s="174" t="s">
        <v>545</v>
      </c>
      <c r="C251" s="175" t="s">
        <v>1678</v>
      </c>
      <c r="D251" s="176" t="s">
        <v>1591</v>
      </c>
      <c r="E251" s="177" t="s">
        <v>2498</v>
      </c>
      <c r="F251" s="175">
        <f t="shared" si="7"/>
        <v>12</v>
      </c>
      <c r="G251" s="175" t="str">
        <f t="shared" si="8"/>
        <v>Clarksburg</v>
      </c>
      <c r="H251" s="175"/>
      <c r="I251" s="178" t="s">
        <v>2499</v>
      </c>
      <c r="J251" s="27" t="s">
        <v>1591</v>
      </c>
      <c r="K251" s="27">
        <v>346</v>
      </c>
      <c r="L251" s="179">
        <v>6120</v>
      </c>
      <c r="M251" s="180" t="s">
        <v>2500</v>
      </c>
      <c r="N251" s="181" t="s">
        <v>1591</v>
      </c>
      <c r="O251" s="182" t="s">
        <v>544</v>
      </c>
    </row>
    <row r="252" spans="2:15">
      <c r="B252" s="174" t="s">
        <v>1103</v>
      </c>
      <c r="C252" s="175" t="s">
        <v>1678</v>
      </c>
      <c r="D252" s="176" t="s">
        <v>1591</v>
      </c>
      <c r="E252" s="177" t="s">
        <v>1104</v>
      </c>
      <c r="F252" s="175">
        <f t="shared" si="7"/>
        <v>12</v>
      </c>
      <c r="G252" s="175" t="str">
        <f t="shared" si="8"/>
        <v>Morgantown</v>
      </c>
      <c r="H252" s="175"/>
      <c r="I252" s="178" t="s">
        <v>455</v>
      </c>
      <c r="J252" s="27" t="s">
        <v>441</v>
      </c>
      <c r="K252" s="27">
        <v>654</v>
      </c>
      <c r="L252" s="179">
        <v>5968</v>
      </c>
      <c r="M252" s="180" t="s">
        <v>456</v>
      </c>
      <c r="N252" s="181" t="s">
        <v>441</v>
      </c>
      <c r="O252" s="182" t="s">
        <v>457</v>
      </c>
    </row>
    <row r="253" spans="2:15">
      <c r="B253" s="174" t="s">
        <v>2073</v>
      </c>
      <c r="C253" s="175" t="s">
        <v>1678</v>
      </c>
      <c r="D253" s="176" t="s">
        <v>1591</v>
      </c>
      <c r="E253" s="177" t="s">
        <v>2074</v>
      </c>
      <c r="F253" s="175">
        <f t="shared" si="7"/>
        <v>10</v>
      </c>
      <c r="G253" s="175" t="str">
        <f t="shared" si="8"/>
        <v>Gassaway</v>
      </c>
      <c r="H253" s="175"/>
      <c r="I253" s="178" t="s">
        <v>1380</v>
      </c>
      <c r="J253" s="27" t="s">
        <v>1591</v>
      </c>
      <c r="K253" s="27">
        <v>1031</v>
      </c>
      <c r="L253" s="179">
        <v>4646</v>
      </c>
      <c r="M253" s="180" t="s">
        <v>1592</v>
      </c>
      <c r="N253" s="181" t="s">
        <v>1591</v>
      </c>
      <c r="O253" s="182" t="s">
        <v>1593</v>
      </c>
    </row>
    <row r="254" spans="2:15">
      <c r="B254" s="174" t="s">
        <v>924</v>
      </c>
      <c r="C254" s="175" t="s">
        <v>1678</v>
      </c>
      <c r="D254" s="176" t="s">
        <v>1591</v>
      </c>
      <c r="E254" s="177" t="s">
        <v>925</v>
      </c>
      <c r="F254" s="175">
        <f t="shared" si="7"/>
        <v>8</v>
      </c>
      <c r="G254" s="175" t="str">
        <f t="shared" si="8"/>
        <v>Keyser</v>
      </c>
      <c r="H254" s="175"/>
      <c r="I254" s="178" t="s">
        <v>2499</v>
      </c>
      <c r="J254" s="27" t="s">
        <v>1591</v>
      </c>
      <c r="K254" s="27">
        <v>346</v>
      </c>
      <c r="L254" s="179">
        <v>6120</v>
      </c>
      <c r="M254" s="180" t="s">
        <v>2500</v>
      </c>
      <c r="N254" s="181" t="s">
        <v>1591</v>
      </c>
      <c r="O254" s="182" t="s">
        <v>544</v>
      </c>
    </row>
    <row r="255" spans="2:15">
      <c r="B255" s="174" t="s">
        <v>2523</v>
      </c>
      <c r="C255" s="175" t="s">
        <v>1678</v>
      </c>
      <c r="D255" s="176" t="s">
        <v>1591</v>
      </c>
      <c r="E255" s="177" t="s">
        <v>2522</v>
      </c>
      <c r="F255" s="175">
        <f t="shared" si="7"/>
        <v>12</v>
      </c>
      <c r="G255" s="175" t="str">
        <f t="shared" si="8"/>
        <v>Petersburg</v>
      </c>
      <c r="H255" s="175"/>
      <c r="I255" s="178" t="s">
        <v>2499</v>
      </c>
      <c r="J255" s="27" t="s">
        <v>1591</v>
      </c>
      <c r="K255" s="27">
        <v>346</v>
      </c>
      <c r="L255" s="179">
        <v>6120</v>
      </c>
      <c r="M255" s="180" t="s">
        <v>2500</v>
      </c>
      <c r="N255" s="181" t="s">
        <v>1591</v>
      </c>
      <c r="O255" s="182" t="s">
        <v>544</v>
      </c>
    </row>
    <row r="256" spans="2:15">
      <c r="B256" s="174" t="s">
        <v>698</v>
      </c>
      <c r="C256" s="175" t="s">
        <v>472</v>
      </c>
      <c r="D256" s="176" t="s">
        <v>473</v>
      </c>
      <c r="E256" s="177" t="s">
        <v>699</v>
      </c>
      <c r="F256" s="175">
        <f t="shared" si="7"/>
        <v>15</v>
      </c>
      <c r="G256" s="175" t="str">
        <f t="shared" si="8"/>
        <v>Winston-Salem</v>
      </c>
      <c r="H256" s="175"/>
      <c r="I256" s="178" t="s">
        <v>2125</v>
      </c>
      <c r="J256" s="27" t="s">
        <v>473</v>
      </c>
      <c r="K256" s="27">
        <v>1253</v>
      </c>
      <c r="L256" s="179">
        <v>3865</v>
      </c>
      <c r="M256" s="180" t="s">
        <v>2126</v>
      </c>
      <c r="N256" s="181" t="s">
        <v>473</v>
      </c>
      <c r="O256" s="182" t="s">
        <v>2127</v>
      </c>
    </row>
    <row r="257" spans="2:20">
      <c r="B257" s="174" t="s">
        <v>700</v>
      </c>
      <c r="C257" s="175" t="s">
        <v>472</v>
      </c>
      <c r="D257" s="176" t="s">
        <v>473</v>
      </c>
      <c r="E257" s="177" t="s">
        <v>699</v>
      </c>
      <c r="F257" s="175">
        <f t="shared" si="7"/>
        <v>15</v>
      </c>
      <c r="G257" s="175" t="str">
        <f t="shared" si="8"/>
        <v>Winston-Salem</v>
      </c>
      <c r="H257" s="175"/>
      <c r="I257" s="178" t="s">
        <v>2125</v>
      </c>
      <c r="J257" s="27" t="s">
        <v>473</v>
      </c>
      <c r="K257" s="27">
        <v>1253</v>
      </c>
      <c r="L257" s="179">
        <v>3865</v>
      </c>
      <c r="M257" s="180" t="s">
        <v>2126</v>
      </c>
      <c r="N257" s="181" t="s">
        <v>473</v>
      </c>
      <c r="O257" s="182" t="s">
        <v>2127</v>
      </c>
      <c r="P257" s="26"/>
      <c r="Q257" s="27"/>
      <c r="R257" s="183"/>
      <c r="S257" s="27"/>
      <c r="T257" s="27"/>
    </row>
    <row r="258" spans="2:20">
      <c r="B258" s="174" t="s">
        <v>2123</v>
      </c>
      <c r="C258" s="175" t="s">
        <v>472</v>
      </c>
      <c r="D258" s="176" t="s">
        <v>473</v>
      </c>
      <c r="E258" s="177" t="s">
        <v>2124</v>
      </c>
      <c r="F258" s="175">
        <f t="shared" si="7"/>
        <v>12</v>
      </c>
      <c r="G258" s="175" t="str">
        <f t="shared" si="8"/>
        <v>Greensboro</v>
      </c>
      <c r="H258" s="175"/>
      <c r="I258" s="178" t="s">
        <v>2125</v>
      </c>
      <c r="J258" s="27" t="s">
        <v>473</v>
      </c>
      <c r="K258" s="27">
        <v>1253</v>
      </c>
      <c r="L258" s="179">
        <v>3865</v>
      </c>
      <c r="M258" s="180" t="s">
        <v>2126</v>
      </c>
      <c r="N258" s="181" t="s">
        <v>473</v>
      </c>
      <c r="O258" s="182" t="s">
        <v>2127</v>
      </c>
      <c r="P258" s="26"/>
      <c r="Q258" s="27"/>
      <c r="R258" s="183"/>
      <c r="S258" s="27"/>
      <c r="T258" s="27"/>
    </row>
    <row r="259" spans="2:20">
      <c r="B259" s="174" t="s">
        <v>2128</v>
      </c>
      <c r="C259" s="175" t="s">
        <v>472</v>
      </c>
      <c r="D259" s="176" t="s">
        <v>473</v>
      </c>
      <c r="E259" s="177" t="s">
        <v>2124</v>
      </c>
      <c r="F259" s="175">
        <f t="shared" si="7"/>
        <v>12</v>
      </c>
      <c r="G259" s="175" t="str">
        <f t="shared" si="8"/>
        <v>Greensboro</v>
      </c>
      <c r="H259" s="175"/>
      <c r="I259" s="178" t="s">
        <v>2125</v>
      </c>
      <c r="J259" s="27" t="s">
        <v>473</v>
      </c>
      <c r="K259" s="27">
        <v>1253</v>
      </c>
      <c r="L259" s="179">
        <v>3865</v>
      </c>
      <c r="M259" s="180" t="s">
        <v>2126</v>
      </c>
      <c r="N259" s="181" t="s">
        <v>473</v>
      </c>
      <c r="O259" s="182" t="s">
        <v>2127</v>
      </c>
      <c r="P259" s="26"/>
      <c r="Q259" s="27"/>
      <c r="R259" s="183"/>
      <c r="S259" s="27"/>
      <c r="T259" s="27"/>
    </row>
    <row r="260" spans="2:20">
      <c r="B260" s="174" t="s">
        <v>2129</v>
      </c>
      <c r="C260" s="175" t="s">
        <v>472</v>
      </c>
      <c r="D260" s="176" t="s">
        <v>473</v>
      </c>
      <c r="E260" s="177" t="s">
        <v>2124</v>
      </c>
      <c r="F260" s="175">
        <f t="shared" si="7"/>
        <v>12</v>
      </c>
      <c r="G260" s="175" t="str">
        <f t="shared" si="8"/>
        <v>Greensboro</v>
      </c>
      <c r="H260" s="175"/>
      <c r="I260" s="178" t="s">
        <v>2125</v>
      </c>
      <c r="J260" s="27" t="s">
        <v>473</v>
      </c>
      <c r="K260" s="27">
        <v>1253</v>
      </c>
      <c r="L260" s="179">
        <v>3865</v>
      </c>
      <c r="M260" s="180" t="s">
        <v>2126</v>
      </c>
      <c r="N260" s="181" t="s">
        <v>473</v>
      </c>
      <c r="O260" s="182" t="s">
        <v>2127</v>
      </c>
      <c r="P260" s="26"/>
      <c r="Q260" s="27"/>
      <c r="R260" s="183"/>
      <c r="S260" s="27"/>
      <c r="T260" s="27"/>
    </row>
    <row r="261" spans="2:20">
      <c r="B261" s="174" t="s">
        <v>2599</v>
      </c>
      <c r="C261" s="175" t="s">
        <v>472</v>
      </c>
      <c r="D261" s="176" t="s">
        <v>473</v>
      </c>
      <c r="E261" s="177" t="s">
        <v>2600</v>
      </c>
      <c r="F261" s="175">
        <f t="shared" si="7"/>
        <v>9</v>
      </c>
      <c r="G261" s="175" t="str">
        <f t="shared" si="8"/>
        <v>Raleigh</v>
      </c>
      <c r="H261" s="175"/>
      <c r="I261" s="178" t="s">
        <v>2417</v>
      </c>
      <c r="J261" s="27" t="s">
        <v>473</v>
      </c>
      <c r="K261" s="27">
        <v>1417</v>
      </c>
      <c r="L261" s="179">
        <v>3457</v>
      </c>
      <c r="M261" s="180" t="s">
        <v>521</v>
      </c>
      <c r="N261" s="181" t="s">
        <v>473</v>
      </c>
      <c r="O261" s="182" t="s">
        <v>522</v>
      </c>
      <c r="P261" s="26"/>
      <c r="Q261" s="27"/>
      <c r="R261" s="183"/>
      <c r="S261" s="27"/>
      <c r="T261" s="27"/>
    </row>
    <row r="262" spans="2:20">
      <c r="B262" s="174" t="s">
        <v>2601</v>
      </c>
      <c r="C262" s="175" t="s">
        <v>472</v>
      </c>
      <c r="D262" s="176" t="s">
        <v>473</v>
      </c>
      <c r="E262" s="177" t="s">
        <v>2600</v>
      </c>
      <c r="F262" s="175">
        <f t="shared" si="7"/>
        <v>9</v>
      </c>
      <c r="G262" s="175" t="str">
        <f t="shared" si="8"/>
        <v>Raleigh</v>
      </c>
      <c r="H262" s="175"/>
      <c r="I262" s="178" t="s">
        <v>2417</v>
      </c>
      <c r="J262" s="27" t="s">
        <v>473</v>
      </c>
      <c r="K262" s="27">
        <v>1417</v>
      </c>
      <c r="L262" s="179">
        <v>3457</v>
      </c>
      <c r="M262" s="180" t="s">
        <v>521</v>
      </c>
      <c r="N262" s="181" t="s">
        <v>473</v>
      </c>
      <c r="O262" s="182" t="s">
        <v>522</v>
      </c>
    </row>
    <row r="263" spans="2:20">
      <c r="B263" s="174" t="s">
        <v>2415</v>
      </c>
      <c r="C263" s="175" t="s">
        <v>472</v>
      </c>
      <c r="D263" s="176" t="s">
        <v>473</v>
      </c>
      <c r="E263" s="177" t="s">
        <v>2416</v>
      </c>
      <c r="F263" s="175">
        <f t="shared" si="7"/>
        <v>8</v>
      </c>
      <c r="G263" s="175" t="str">
        <f t="shared" si="8"/>
        <v>Durham</v>
      </c>
      <c r="H263" s="175"/>
      <c r="I263" s="178" t="s">
        <v>2417</v>
      </c>
      <c r="J263" s="27" t="s">
        <v>473</v>
      </c>
      <c r="K263" s="27">
        <v>1417</v>
      </c>
      <c r="L263" s="179">
        <v>3457</v>
      </c>
      <c r="M263" s="180" t="s">
        <v>521</v>
      </c>
      <c r="N263" s="181" t="s">
        <v>473</v>
      </c>
      <c r="O263" s="182" t="s">
        <v>522</v>
      </c>
    </row>
    <row r="264" spans="2:20">
      <c r="B264" s="174" t="s">
        <v>312</v>
      </c>
      <c r="C264" s="175" t="s">
        <v>472</v>
      </c>
      <c r="D264" s="176" t="s">
        <v>473</v>
      </c>
      <c r="E264" s="177" t="s">
        <v>313</v>
      </c>
      <c r="F264" s="175">
        <f t="shared" si="7"/>
        <v>13</v>
      </c>
      <c r="G264" s="175" t="str">
        <f t="shared" si="8"/>
        <v>Rocky Mount</v>
      </c>
      <c r="H264" s="175"/>
      <c r="I264" s="178" t="s">
        <v>2417</v>
      </c>
      <c r="J264" s="27" t="s">
        <v>473</v>
      </c>
      <c r="K264" s="27">
        <v>1417</v>
      </c>
      <c r="L264" s="179">
        <v>3457</v>
      </c>
      <c r="M264" s="180" t="s">
        <v>521</v>
      </c>
      <c r="N264" s="181" t="s">
        <v>473</v>
      </c>
      <c r="O264" s="182" t="s">
        <v>522</v>
      </c>
    </row>
    <row r="265" spans="2:20">
      <c r="B265" s="174" t="s">
        <v>45</v>
      </c>
      <c r="C265" s="175" t="s">
        <v>472</v>
      </c>
      <c r="D265" s="176" t="s">
        <v>473</v>
      </c>
      <c r="E265" s="177" t="s">
        <v>46</v>
      </c>
      <c r="F265" s="175">
        <f t="shared" si="7"/>
        <v>16</v>
      </c>
      <c r="G265" s="175" t="str">
        <f t="shared" si="8"/>
        <v>Elizabeth City</v>
      </c>
      <c r="H265" s="175"/>
      <c r="I265" s="178" t="s">
        <v>47</v>
      </c>
      <c r="J265" s="27" t="s">
        <v>426</v>
      </c>
      <c r="K265" s="27">
        <v>1422</v>
      </c>
      <c r="L265" s="179">
        <v>3495</v>
      </c>
      <c r="M265" s="180" t="s">
        <v>48</v>
      </c>
      <c r="N265" s="181" t="s">
        <v>426</v>
      </c>
      <c r="O265" s="182" t="s">
        <v>49</v>
      </c>
    </row>
    <row r="266" spans="2:20">
      <c r="B266" s="174" t="s">
        <v>2443</v>
      </c>
      <c r="C266" s="175" t="s">
        <v>472</v>
      </c>
      <c r="D266" s="176" t="s">
        <v>473</v>
      </c>
      <c r="E266" s="177" t="s">
        <v>2444</v>
      </c>
      <c r="F266" s="175">
        <f t="shared" ref="F266:F329" si="9">LEN(E266)</f>
        <v>11</v>
      </c>
      <c r="G266" s="175" t="str">
        <f t="shared" ref="G266:G329" si="10">MID(E266,2,F266-2)</f>
        <v>Charlotte</v>
      </c>
      <c r="H266" s="175"/>
      <c r="I266" s="178" t="s">
        <v>2445</v>
      </c>
      <c r="J266" s="27" t="s">
        <v>275</v>
      </c>
      <c r="K266" s="27">
        <v>1473</v>
      </c>
      <c r="L266" s="179">
        <v>3272</v>
      </c>
      <c r="M266" s="180" t="s">
        <v>2446</v>
      </c>
      <c r="N266" s="181" t="s">
        <v>473</v>
      </c>
      <c r="O266" s="182" t="s">
        <v>2447</v>
      </c>
    </row>
    <row r="267" spans="2:20">
      <c r="B267" s="174" t="s">
        <v>2448</v>
      </c>
      <c r="C267" s="175" t="s">
        <v>472</v>
      </c>
      <c r="D267" s="176" t="s">
        <v>473</v>
      </c>
      <c r="E267" s="177" t="s">
        <v>2444</v>
      </c>
      <c r="F267" s="175">
        <f t="shared" si="9"/>
        <v>11</v>
      </c>
      <c r="G267" s="175" t="str">
        <f t="shared" si="10"/>
        <v>Charlotte</v>
      </c>
      <c r="H267" s="175"/>
      <c r="I267" s="178" t="s">
        <v>2445</v>
      </c>
      <c r="J267" s="27" t="s">
        <v>275</v>
      </c>
      <c r="K267" s="27">
        <v>1473</v>
      </c>
      <c r="L267" s="179">
        <v>3272</v>
      </c>
      <c r="M267" s="180" t="s">
        <v>2446</v>
      </c>
      <c r="N267" s="181" t="s">
        <v>473</v>
      </c>
      <c r="O267" s="182" t="s">
        <v>2447</v>
      </c>
    </row>
    <row r="268" spans="2:20">
      <c r="B268" s="174" t="s">
        <v>2449</v>
      </c>
      <c r="C268" s="175" t="s">
        <v>472</v>
      </c>
      <c r="D268" s="176" t="s">
        <v>473</v>
      </c>
      <c r="E268" s="177" t="s">
        <v>2444</v>
      </c>
      <c r="F268" s="175">
        <f t="shared" si="9"/>
        <v>11</v>
      </c>
      <c r="G268" s="175" t="str">
        <f t="shared" si="10"/>
        <v>Charlotte</v>
      </c>
      <c r="H268" s="175"/>
      <c r="I268" s="178" t="s">
        <v>2450</v>
      </c>
      <c r="J268" s="27" t="s">
        <v>473</v>
      </c>
      <c r="K268" s="27">
        <v>1582</v>
      </c>
      <c r="L268" s="179">
        <v>3341</v>
      </c>
      <c r="M268" s="180" t="s">
        <v>2446</v>
      </c>
      <c r="N268" s="181" t="s">
        <v>473</v>
      </c>
      <c r="O268" s="182" t="s">
        <v>2447</v>
      </c>
    </row>
    <row r="269" spans="2:20">
      <c r="B269" s="174" t="s">
        <v>1987</v>
      </c>
      <c r="C269" s="175" t="s">
        <v>472</v>
      </c>
      <c r="D269" s="176" t="s">
        <v>473</v>
      </c>
      <c r="E269" s="177" t="s">
        <v>1984</v>
      </c>
      <c r="F269" s="175">
        <f t="shared" si="9"/>
        <v>14</v>
      </c>
      <c r="G269" s="175" t="str">
        <f t="shared" si="10"/>
        <v>Fayetteville</v>
      </c>
      <c r="H269" s="175"/>
      <c r="I269" s="178" t="s">
        <v>2450</v>
      </c>
      <c r="J269" s="27" t="s">
        <v>473</v>
      </c>
      <c r="K269" s="27">
        <v>1582</v>
      </c>
      <c r="L269" s="179">
        <v>3341</v>
      </c>
      <c r="M269" s="180" t="s">
        <v>2446</v>
      </c>
      <c r="N269" s="181" t="s">
        <v>473</v>
      </c>
      <c r="O269" s="182" t="s">
        <v>2447</v>
      </c>
    </row>
    <row r="270" spans="2:20">
      <c r="B270" s="174" t="s">
        <v>691</v>
      </c>
      <c r="C270" s="175" t="s">
        <v>472</v>
      </c>
      <c r="D270" s="176" t="s">
        <v>473</v>
      </c>
      <c r="E270" s="177" t="s">
        <v>689</v>
      </c>
      <c r="F270" s="175">
        <f t="shared" si="9"/>
        <v>12</v>
      </c>
      <c r="G270" s="175" t="str">
        <f t="shared" si="10"/>
        <v>Wilmington</v>
      </c>
      <c r="H270" s="175"/>
      <c r="I270" s="178" t="s">
        <v>2004</v>
      </c>
      <c r="J270" s="27" t="s">
        <v>473</v>
      </c>
      <c r="K270" s="27">
        <v>1926</v>
      </c>
      <c r="L270" s="179">
        <v>2470</v>
      </c>
      <c r="M270" s="180" t="s">
        <v>2446</v>
      </c>
      <c r="N270" s="181" t="s">
        <v>473</v>
      </c>
      <c r="O270" s="182" t="s">
        <v>2447</v>
      </c>
    </row>
    <row r="271" spans="2:20">
      <c r="B271" s="174" t="s">
        <v>933</v>
      </c>
      <c r="C271" s="175" t="s">
        <v>472</v>
      </c>
      <c r="D271" s="176" t="s">
        <v>473</v>
      </c>
      <c r="E271" s="177" t="s">
        <v>934</v>
      </c>
      <c r="F271" s="175">
        <f t="shared" si="9"/>
        <v>9</v>
      </c>
      <c r="G271" s="175" t="str">
        <f t="shared" si="10"/>
        <v>Kinston</v>
      </c>
      <c r="H271" s="175"/>
      <c r="I271" s="178" t="s">
        <v>2004</v>
      </c>
      <c r="J271" s="27" t="s">
        <v>473</v>
      </c>
      <c r="K271" s="27">
        <v>1926</v>
      </c>
      <c r="L271" s="179">
        <v>2470</v>
      </c>
      <c r="M271" s="180" t="s">
        <v>2446</v>
      </c>
      <c r="N271" s="181" t="s">
        <v>473</v>
      </c>
      <c r="O271" s="182" t="s">
        <v>2447</v>
      </c>
    </row>
    <row r="272" spans="2:20">
      <c r="B272" s="174" t="s">
        <v>737</v>
      </c>
      <c r="C272" s="175" t="s">
        <v>472</v>
      </c>
      <c r="D272" s="176" t="s">
        <v>473</v>
      </c>
      <c r="E272" s="177" t="s">
        <v>738</v>
      </c>
      <c r="F272" s="175">
        <f t="shared" si="9"/>
        <v>9</v>
      </c>
      <c r="G272" s="175" t="str">
        <f t="shared" si="10"/>
        <v>Hickory</v>
      </c>
      <c r="H272" s="175"/>
      <c r="I272" s="178" t="s">
        <v>2125</v>
      </c>
      <c r="J272" s="27" t="s">
        <v>473</v>
      </c>
      <c r="K272" s="27">
        <v>1253</v>
      </c>
      <c r="L272" s="179">
        <v>3865</v>
      </c>
      <c r="M272" s="180" t="s">
        <v>2126</v>
      </c>
      <c r="N272" s="181" t="s">
        <v>473</v>
      </c>
      <c r="O272" s="182" t="s">
        <v>2127</v>
      </c>
      <c r="P272" s="26"/>
      <c r="Q272" s="27"/>
      <c r="R272" s="183"/>
      <c r="S272" s="27"/>
      <c r="T272" s="27"/>
    </row>
    <row r="273" spans="2:20">
      <c r="B273" s="174" t="s">
        <v>508</v>
      </c>
      <c r="C273" s="175" t="s">
        <v>472</v>
      </c>
      <c r="D273" s="176" t="s">
        <v>473</v>
      </c>
      <c r="E273" s="177" t="s">
        <v>509</v>
      </c>
      <c r="F273" s="175">
        <f t="shared" si="9"/>
        <v>11</v>
      </c>
      <c r="G273" s="175" t="str">
        <f t="shared" si="10"/>
        <v>Asheville</v>
      </c>
      <c r="H273" s="175"/>
      <c r="I273" s="178" t="s">
        <v>510</v>
      </c>
      <c r="J273" s="27" t="s">
        <v>476</v>
      </c>
      <c r="K273" s="27">
        <v>972</v>
      </c>
      <c r="L273" s="179">
        <v>4406</v>
      </c>
      <c r="M273" s="180" t="s">
        <v>511</v>
      </c>
      <c r="N273" s="181" t="s">
        <v>473</v>
      </c>
      <c r="O273" s="182" t="s">
        <v>512</v>
      </c>
      <c r="P273" s="26"/>
      <c r="Q273" s="27"/>
      <c r="R273" s="183"/>
      <c r="S273" s="27"/>
      <c r="T273" s="27"/>
    </row>
    <row r="274" spans="2:20">
      <c r="B274" s="174" t="s">
        <v>513</v>
      </c>
      <c r="C274" s="175" t="s">
        <v>472</v>
      </c>
      <c r="D274" s="176" t="s">
        <v>473</v>
      </c>
      <c r="E274" s="177" t="s">
        <v>509</v>
      </c>
      <c r="F274" s="175">
        <f t="shared" si="9"/>
        <v>11</v>
      </c>
      <c r="G274" s="175" t="str">
        <f t="shared" si="10"/>
        <v>Asheville</v>
      </c>
      <c r="H274" s="175"/>
      <c r="I274" s="178" t="s">
        <v>514</v>
      </c>
      <c r="J274" s="27" t="s">
        <v>473</v>
      </c>
      <c r="K274" s="27">
        <v>787</v>
      </c>
      <c r="L274" s="179">
        <v>4308</v>
      </c>
      <c r="M274" s="180" t="s">
        <v>511</v>
      </c>
      <c r="N274" s="181" t="s">
        <v>473</v>
      </c>
      <c r="O274" s="182" t="s">
        <v>512</v>
      </c>
      <c r="P274" s="26"/>
      <c r="Q274" s="27"/>
      <c r="R274" s="183"/>
      <c r="S274" s="27"/>
      <c r="T274" s="27"/>
    </row>
    <row r="275" spans="2:20">
      <c r="B275" s="174" t="s">
        <v>471</v>
      </c>
      <c r="C275" s="175" t="s">
        <v>472</v>
      </c>
      <c r="D275" s="176" t="s">
        <v>473</v>
      </c>
      <c r="E275" s="177" t="s">
        <v>474</v>
      </c>
      <c r="F275" s="175">
        <f t="shared" si="9"/>
        <v>9</v>
      </c>
      <c r="G275" s="175" t="str">
        <f t="shared" si="10"/>
        <v>Andrews</v>
      </c>
      <c r="H275" s="175"/>
      <c r="I275" s="178" t="s">
        <v>475</v>
      </c>
      <c r="J275" s="27" t="s">
        <v>476</v>
      </c>
      <c r="K275" s="27">
        <v>1266</v>
      </c>
      <c r="L275" s="179">
        <v>3937</v>
      </c>
      <c r="M275" s="180" t="s">
        <v>477</v>
      </c>
      <c r="N275" s="181" t="s">
        <v>476</v>
      </c>
      <c r="O275" s="182" t="s">
        <v>478</v>
      </c>
    </row>
    <row r="276" spans="2:20">
      <c r="B276" s="174" t="s">
        <v>1580</v>
      </c>
      <c r="C276" s="175" t="s">
        <v>274</v>
      </c>
      <c r="D276" s="176" t="s">
        <v>275</v>
      </c>
      <c r="E276" s="177" t="s">
        <v>1578</v>
      </c>
      <c r="F276" s="175">
        <f t="shared" si="9"/>
        <v>10</v>
      </c>
      <c r="G276" s="175" t="str">
        <f t="shared" si="10"/>
        <v>Columbia</v>
      </c>
      <c r="H276" s="175"/>
      <c r="I276" s="178" t="s">
        <v>277</v>
      </c>
      <c r="J276" s="27" t="s">
        <v>275</v>
      </c>
      <c r="K276" s="27">
        <v>1966</v>
      </c>
      <c r="L276" s="179">
        <v>2649</v>
      </c>
      <c r="M276" s="178" t="s">
        <v>278</v>
      </c>
      <c r="N276" s="27" t="s">
        <v>275</v>
      </c>
      <c r="O276" s="182" t="s">
        <v>279</v>
      </c>
    </row>
    <row r="277" spans="2:20">
      <c r="B277" s="174" t="s">
        <v>1581</v>
      </c>
      <c r="C277" s="175" t="s">
        <v>274</v>
      </c>
      <c r="D277" s="176" t="s">
        <v>275</v>
      </c>
      <c r="E277" s="177" t="s">
        <v>1578</v>
      </c>
      <c r="F277" s="175">
        <f t="shared" si="9"/>
        <v>10</v>
      </c>
      <c r="G277" s="175" t="str">
        <f t="shared" si="10"/>
        <v>Columbia</v>
      </c>
      <c r="H277" s="175"/>
      <c r="I277" s="178" t="s">
        <v>277</v>
      </c>
      <c r="J277" s="27" t="s">
        <v>275</v>
      </c>
      <c r="K277" s="27">
        <v>1966</v>
      </c>
      <c r="L277" s="179">
        <v>2649</v>
      </c>
      <c r="M277" s="178" t="s">
        <v>278</v>
      </c>
      <c r="N277" s="27" t="s">
        <v>275</v>
      </c>
      <c r="O277" s="182" t="s">
        <v>279</v>
      </c>
    </row>
    <row r="278" spans="2:20">
      <c r="B278" s="174" t="s">
        <v>1582</v>
      </c>
      <c r="C278" s="175" t="s">
        <v>274</v>
      </c>
      <c r="D278" s="176" t="s">
        <v>275</v>
      </c>
      <c r="E278" s="177" t="s">
        <v>1578</v>
      </c>
      <c r="F278" s="175">
        <f t="shared" si="9"/>
        <v>10</v>
      </c>
      <c r="G278" s="175" t="str">
        <f t="shared" si="10"/>
        <v>Columbia</v>
      </c>
      <c r="H278" s="175"/>
      <c r="I278" s="178" t="s">
        <v>277</v>
      </c>
      <c r="J278" s="27" t="s">
        <v>275</v>
      </c>
      <c r="K278" s="27">
        <v>1966</v>
      </c>
      <c r="L278" s="179">
        <v>2649</v>
      </c>
      <c r="M278" s="178" t="s">
        <v>278</v>
      </c>
      <c r="N278" s="27" t="s">
        <v>275</v>
      </c>
      <c r="O278" s="182" t="s">
        <v>279</v>
      </c>
    </row>
    <row r="279" spans="2:20">
      <c r="B279" s="174" t="s">
        <v>1292</v>
      </c>
      <c r="C279" s="175" t="s">
        <v>274</v>
      </c>
      <c r="D279" s="176" t="s">
        <v>275</v>
      </c>
      <c r="E279" s="177" t="s">
        <v>1293</v>
      </c>
      <c r="F279" s="175">
        <f t="shared" si="9"/>
        <v>13</v>
      </c>
      <c r="G279" s="175" t="str">
        <f t="shared" si="10"/>
        <v>Spartanburg</v>
      </c>
      <c r="H279" s="175"/>
      <c r="I279" s="178" t="s">
        <v>2445</v>
      </c>
      <c r="J279" s="27" t="s">
        <v>275</v>
      </c>
      <c r="K279" s="27">
        <v>1473</v>
      </c>
      <c r="L279" s="179">
        <v>3272</v>
      </c>
      <c r="M279" s="180" t="s">
        <v>2446</v>
      </c>
      <c r="N279" s="181" t="s">
        <v>473</v>
      </c>
      <c r="O279" s="182" t="s">
        <v>2447</v>
      </c>
    </row>
    <row r="280" spans="2:20">
      <c r="B280" s="174" t="s">
        <v>2435</v>
      </c>
      <c r="C280" s="175" t="s">
        <v>274</v>
      </c>
      <c r="D280" s="176" t="s">
        <v>275</v>
      </c>
      <c r="E280" s="177" t="s">
        <v>2436</v>
      </c>
      <c r="F280" s="175">
        <f t="shared" si="9"/>
        <v>12</v>
      </c>
      <c r="G280" s="175" t="str">
        <f t="shared" si="10"/>
        <v>Charleston</v>
      </c>
      <c r="H280" s="175"/>
      <c r="I280" s="178" t="s">
        <v>2437</v>
      </c>
      <c r="J280" s="27" t="s">
        <v>275</v>
      </c>
      <c r="K280" s="27">
        <v>2266</v>
      </c>
      <c r="L280" s="179">
        <v>2013</v>
      </c>
      <c r="M280" s="180" t="s">
        <v>1592</v>
      </c>
      <c r="N280" s="181" t="s">
        <v>275</v>
      </c>
      <c r="O280" s="182" t="s">
        <v>2438</v>
      </c>
    </row>
    <row r="281" spans="2:20">
      <c r="B281" s="174" t="s">
        <v>2002</v>
      </c>
      <c r="C281" s="175" t="s">
        <v>274</v>
      </c>
      <c r="D281" s="176" t="s">
        <v>275</v>
      </c>
      <c r="E281" s="177" t="s">
        <v>2003</v>
      </c>
      <c r="F281" s="175">
        <f t="shared" si="9"/>
        <v>10</v>
      </c>
      <c r="G281" s="175" t="str">
        <f t="shared" si="10"/>
        <v>Florence</v>
      </c>
      <c r="H281" s="175"/>
      <c r="I281" s="178" t="s">
        <v>2004</v>
      </c>
      <c r="J281" s="27" t="s">
        <v>473</v>
      </c>
      <c r="K281" s="27">
        <v>1926</v>
      </c>
      <c r="L281" s="179">
        <v>2470</v>
      </c>
      <c r="M281" s="178" t="s">
        <v>278</v>
      </c>
      <c r="N281" s="27" t="s">
        <v>275</v>
      </c>
      <c r="O281" s="182" t="s">
        <v>279</v>
      </c>
    </row>
    <row r="282" spans="2:20">
      <c r="B282" s="174" t="s">
        <v>2135</v>
      </c>
      <c r="C282" s="175" t="s">
        <v>274</v>
      </c>
      <c r="D282" s="176" t="s">
        <v>275</v>
      </c>
      <c r="E282" s="177" t="s">
        <v>2133</v>
      </c>
      <c r="F282" s="175">
        <f t="shared" si="9"/>
        <v>12</v>
      </c>
      <c r="G282" s="175" t="str">
        <f t="shared" si="10"/>
        <v>Greenville</v>
      </c>
      <c r="H282" s="175"/>
      <c r="I282" s="178" t="s">
        <v>2445</v>
      </c>
      <c r="J282" s="27" t="s">
        <v>275</v>
      </c>
      <c r="K282" s="27">
        <v>1473</v>
      </c>
      <c r="L282" s="179">
        <v>3272</v>
      </c>
      <c r="M282" s="180" t="s">
        <v>2446</v>
      </c>
      <c r="N282" s="181" t="s">
        <v>473</v>
      </c>
      <c r="O282" s="182" t="s">
        <v>2447</v>
      </c>
    </row>
    <row r="283" spans="2:20">
      <c r="B283" s="174" t="s">
        <v>303</v>
      </c>
      <c r="C283" s="175" t="s">
        <v>274</v>
      </c>
      <c r="D283" s="176" t="s">
        <v>275</v>
      </c>
      <c r="E283" s="177" t="s">
        <v>304</v>
      </c>
      <c r="F283" s="175">
        <f t="shared" si="9"/>
        <v>11</v>
      </c>
      <c r="G283" s="175" t="str">
        <f t="shared" si="10"/>
        <v>Rock_Hill</v>
      </c>
      <c r="H283" s="175"/>
      <c r="I283" s="178" t="s">
        <v>277</v>
      </c>
      <c r="J283" s="27" t="s">
        <v>275</v>
      </c>
      <c r="K283" s="27">
        <v>1966</v>
      </c>
      <c r="L283" s="179">
        <v>2649</v>
      </c>
      <c r="M283" s="178" t="s">
        <v>278</v>
      </c>
      <c r="N283" s="27" t="s">
        <v>275</v>
      </c>
      <c r="O283" s="182" t="s">
        <v>279</v>
      </c>
    </row>
    <row r="284" spans="2:20">
      <c r="B284" s="174" t="s">
        <v>273</v>
      </c>
      <c r="C284" s="175" t="s">
        <v>274</v>
      </c>
      <c r="D284" s="176" t="s">
        <v>275</v>
      </c>
      <c r="E284" s="177" t="s">
        <v>276</v>
      </c>
      <c r="F284" s="175">
        <f t="shared" si="9"/>
        <v>7</v>
      </c>
      <c r="G284" s="175" t="str">
        <f t="shared" si="10"/>
        <v>Aiken</v>
      </c>
      <c r="H284" s="175"/>
      <c r="I284" s="178" t="s">
        <v>277</v>
      </c>
      <c r="J284" s="27" t="s">
        <v>275</v>
      </c>
      <c r="K284" s="27">
        <v>1966</v>
      </c>
      <c r="L284" s="179">
        <v>2649</v>
      </c>
      <c r="M284" s="178" t="s">
        <v>278</v>
      </c>
      <c r="N284" s="27" t="s">
        <v>275</v>
      </c>
      <c r="O284" s="182" t="s">
        <v>279</v>
      </c>
    </row>
    <row r="285" spans="2:20">
      <c r="B285" s="174" t="s">
        <v>1666</v>
      </c>
      <c r="C285" s="175" t="s">
        <v>274</v>
      </c>
      <c r="D285" s="176" t="s">
        <v>275</v>
      </c>
      <c r="E285" s="177" t="s">
        <v>1667</v>
      </c>
      <c r="F285" s="175">
        <f t="shared" si="9"/>
        <v>10</v>
      </c>
      <c r="G285" s="175" t="str">
        <f t="shared" si="10"/>
        <v>Beaufort</v>
      </c>
      <c r="H285" s="175"/>
      <c r="I285" s="178" t="s">
        <v>1668</v>
      </c>
      <c r="J285" s="27" t="s">
        <v>401</v>
      </c>
      <c r="K285" s="27">
        <v>2365</v>
      </c>
      <c r="L285" s="179">
        <v>1847</v>
      </c>
      <c r="M285" s="180" t="s">
        <v>1669</v>
      </c>
      <c r="N285" s="181" t="s">
        <v>401</v>
      </c>
      <c r="O285" s="182" t="s">
        <v>1670</v>
      </c>
    </row>
    <row r="286" spans="2:20">
      <c r="B286" s="174" t="s">
        <v>1602</v>
      </c>
      <c r="C286" s="175" t="s">
        <v>400</v>
      </c>
      <c r="D286" s="176" t="s">
        <v>401</v>
      </c>
      <c r="E286" s="177" t="s">
        <v>1603</v>
      </c>
      <c r="F286" s="175">
        <f t="shared" si="9"/>
        <v>9</v>
      </c>
      <c r="G286" s="175" t="str">
        <f t="shared" si="10"/>
        <v>Atlanta</v>
      </c>
      <c r="H286" s="175"/>
      <c r="I286" s="178" t="s">
        <v>1604</v>
      </c>
      <c r="J286" s="27" t="s">
        <v>401</v>
      </c>
      <c r="K286" s="27">
        <v>1667</v>
      </c>
      <c r="L286" s="179">
        <v>2991</v>
      </c>
      <c r="M286" s="178" t="s">
        <v>1597</v>
      </c>
      <c r="N286" s="27" t="s">
        <v>401</v>
      </c>
      <c r="O286" s="182" t="s">
        <v>1598</v>
      </c>
    </row>
    <row r="287" spans="2:20">
      <c r="B287" s="174" t="s">
        <v>1605</v>
      </c>
      <c r="C287" s="175" t="s">
        <v>400</v>
      </c>
      <c r="D287" s="176" t="s">
        <v>401</v>
      </c>
      <c r="E287" s="177" t="s">
        <v>1603</v>
      </c>
      <c r="F287" s="175">
        <f t="shared" si="9"/>
        <v>9</v>
      </c>
      <c r="G287" s="175" t="str">
        <f t="shared" si="10"/>
        <v>Atlanta</v>
      </c>
      <c r="H287" s="175"/>
      <c r="I287" s="178" t="s">
        <v>1604</v>
      </c>
      <c r="J287" s="27" t="s">
        <v>401</v>
      </c>
      <c r="K287" s="27">
        <v>1667</v>
      </c>
      <c r="L287" s="179">
        <v>2991</v>
      </c>
      <c r="M287" s="178" t="s">
        <v>1597</v>
      </c>
      <c r="N287" s="27" t="s">
        <v>401</v>
      </c>
      <c r="O287" s="182" t="s">
        <v>1598</v>
      </c>
    </row>
    <row r="288" spans="2:20">
      <c r="B288" s="174" t="s">
        <v>1606</v>
      </c>
      <c r="C288" s="175" t="s">
        <v>400</v>
      </c>
      <c r="D288" s="176" t="s">
        <v>401</v>
      </c>
      <c r="E288" s="177" t="s">
        <v>1603</v>
      </c>
      <c r="F288" s="175">
        <f t="shared" si="9"/>
        <v>9</v>
      </c>
      <c r="G288" s="175" t="str">
        <f t="shared" si="10"/>
        <v>Atlanta</v>
      </c>
      <c r="H288" s="175"/>
      <c r="I288" s="178" t="s">
        <v>1604</v>
      </c>
      <c r="J288" s="27" t="s">
        <v>401</v>
      </c>
      <c r="K288" s="27">
        <v>1667</v>
      </c>
      <c r="L288" s="179">
        <v>2991</v>
      </c>
      <c r="M288" s="178" t="s">
        <v>1597</v>
      </c>
      <c r="N288" s="27" t="s">
        <v>401</v>
      </c>
      <c r="O288" s="182" t="s">
        <v>1598</v>
      </c>
    </row>
    <row r="289" spans="2:15">
      <c r="B289" s="174" t="s">
        <v>1607</v>
      </c>
      <c r="C289" s="175" t="s">
        <v>400</v>
      </c>
      <c r="D289" s="176" t="s">
        <v>401</v>
      </c>
      <c r="E289" s="177" t="s">
        <v>1603</v>
      </c>
      <c r="F289" s="175">
        <f t="shared" si="9"/>
        <v>9</v>
      </c>
      <c r="G289" s="175" t="str">
        <f t="shared" si="10"/>
        <v>Atlanta</v>
      </c>
      <c r="H289" s="175"/>
      <c r="I289" s="178" t="s">
        <v>1604</v>
      </c>
      <c r="J289" s="27" t="s">
        <v>401</v>
      </c>
      <c r="K289" s="27">
        <v>1667</v>
      </c>
      <c r="L289" s="179">
        <v>2991</v>
      </c>
      <c r="M289" s="178" t="s">
        <v>1597</v>
      </c>
      <c r="N289" s="27" t="s">
        <v>401</v>
      </c>
      <c r="O289" s="182" t="s">
        <v>1598</v>
      </c>
    </row>
    <row r="290" spans="2:15">
      <c r="B290" s="174" t="s">
        <v>806</v>
      </c>
      <c r="C290" s="175" t="s">
        <v>400</v>
      </c>
      <c r="D290" s="176" t="s">
        <v>401</v>
      </c>
      <c r="E290" s="177" t="s">
        <v>807</v>
      </c>
      <c r="F290" s="175">
        <f t="shared" si="9"/>
        <v>12</v>
      </c>
      <c r="G290" s="175" t="str">
        <f t="shared" si="10"/>
        <v>Swainsboro</v>
      </c>
      <c r="H290" s="175"/>
      <c r="I290" s="178" t="s">
        <v>1668</v>
      </c>
      <c r="J290" s="27" t="s">
        <v>401</v>
      </c>
      <c r="K290" s="27">
        <v>2365</v>
      </c>
      <c r="L290" s="179">
        <v>1847</v>
      </c>
      <c r="M290" s="180" t="s">
        <v>1669</v>
      </c>
      <c r="N290" s="181" t="s">
        <v>401</v>
      </c>
      <c r="O290" s="182" t="s">
        <v>1670</v>
      </c>
    </row>
    <row r="291" spans="2:15">
      <c r="B291" s="174" t="s">
        <v>2058</v>
      </c>
      <c r="C291" s="175" t="s">
        <v>400</v>
      </c>
      <c r="D291" s="176" t="s">
        <v>401</v>
      </c>
      <c r="E291" s="177" t="s">
        <v>2054</v>
      </c>
      <c r="F291" s="175">
        <f t="shared" si="9"/>
        <v>13</v>
      </c>
      <c r="G291" s="175" t="str">
        <f t="shared" si="10"/>
        <v>Gainesville</v>
      </c>
      <c r="H291" s="175"/>
      <c r="I291" s="178" t="s">
        <v>2445</v>
      </c>
      <c r="J291" s="27" t="s">
        <v>275</v>
      </c>
      <c r="K291" s="27">
        <v>1473</v>
      </c>
      <c r="L291" s="179">
        <v>3272</v>
      </c>
      <c r="M291" s="178" t="s">
        <v>1597</v>
      </c>
      <c r="N291" s="27" t="s">
        <v>401</v>
      </c>
      <c r="O291" s="182" t="s">
        <v>1598</v>
      </c>
    </row>
    <row r="292" spans="2:15">
      <c r="B292" s="174" t="s">
        <v>1594</v>
      </c>
      <c r="C292" s="175" t="s">
        <v>400</v>
      </c>
      <c r="D292" s="176" t="s">
        <v>401</v>
      </c>
      <c r="E292" s="177" t="s">
        <v>1595</v>
      </c>
      <c r="F292" s="175">
        <f t="shared" si="9"/>
        <v>8</v>
      </c>
      <c r="G292" s="175" t="str">
        <f t="shared" si="10"/>
        <v>Athens</v>
      </c>
      <c r="H292" s="175"/>
      <c r="I292" s="178" t="s">
        <v>1596</v>
      </c>
      <c r="J292" s="27" t="s">
        <v>401</v>
      </c>
      <c r="K292" s="27">
        <v>1709</v>
      </c>
      <c r="L292" s="179">
        <v>2893</v>
      </c>
      <c r="M292" s="178" t="s">
        <v>1597</v>
      </c>
      <c r="N292" s="27" t="s">
        <v>401</v>
      </c>
      <c r="O292" s="182" t="s">
        <v>1598</v>
      </c>
    </row>
    <row r="293" spans="2:15">
      <c r="B293" s="174" t="s">
        <v>1745</v>
      </c>
      <c r="C293" s="175" t="s">
        <v>400</v>
      </c>
      <c r="D293" s="176" t="s">
        <v>401</v>
      </c>
      <c r="E293" s="177" t="s">
        <v>1746</v>
      </c>
      <c r="F293" s="175">
        <f t="shared" si="9"/>
        <v>8</v>
      </c>
      <c r="G293" s="175" t="str">
        <f t="shared" si="10"/>
        <v>Dalton</v>
      </c>
      <c r="H293" s="175"/>
      <c r="I293" s="178" t="s">
        <v>2463</v>
      </c>
      <c r="J293" s="27" t="s">
        <v>476</v>
      </c>
      <c r="K293" s="27">
        <v>1544</v>
      </c>
      <c r="L293" s="179">
        <v>3587</v>
      </c>
      <c r="M293" s="180" t="s">
        <v>2460</v>
      </c>
      <c r="N293" s="181" t="s">
        <v>476</v>
      </c>
      <c r="O293" s="182" t="s">
        <v>2461</v>
      </c>
    </row>
    <row r="294" spans="2:15">
      <c r="B294" s="174" t="s">
        <v>1622</v>
      </c>
      <c r="C294" s="175" t="s">
        <v>400</v>
      </c>
      <c r="D294" s="176" t="s">
        <v>401</v>
      </c>
      <c r="E294" s="177" t="s">
        <v>1623</v>
      </c>
      <c r="F294" s="175">
        <f t="shared" si="9"/>
        <v>9</v>
      </c>
      <c r="G294" s="175" t="str">
        <f t="shared" si="10"/>
        <v>Augusta</v>
      </c>
      <c r="H294" s="175"/>
      <c r="I294" s="178" t="s">
        <v>1596</v>
      </c>
      <c r="J294" s="27" t="s">
        <v>401</v>
      </c>
      <c r="K294" s="27">
        <v>1709</v>
      </c>
      <c r="L294" s="179">
        <v>2893</v>
      </c>
      <c r="M294" s="178" t="s">
        <v>278</v>
      </c>
      <c r="N294" s="27" t="s">
        <v>275</v>
      </c>
      <c r="O294" s="182" t="s">
        <v>279</v>
      </c>
    </row>
    <row r="295" spans="2:15">
      <c r="B295" s="174" t="s">
        <v>1624</v>
      </c>
      <c r="C295" s="175" t="s">
        <v>400</v>
      </c>
      <c r="D295" s="176" t="s">
        <v>401</v>
      </c>
      <c r="E295" s="177" t="s">
        <v>1623</v>
      </c>
      <c r="F295" s="175">
        <f t="shared" si="9"/>
        <v>9</v>
      </c>
      <c r="G295" s="175" t="str">
        <f t="shared" si="10"/>
        <v>Augusta</v>
      </c>
      <c r="H295" s="175"/>
      <c r="I295" s="178" t="s">
        <v>1625</v>
      </c>
      <c r="J295" s="27" t="s">
        <v>401</v>
      </c>
      <c r="K295" s="27">
        <v>1948</v>
      </c>
      <c r="L295" s="179">
        <v>2565</v>
      </c>
      <c r="M295" s="178" t="s">
        <v>278</v>
      </c>
      <c r="N295" s="27" t="s">
        <v>275</v>
      </c>
      <c r="O295" s="182" t="s">
        <v>279</v>
      </c>
    </row>
    <row r="296" spans="2:15">
      <c r="B296" s="174" t="s">
        <v>2231</v>
      </c>
      <c r="C296" s="175" t="s">
        <v>400</v>
      </c>
      <c r="D296" s="176" t="s">
        <v>401</v>
      </c>
      <c r="E296" s="177" t="s">
        <v>2232</v>
      </c>
      <c r="F296" s="175">
        <f t="shared" si="9"/>
        <v>7</v>
      </c>
      <c r="G296" s="175" t="str">
        <f t="shared" si="10"/>
        <v>Macon</v>
      </c>
      <c r="H296" s="175"/>
      <c r="I296" s="178" t="s">
        <v>403</v>
      </c>
      <c r="J296" s="27" t="s">
        <v>401</v>
      </c>
      <c r="K296" s="27">
        <v>2284</v>
      </c>
      <c r="L296" s="179">
        <v>2261</v>
      </c>
      <c r="M296" s="178" t="s">
        <v>2233</v>
      </c>
      <c r="N296" s="27" t="s">
        <v>401</v>
      </c>
      <c r="O296" s="182" t="s">
        <v>2234</v>
      </c>
    </row>
    <row r="297" spans="2:15">
      <c r="B297" s="174" t="s">
        <v>2235</v>
      </c>
      <c r="C297" s="175" t="s">
        <v>400</v>
      </c>
      <c r="D297" s="176" t="s">
        <v>401</v>
      </c>
      <c r="E297" s="177" t="s">
        <v>2232</v>
      </c>
      <c r="F297" s="175">
        <f t="shared" si="9"/>
        <v>7</v>
      </c>
      <c r="G297" s="175" t="str">
        <f t="shared" si="10"/>
        <v>Macon</v>
      </c>
      <c r="H297" s="175"/>
      <c r="I297" s="178" t="s">
        <v>403</v>
      </c>
      <c r="J297" s="27" t="s">
        <v>401</v>
      </c>
      <c r="K297" s="27">
        <v>2284</v>
      </c>
      <c r="L297" s="179">
        <v>2261</v>
      </c>
      <c r="M297" s="178" t="s">
        <v>2233</v>
      </c>
      <c r="N297" s="27" t="s">
        <v>401</v>
      </c>
      <c r="O297" s="182" t="s">
        <v>2234</v>
      </c>
    </row>
    <row r="298" spans="2:15">
      <c r="B298" s="174" t="s">
        <v>2236</v>
      </c>
      <c r="C298" s="175" t="s">
        <v>400</v>
      </c>
      <c r="D298" s="176" t="s">
        <v>401</v>
      </c>
      <c r="E298" s="177" t="s">
        <v>2232</v>
      </c>
      <c r="F298" s="175">
        <f t="shared" si="9"/>
        <v>7</v>
      </c>
      <c r="G298" s="175" t="str">
        <f t="shared" si="10"/>
        <v>Macon</v>
      </c>
      <c r="H298" s="175"/>
      <c r="I298" s="178" t="s">
        <v>580</v>
      </c>
      <c r="J298" s="27" t="s">
        <v>401</v>
      </c>
      <c r="K298" s="27">
        <v>2125</v>
      </c>
      <c r="L298" s="179">
        <v>2334</v>
      </c>
      <c r="M298" s="178" t="s">
        <v>2233</v>
      </c>
      <c r="N298" s="27" t="s">
        <v>401</v>
      </c>
      <c r="O298" s="182" t="s">
        <v>2234</v>
      </c>
    </row>
    <row r="299" spans="2:15">
      <c r="B299" s="174" t="s">
        <v>1033</v>
      </c>
      <c r="C299" s="175" t="s">
        <v>400</v>
      </c>
      <c r="D299" s="176" t="s">
        <v>401</v>
      </c>
      <c r="E299" s="177" t="s">
        <v>1034</v>
      </c>
      <c r="F299" s="175">
        <f t="shared" si="9"/>
        <v>10</v>
      </c>
      <c r="G299" s="175" t="str">
        <f t="shared" si="10"/>
        <v>Savannah</v>
      </c>
      <c r="H299" s="175"/>
      <c r="I299" s="178" t="s">
        <v>1668</v>
      </c>
      <c r="J299" s="27" t="s">
        <v>401</v>
      </c>
      <c r="K299" s="27">
        <v>2365</v>
      </c>
      <c r="L299" s="179">
        <v>1847</v>
      </c>
      <c r="M299" s="180" t="s">
        <v>1669</v>
      </c>
      <c r="N299" s="181" t="s">
        <v>401</v>
      </c>
      <c r="O299" s="182" t="s">
        <v>1670</v>
      </c>
    </row>
    <row r="300" spans="2:15">
      <c r="B300" s="174" t="s">
        <v>1035</v>
      </c>
      <c r="C300" s="175" t="s">
        <v>400</v>
      </c>
      <c r="D300" s="176" t="s">
        <v>401</v>
      </c>
      <c r="E300" s="177" t="s">
        <v>1034</v>
      </c>
      <c r="F300" s="175">
        <f t="shared" si="9"/>
        <v>10</v>
      </c>
      <c r="G300" s="175" t="str">
        <f t="shared" si="10"/>
        <v>Savannah</v>
      </c>
      <c r="H300" s="175"/>
      <c r="I300" s="178" t="s">
        <v>1668</v>
      </c>
      <c r="J300" s="27" t="s">
        <v>401</v>
      </c>
      <c r="K300" s="27">
        <v>2365</v>
      </c>
      <c r="L300" s="179">
        <v>1847</v>
      </c>
      <c r="M300" s="180" t="s">
        <v>1669</v>
      </c>
      <c r="N300" s="181" t="s">
        <v>401</v>
      </c>
      <c r="O300" s="182" t="s">
        <v>1670</v>
      </c>
    </row>
    <row r="301" spans="2:15">
      <c r="B301" s="174" t="s">
        <v>1894</v>
      </c>
      <c r="C301" s="175" t="s">
        <v>400</v>
      </c>
      <c r="D301" s="176" t="s">
        <v>401</v>
      </c>
      <c r="E301" s="177" t="s">
        <v>1895</v>
      </c>
      <c r="F301" s="175">
        <f t="shared" si="9"/>
        <v>10</v>
      </c>
      <c r="G301" s="175" t="str">
        <f t="shared" si="10"/>
        <v>Waycross</v>
      </c>
      <c r="H301" s="175"/>
      <c r="I301" s="178" t="s">
        <v>1668</v>
      </c>
      <c r="J301" s="27" t="s">
        <v>401</v>
      </c>
      <c r="K301" s="27">
        <v>2365</v>
      </c>
      <c r="L301" s="179">
        <v>1847</v>
      </c>
      <c r="M301" s="180" t="s">
        <v>1669</v>
      </c>
      <c r="N301" s="181" t="s">
        <v>401</v>
      </c>
      <c r="O301" s="182" t="s">
        <v>1670</v>
      </c>
    </row>
    <row r="302" spans="2:15">
      <c r="B302" s="174" t="s">
        <v>1852</v>
      </c>
      <c r="C302" s="175" t="s">
        <v>400</v>
      </c>
      <c r="D302" s="176" t="s">
        <v>401</v>
      </c>
      <c r="E302" s="177" t="s">
        <v>1853</v>
      </c>
      <c r="F302" s="175">
        <f t="shared" si="9"/>
        <v>10</v>
      </c>
      <c r="G302" s="175" t="str">
        <f t="shared" si="10"/>
        <v>Valdosta</v>
      </c>
      <c r="H302" s="175"/>
      <c r="I302" s="178" t="s">
        <v>818</v>
      </c>
      <c r="J302" s="27" t="s">
        <v>625</v>
      </c>
      <c r="K302" s="27">
        <v>2518</v>
      </c>
      <c r="L302" s="179">
        <v>1705</v>
      </c>
      <c r="M302" s="180" t="s">
        <v>565</v>
      </c>
      <c r="N302" s="181" t="s">
        <v>625</v>
      </c>
      <c r="O302" s="182" t="s">
        <v>566</v>
      </c>
    </row>
    <row r="303" spans="2:15">
      <c r="B303" s="174" t="s">
        <v>399</v>
      </c>
      <c r="C303" s="175" t="s">
        <v>400</v>
      </c>
      <c r="D303" s="176" t="s">
        <v>401</v>
      </c>
      <c r="E303" s="177" t="s">
        <v>402</v>
      </c>
      <c r="F303" s="175">
        <f t="shared" si="9"/>
        <v>8</v>
      </c>
      <c r="G303" s="175" t="str">
        <f t="shared" si="10"/>
        <v>Albany</v>
      </c>
      <c r="H303" s="175"/>
      <c r="I303" s="178" t="s">
        <v>403</v>
      </c>
      <c r="J303" s="27" t="s">
        <v>401</v>
      </c>
      <c r="K303" s="27">
        <v>2284</v>
      </c>
      <c r="L303" s="179">
        <v>2261</v>
      </c>
      <c r="M303" s="180" t="s">
        <v>404</v>
      </c>
      <c r="N303" s="181" t="s">
        <v>401</v>
      </c>
      <c r="O303" s="182" t="s">
        <v>405</v>
      </c>
    </row>
    <row r="304" spans="2:15">
      <c r="B304" s="174" t="s">
        <v>578</v>
      </c>
      <c r="C304" s="175" t="s">
        <v>400</v>
      </c>
      <c r="D304" s="176" t="s">
        <v>401</v>
      </c>
      <c r="E304" s="177" t="s">
        <v>579</v>
      </c>
      <c r="F304" s="175">
        <f t="shared" si="9"/>
        <v>10</v>
      </c>
      <c r="G304" s="175" t="str">
        <f t="shared" si="10"/>
        <v>Columbus</v>
      </c>
      <c r="H304" s="175"/>
      <c r="I304" s="178" t="s">
        <v>580</v>
      </c>
      <c r="J304" s="27" t="s">
        <v>401</v>
      </c>
      <c r="K304" s="27">
        <v>2125</v>
      </c>
      <c r="L304" s="179">
        <v>2334</v>
      </c>
      <c r="M304" s="180" t="s">
        <v>404</v>
      </c>
      <c r="N304" s="181" t="s">
        <v>401</v>
      </c>
      <c r="O304" s="182" t="s">
        <v>405</v>
      </c>
    </row>
    <row r="305" spans="2:15">
      <c r="B305" s="174" t="s">
        <v>581</v>
      </c>
      <c r="C305" s="175" t="s">
        <v>400</v>
      </c>
      <c r="D305" s="176" t="s">
        <v>401</v>
      </c>
      <c r="E305" s="177" t="s">
        <v>579</v>
      </c>
      <c r="F305" s="175">
        <f t="shared" si="9"/>
        <v>10</v>
      </c>
      <c r="G305" s="175" t="str">
        <f t="shared" si="10"/>
        <v>Columbus</v>
      </c>
      <c r="H305" s="175"/>
      <c r="I305" s="178" t="s">
        <v>403</v>
      </c>
      <c r="J305" s="27" t="s">
        <v>401</v>
      </c>
      <c r="K305" s="27">
        <v>2284</v>
      </c>
      <c r="L305" s="179">
        <v>2261</v>
      </c>
      <c r="M305" s="180" t="s">
        <v>404</v>
      </c>
      <c r="N305" s="181" t="s">
        <v>401</v>
      </c>
      <c r="O305" s="182" t="s">
        <v>405</v>
      </c>
    </row>
    <row r="306" spans="2:15">
      <c r="B306" s="174" t="s">
        <v>90</v>
      </c>
      <c r="C306" s="175" t="s">
        <v>624</v>
      </c>
      <c r="D306" s="176" t="s">
        <v>625</v>
      </c>
      <c r="E306" s="177" t="s">
        <v>91</v>
      </c>
      <c r="F306" s="175">
        <f t="shared" si="9"/>
        <v>14</v>
      </c>
      <c r="G306" s="175" t="str">
        <f t="shared" si="10"/>
        <v>Jacksonville</v>
      </c>
      <c r="H306" s="175"/>
      <c r="I306" s="178" t="s">
        <v>92</v>
      </c>
      <c r="J306" s="27" t="s">
        <v>625</v>
      </c>
      <c r="K306" s="27">
        <v>2551</v>
      </c>
      <c r="L306" s="179">
        <v>1434</v>
      </c>
      <c r="M306" s="178" t="s">
        <v>2056</v>
      </c>
      <c r="N306" s="27" t="s">
        <v>625</v>
      </c>
      <c r="O306" s="182" t="s">
        <v>2057</v>
      </c>
    </row>
    <row r="307" spans="2:15">
      <c r="B307" s="174" t="s">
        <v>93</v>
      </c>
      <c r="C307" s="175" t="s">
        <v>624</v>
      </c>
      <c r="D307" s="176" t="s">
        <v>625</v>
      </c>
      <c r="E307" s="177" t="s">
        <v>91</v>
      </c>
      <c r="F307" s="175">
        <f t="shared" si="9"/>
        <v>14</v>
      </c>
      <c r="G307" s="175" t="str">
        <f t="shared" si="10"/>
        <v>Jacksonville</v>
      </c>
      <c r="H307" s="175"/>
      <c r="I307" s="178" t="s">
        <v>92</v>
      </c>
      <c r="J307" s="27" t="s">
        <v>625</v>
      </c>
      <c r="K307" s="27">
        <v>2551</v>
      </c>
      <c r="L307" s="179">
        <v>1434</v>
      </c>
      <c r="M307" s="178" t="s">
        <v>2056</v>
      </c>
      <c r="N307" s="27" t="s">
        <v>625</v>
      </c>
      <c r="O307" s="182" t="s">
        <v>2057</v>
      </c>
    </row>
    <row r="308" spans="2:15">
      <c r="B308" s="174" t="s">
        <v>94</v>
      </c>
      <c r="C308" s="175" t="s">
        <v>624</v>
      </c>
      <c r="D308" s="176" t="s">
        <v>625</v>
      </c>
      <c r="E308" s="177" t="s">
        <v>91</v>
      </c>
      <c r="F308" s="175">
        <f t="shared" si="9"/>
        <v>14</v>
      </c>
      <c r="G308" s="175" t="str">
        <f t="shared" si="10"/>
        <v>Jacksonville</v>
      </c>
      <c r="H308" s="175"/>
      <c r="I308" s="178" t="s">
        <v>92</v>
      </c>
      <c r="J308" s="27" t="s">
        <v>625</v>
      </c>
      <c r="K308" s="27">
        <v>2551</v>
      </c>
      <c r="L308" s="179">
        <v>1434</v>
      </c>
      <c r="M308" s="178" t="s">
        <v>2056</v>
      </c>
      <c r="N308" s="27" t="s">
        <v>625</v>
      </c>
      <c r="O308" s="182" t="s">
        <v>2057</v>
      </c>
    </row>
    <row r="309" spans="2:15">
      <c r="B309" s="174" t="s">
        <v>816</v>
      </c>
      <c r="C309" s="175" t="s">
        <v>624</v>
      </c>
      <c r="D309" s="176" t="s">
        <v>625</v>
      </c>
      <c r="E309" s="177" t="s">
        <v>817</v>
      </c>
      <c r="F309" s="175">
        <f t="shared" si="9"/>
        <v>13</v>
      </c>
      <c r="G309" s="175" t="str">
        <f t="shared" si="10"/>
        <v>Tallahassee</v>
      </c>
      <c r="H309" s="175"/>
      <c r="I309" s="178" t="s">
        <v>818</v>
      </c>
      <c r="J309" s="27" t="s">
        <v>625</v>
      </c>
      <c r="K309" s="27">
        <v>2518</v>
      </c>
      <c r="L309" s="179">
        <v>1705</v>
      </c>
      <c r="M309" s="180" t="s">
        <v>565</v>
      </c>
      <c r="N309" s="181" t="s">
        <v>625</v>
      </c>
      <c r="O309" s="182" t="s">
        <v>566</v>
      </c>
    </row>
    <row r="310" spans="2:15">
      <c r="B310" s="174" t="s">
        <v>562</v>
      </c>
      <c r="C310" s="175" t="s">
        <v>624</v>
      </c>
      <c r="D310" s="176" t="s">
        <v>625</v>
      </c>
      <c r="E310" s="177" t="s">
        <v>563</v>
      </c>
      <c r="F310" s="175">
        <f t="shared" si="9"/>
        <v>13</v>
      </c>
      <c r="G310" s="175" t="str">
        <f t="shared" si="10"/>
        <v>Panama City</v>
      </c>
      <c r="H310" s="175"/>
      <c r="I310" s="178" t="s">
        <v>564</v>
      </c>
      <c r="J310" s="27" t="s">
        <v>625</v>
      </c>
      <c r="K310" s="27">
        <v>2582</v>
      </c>
      <c r="L310" s="179">
        <v>1429</v>
      </c>
      <c r="M310" s="180" t="s">
        <v>565</v>
      </c>
      <c r="N310" s="181" t="s">
        <v>625</v>
      </c>
      <c r="O310" s="182" t="s">
        <v>566</v>
      </c>
    </row>
    <row r="311" spans="2:15">
      <c r="B311" s="174" t="s">
        <v>2515</v>
      </c>
      <c r="C311" s="175" t="s">
        <v>624</v>
      </c>
      <c r="D311" s="176" t="s">
        <v>625</v>
      </c>
      <c r="E311" s="177" t="s">
        <v>2516</v>
      </c>
      <c r="F311" s="175">
        <f t="shared" si="9"/>
        <v>11</v>
      </c>
      <c r="G311" s="175" t="str">
        <f t="shared" si="10"/>
        <v>Pensacola</v>
      </c>
      <c r="H311" s="175"/>
      <c r="I311" s="178" t="s">
        <v>2517</v>
      </c>
      <c r="J311" s="27" t="s">
        <v>625</v>
      </c>
      <c r="K311" s="27">
        <v>2636</v>
      </c>
      <c r="L311" s="179">
        <v>1617</v>
      </c>
      <c r="M311" s="180" t="s">
        <v>720</v>
      </c>
      <c r="N311" s="181" t="s">
        <v>494</v>
      </c>
      <c r="O311" s="182" t="s">
        <v>721</v>
      </c>
    </row>
    <row r="312" spans="2:15">
      <c r="B312" s="174" t="s">
        <v>2053</v>
      </c>
      <c r="C312" s="175" t="s">
        <v>624</v>
      </c>
      <c r="D312" s="176" t="s">
        <v>625</v>
      </c>
      <c r="E312" s="177" t="s">
        <v>2054</v>
      </c>
      <c r="F312" s="175">
        <f t="shared" si="9"/>
        <v>13</v>
      </c>
      <c r="G312" s="175" t="str">
        <f t="shared" si="10"/>
        <v>Gainesville</v>
      </c>
      <c r="H312" s="175"/>
      <c r="I312" s="178" t="s">
        <v>2055</v>
      </c>
      <c r="J312" s="27" t="s">
        <v>625</v>
      </c>
      <c r="K312" s="27">
        <v>2609</v>
      </c>
      <c r="L312" s="179">
        <v>1267</v>
      </c>
      <c r="M312" s="178" t="s">
        <v>2056</v>
      </c>
      <c r="N312" s="27" t="s">
        <v>625</v>
      </c>
      <c r="O312" s="182" t="s">
        <v>2057</v>
      </c>
    </row>
    <row r="313" spans="2:15">
      <c r="B313" s="174" t="s">
        <v>834</v>
      </c>
      <c r="C313" s="175" t="s">
        <v>624</v>
      </c>
      <c r="D313" s="176" t="s">
        <v>625</v>
      </c>
      <c r="E313" s="177" t="s">
        <v>835</v>
      </c>
      <c r="F313" s="175">
        <f t="shared" si="9"/>
        <v>12</v>
      </c>
      <c r="G313" s="175" t="str">
        <f t="shared" si="10"/>
        <v>Titusville</v>
      </c>
      <c r="H313" s="175"/>
      <c r="I313" s="178" t="s">
        <v>1216</v>
      </c>
      <c r="J313" s="27" t="s">
        <v>625</v>
      </c>
      <c r="K313" s="27">
        <v>2919</v>
      </c>
      <c r="L313" s="179">
        <v>909</v>
      </c>
      <c r="M313" s="178" t="s">
        <v>1217</v>
      </c>
      <c r="N313" s="27" t="s">
        <v>625</v>
      </c>
      <c r="O313" s="182" t="s">
        <v>1218</v>
      </c>
    </row>
    <row r="314" spans="2:15">
      <c r="B314" s="174" t="s">
        <v>1525</v>
      </c>
      <c r="C314" s="175" t="s">
        <v>624</v>
      </c>
      <c r="D314" s="176" t="s">
        <v>625</v>
      </c>
      <c r="E314" s="177" t="s">
        <v>1526</v>
      </c>
      <c r="F314" s="175">
        <f t="shared" si="9"/>
        <v>9</v>
      </c>
      <c r="G314" s="175" t="str">
        <f t="shared" si="10"/>
        <v>Orlando</v>
      </c>
      <c r="H314" s="175"/>
      <c r="I314" s="178" t="s">
        <v>1527</v>
      </c>
      <c r="J314" s="27" t="s">
        <v>625</v>
      </c>
      <c r="K314" s="27">
        <v>3381</v>
      </c>
      <c r="L314" s="179">
        <v>686</v>
      </c>
      <c r="M314" s="178" t="s">
        <v>1161</v>
      </c>
      <c r="N314" s="27" t="s">
        <v>625</v>
      </c>
      <c r="O314" s="182" t="s">
        <v>1162</v>
      </c>
    </row>
    <row r="315" spans="2:15">
      <c r="B315" s="174" t="s">
        <v>1158</v>
      </c>
      <c r="C315" s="175" t="s">
        <v>624</v>
      </c>
      <c r="D315" s="176" t="s">
        <v>625</v>
      </c>
      <c r="E315" s="177" t="s">
        <v>1159</v>
      </c>
      <c r="F315" s="175">
        <f t="shared" si="9"/>
        <v>11</v>
      </c>
      <c r="G315" s="175" t="str">
        <f t="shared" si="10"/>
        <v>Melbourne</v>
      </c>
      <c r="H315" s="175"/>
      <c r="I315" s="178" t="s">
        <v>1160</v>
      </c>
      <c r="J315" s="27" t="s">
        <v>625</v>
      </c>
      <c r="K315" s="27">
        <v>3278</v>
      </c>
      <c r="L315" s="179">
        <v>548</v>
      </c>
      <c r="M315" s="178" t="s">
        <v>1161</v>
      </c>
      <c r="N315" s="27" t="s">
        <v>625</v>
      </c>
      <c r="O315" s="182" t="s">
        <v>1162</v>
      </c>
    </row>
    <row r="316" spans="2:15">
      <c r="B316" s="174" t="s">
        <v>144</v>
      </c>
      <c r="C316" s="175" t="s">
        <v>624</v>
      </c>
      <c r="D316" s="176" t="s">
        <v>625</v>
      </c>
      <c r="E316" s="177" t="s">
        <v>145</v>
      </c>
      <c r="F316" s="175">
        <f t="shared" si="9"/>
        <v>7</v>
      </c>
      <c r="G316" s="175" t="str">
        <f t="shared" si="10"/>
        <v>Miami</v>
      </c>
      <c r="H316" s="175"/>
      <c r="I316" s="178" t="s">
        <v>146</v>
      </c>
      <c r="J316" s="27" t="s">
        <v>625</v>
      </c>
      <c r="K316" s="27">
        <v>4798</v>
      </c>
      <c r="L316" s="179">
        <v>100</v>
      </c>
      <c r="M316" s="180" t="s">
        <v>2013</v>
      </c>
      <c r="N316" s="181" t="s">
        <v>625</v>
      </c>
      <c r="O316" s="182" t="s">
        <v>2014</v>
      </c>
    </row>
    <row r="317" spans="2:15">
      <c r="B317" s="174" t="s">
        <v>147</v>
      </c>
      <c r="C317" s="175" t="s">
        <v>624</v>
      </c>
      <c r="D317" s="176" t="s">
        <v>625</v>
      </c>
      <c r="E317" s="177" t="s">
        <v>145</v>
      </c>
      <c r="F317" s="175">
        <f t="shared" si="9"/>
        <v>7</v>
      </c>
      <c r="G317" s="175" t="str">
        <f t="shared" si="10"/>
        <v>Miami</v>
      </c>
      <c r="H317" s="175"/>
      <c r="I317" s="178" t="s">
        <v>2012</v>
      </c>
      <c r="J317" s="27" t="s">
        <v>625</v>
      </c>
      <c r="K317" s="27">
        <v>4198</v>
      </c>
      <c r="L317" s="179">
        <v>200</v>
      </c>
      <c r="M317" s="180" t="s">
        <v>2013</v>
      </c>
      <c r="N317" s="181" t="s">
        <v>625</v>
      </c>
      <c r="O317" s="182" t="s">
        <v>2014</v>
      </c>
    </row>
    <row r="318" spans="2:15">
      <c r="B318" s="174" t="s">
        <v>148</v>
      </c>
      <c r="C318" s="175" t="s">
        <v>624</v>
      </c>
      <c r="D318" s="176" t="s">
        <v>625</v>
      </c>
      <c r="E318" s="177" t="s">
        <v>145</v>
      </c>
      <c r="F318" s="175">
        <f t="shared" si="9"/>
        <v>7</v>
      </c>
      <c r="G318" s="175" t="str">
        <f t="shared" si="10"/>
        <v>Miami</v>
      </c>
      <c r="H318" s="175"/>
      <c r="I318" s="178" t="s">
        <v>2012</v>
      </c>
      <c r="J318" s="27" t="s">
        <v>625</v>
      </c>
      <c r="K318" s="27">
        <v>4198</v>
      </c>
      <c r="L318" s="179">
        <v>200</v>
      </c>
      <c r="M318" s="180" t="s">
        <v>2013</v>
      </c>
      <c r="N318" s="181" t="s">
        <v>625</v>
      </c>
      <c r="O318" s="182" t="s">
        <v>2014</v>
      </c>
    </row>
    <row r="319" spans="2:15">
      <c r="B319" s="174" t="s">
        <v>2010</v>
      </c>
      <c r="C319" s="175" t="s">
        <v>624</v>
      </c>
      <c r="D319" s="176" t="s">
        <v>625</v>
      </c>
      <c r="E319" s="177" t="s">
        <v>2011</v>
      </c>
      <c r="F319" s="175">
        <f t="shared" si="9"/>
        <v>17</v>
      </c>
      <c r="G319" s="175" t="str">
        <f t="shared" si="10"/>
        <v>Fort Lauderdale</v>
      </c>
      <c r="H319" s="175"/>
      <c r="I319" s="178" t="s">
        <v>2012</v>
      </c>
      <c r="J319" s="27" t="s">
        <v>625</v>
      </c>
      <c r="K319" s="27">
        <v>4198</v>
      </c>
      <c r="L319" s="179">
        <v>200</v>
      </c>
      <c r="M319" s="180" t="s">
        <v>2013</v>
      </c>
      <c r="N319" s="181" t="s">
        <v>625</v>
      </c>
      <c r="O319" s="182" t="s">
        <v>2014</v>
      </c>
    </row>
    <row r="320" spans="2:15">
      <c r="B320" s="174" t="s">
        <v>1905</v>
      </c>
      <c r="C320" s="175" t="s">
        <v>624</v>
      </c>
      <c r="D320" s="176" t="s">
        <v>625</v>
      </c>
      <c r="E320" s="177" t="s">
        <v>1906</v>
      </c>
      <c r="F320" s="175">
        <f t="shared" si="9"/>
        <v>17</v>
      </c>
      <c r="G320" s="175" t="str">
        <f t="shared" si="10"/>
        <v>West Palm Beach</v>
      </c>
      <c r="H320" s="175"/>
      <c r="I320" s="178" t="s">
        <v>1907</v>
      </c>
      <c r="J320" s="27" t="s">
        <v>625</v>
      </c>
      <c r="K320" s="27">
        <v>3891</v>
      </c>
      <c r="L320" s="179">
        <v>323</v>
      </c>
      <c r="M320" s="180" t="s">
        <v>1908</v>
      </c>
      <c r="N320" s="181" t="s">
        <v>625</v>
      </c>
      <c r="O320" s="182" t="s">
        <v>1909</v>
      </c>
    </row>
    <row r="321" spans="2:15">
      <c r="B321" s="174" t="s">
        <v>819</v>
      </c>
      <c r="C321" s="175" t="s">
        <v>624</v>
      </c>
      <c r="D321" s="176" t="s">
        <v>625</v>
      </c>
      <c r="E321" s="177" t="s">
        <v>820</v>
      </c>
      <c r="F321" s="175">
        <f t="shared" si="9"/>
        <v>7</v>
      </c>
      <c r="G321" s="175" t="str">
        <f t="shared" si="10"/>
        <v>Tampa</v>
      </c>
      <c r="H321" s="175"/>
      <c r="I321" s="178" t="s">
        <v>627</v>
      </c>
      <c r="J321" s="27" t="s">
        <v>625</v>
      </c>
      <c r="K321" s="27">
        <v>3427</v>
      </c>
      <c r="L321" s="179">
        <v>725</v>
      </c>
      <c r="M321" s="178" t="s">
        <v>628</v>
      </c>
      <c r="N321" s="27" t="s">
        <v>625</v>
      </c>
      <c r="O321" s="182" t="s">
        <v>629</v>
      </c>
    </row>
    <row r="322" spans="2:15">
      <c r="B322" s="174" t="s">
        <v>821</v>
      </c>
      <c r="C322" s="175" t="s">
        <v>624</v>
      </c>
      <c r="D322" s="176" t="s">
        <v>625</v>
      </c>
      <c r="E322" s="177" t="s">
        <v>820</v>
      </c>
      <c r="F322" s="175">
        <f t="shared" si="9"/>
        <v>7</v>
      </c>
      <c r="G322" s="175" t="str">
        <f t="shared" si="10"/>
        <v>Tampa</v>
      </c>
      <c r="H322" s="175"/>
      <c r="I322" s="178" t="s">
        <v>627</v>
      </c>
      <c r="J322" s="27" t="s">
        <v>625</v>
      </c>
      <c r="K322" s="27">
        <v>3427</v>
      </c>
      <c r="L322" s="179">
        <v>725</v>
      </c>
      <c r="M322" s="178" t="s">
        <v>628</v>
      </c>
      <c r="N322" s="27" t="s">
        <v>625</v>
      </c>
      <c r="O322" s="182" t="s">
        <v>629</v>
      </c>
    </row>
    <row r="323" spans="2:15">
      <c r="B323" s="174" t="s">
        <v>1314</v>
      </c>
      <c r="C323" s="175" t="s">
        <v>624</v>
      </c>
      <c r="D323" s="176" t="s">
        <v>625</v>
      </c>
      <c r="E323" s="177" t="s">
        <v>1315</v>
      </c>
      <c r="F323" s="175">
        <f t="shared" si="9"/>
        <v>16</v>
      </c>
      <c r="G323" s="175" t="str">
        <f t="shared" si="10"/>
        <v>St. Petersburg</v>
      </c>
      <c r="H323" s="175"/>
      <c r="I323" s="178" t="s">
        <v>627</v>
      </c>
      <c r="J323" s="27" t="s">
        <v>625</v>
      </c>
      <c r="K323" s="27">
        <v>3427</v>
      </c>
      <c r="L323" s="179">
        <v>725</v>
      </c>
      <c r="M323" s="178" t="s">
        <v>628</v>
      </c>
      <c r="N323" s="27" t="s">
        <v>625</v>
      </c>
      <c r="O323" s="182" t="s">
        <v>629</v>
      </c>
    </row>
    <row r="324" spans="2:15">
      <c r="B324" s="174" t="s">
        <v>965</v>
      </c>
      <c r="C324" s="175" t="s">
        <v>624</v>
      </c>
      <c r="D324" s="176" t="s">
        <v>625</v>
      </c>
      <c r="E324" s="177" t="s">
        <v>966</v>
      </c>
      <c r="F324" s="175">
        <f t="shared" si="9"/>
        <v>10</v>
      </c>
      <c r="G324" s="175" t="str">
        <f t="shared" si="10"/>
        <v>Lakeland</v>
      </c>
      <c r="H324" s="175"/>
      <c r="I324" s="178" t="s">
        <v>627</v>
      </c>
      <c r="J324" s="27" t="s">
        <v>625</v>
      </c>
      <c r="K324" s="27">
        <v>3427</v>
      </c>
      <c r="L324" s="179">
        <v>725</v>
      </c>
      <c r="M324" s="178" t="s">
        <v>628</v>
      </c>
      <c r="N324" s="27" t="s">
        <v>625</v>
      </c>
      <c r="O324" s="182" t="s">
        <v>629</v>
      </c>
    </row>
    <row r="325" spans="2:15">
      <c r="B325" s="174" t="s">
        <v>2017</v>
      </c>
      <c r="C325" s="175" t="s">
        <v>624</v>
      </c>
      <c r="D325" s="176" t="s">
        <v>625</v>
      </c>
      <c r="E325" s="177" t="s">
        <v>2018</v>
      </c>
      <c r="F325" s="175">
        <f t="shared" si="9"/>
        <v>12</v>
      </c>
      <c r="G325" s="175" t="str">
        <f t="shared" si="10"/>
        <v>Fort Myers</v>
      </c>
      <c r="H325" s="175"/>
      <c r="I325" s="178" t="s">
        <v>2019</v>
      </c>
      <c r="J325" s="27" t="s">
        <v>625</v>
      </c>
      <c r="K325" s="27">
        <v>3855</v>
      </c>
      <c r="L325" s="179">
        <v>418</v>
      </c>
      <c r="M325" s="178" t="s">
        <v>628</v>
      </c>
      <c r="N325" s="27" t="s">
        <v>625</v>
      </c>
      <c r="O325" s="182" t="s">
        <v>629</v>
      </c>
    </row>
    <row r="326" spans="2:15">
      <c r="B326" s="174" t="s">
        <v>623</v>
      </c>
      <c r="C326" s="175" t="s">
        <v>624</v>
      </c>
      <c r="D326" s="176" t="s">
        <v>625</v>
      </c>
      <c r="E326" s="177" t="s">
        <v>626</v>
      </c>
      <c r="F326" s="175">
        <f t="shared" si="9"/>
        <v>11</v>
      </c>
      <c r="G326" s="175" t="str">
        <f t="shared" si="10"/>
        <v>Bradenton</v>
      </c>
      <c r="H326" s="175"/>
      <c r="I326" s="178" t="s">
        <v>627</v>
      </c>
      <c r="J326" s="27" t="s">
        <v>625</v>
      </c>
      <c r="K326" s="27">
        <v>3427</v>
      </c>
      <c r="L326" s="179">
        <v>725</v>
      </c>
      <c r="M326" s="178" t="s">
        <v>628</v>
      </c>
      <c r="N326" s="27" t="s">
        <v>625</v>
      </c>
      <c r="O326" s="182" t="s">
        <v>629</v>
      </c>
    </row>
    <row r="327" spans="2:15">
      <c r="B327" s="174" t="s">
        <v>1214</v>
      </c>
      <c r="C327" s="175" t="s">
        <v>624</v>
      </c>
      <c r="D327" s="176" t="s">
        <v>625</v>
      </c>
      <c r="E327" s="177" t="s">
        <v>1215</v>
      </c>
      <c r="F327" s="175">
        <f t="shared" si="9"/>
        <v>7</v>
      </c>
      <c r="G327" s="175" t="str">
        <f t="shared" si="10"/>
        <v>Ocala</v>
      </c>
      <c r="H327" s="175"/>
      <c r="I327" s="178" t="s">
        <v>1216</v>
      </c>
      <c r="J327" s="27" t="s">
        <v>625</v>
      </c>
      <c r="K327" s="27">
        <v>2919</v>
      </c>
      <c r="L327" s="179">
        <v>909</v>
      </c>
      <c r="M327" s="178" t="s">
        <v>1217</v>
      </c>
      <c r="N327" s="27" t="s">
        <v>625</v>
      </c>
      <c r="O327" s="182" t="s">
        <v>1218</v>
      </c>
    </row>
    <row r="328" spans="2:15">
      <c r="B328" s="174" t="s">
        <v>550</v>
      </c>
      <c r="C328" s="175" t="s">
        <v>624</v>
      </c>
      <c r="D328" s="176" t="s">
        <v>625</v>
      </c>
      <c r="E328" s="177" t="s">
        <v>551</v>
      </c>
      <c r="F328" s="175">
        <f t="shared" si="9"/>
        <v>12</v>
      </c>
      <c r="G328" s="175" t="str">
        <f t="shared" si="10"/>
        <v>Clearwater</v>
      </c>
      <c r="H328" s="175"/>
      <c r="I328" s="178" t="s">
        <v>627</v>
      </c>
      <c r="J328" s="27" t="s">
        <v>625</v>
      </c>
      <c r="K328" s="27">
        <v>3427</v>
      </c>
      <c r="L328" s="179">
        <v>725</v>
      </c>
      <c r="M328" s="178" t="s">
        <v>628</v>
      </c>
      <c r="N328" s="27" t="s">
        <v>625</v>
      </c>
      <c r="O328" s="182" t="s">
        <v>629</v>
      </c>
    </row>
    <row r="329" spans="2:15">
      <c r="B329" s="174" t="s">
        <v>1528</v>
      </c>
      <c r="C329" s="175" t="s">
        <v>624</v>
      </c>
      <c r="D329" s="176" t="s">
        <v>625</v>
      </c>
      <c r="E329" s="177" t="s">
        <v>1526</v>
      </c>
      <c r="F329" s="175">
        <f t="shared" si="9"/>
        <v>9</v>
      </c>
      <c r="G329" s="175" t="str">
        <f t="shared" si="10"/>
        <v>Orlando</v>
      </c>
      <c r="H329" s="175"/>
      <c r="I329" s="178" t="s">
        <v>1527</v>
      </c>
      <c r="J329" s="27" t="s">
        <v>625</v>
      </c>
      <c r="K329" s="27">
        <v>3381</v>
      </c>
      <c r="L329" s="179">
        <v>686</v>
      </c>
      <c r="M329" s="178" t="s">
        <v>1161</v>
      </c>
      <c r="N329" s="27" t="s">
        <v>625</v>
      </c>
      <c r="O329" s="182" t="s">
        <v>1162</v>
      </c>
    </row>
    <row r="330" spans="2:15">
      <c r="B330" s="174" t="s">
        <v>2020</v>
      </c>
      <c r="C330" s="175" t="s">
        <v>624</v>
      </c>
      <c r="D330" s="176" t="s">
        <v>625</v>
      </c>
      <c r="E330" s="177" t="s">
        <v>2021</v>
      </c>
      <c r="F330" s="175">
        <f t="shared" ref="F330:F393" si="11">LEN(E330)</f>
        <v>13</v>
      </c>
      <c r="G330" s="175" t="str">
        <f t="shared" ref="G330:G393" si="12">MID(E330,2,F330-2)</f>
        <v>Fort Pierce</v>
      </c>
      <c r="H330" s="175"/>
      <c r="I330" s="178" t="s">
        <v>627</v>
      </c>
      <c r="J330" s="27" t="s">
        <v>625</v>
      </c>
      <c r="K330" s="27">
        <v>3427</v>
      </c>
      <c r="L330" s="179">
        <v>725</v>
      </c>
      <c r="M330" s="178" t="s">
        <v>628</v>
      </c>
      <c r="N330" s="27" t="s">
        <v>625</v>
      </c>
      <c r="O330" s="182" t="s">
        <v>629</v>
      </c>
    </row>
    <row r="331" spans="2:15">
      <c r="B331" s="174" t="s">
        <v>1501</v>
      </c>
      <c r="C331" s="175" t="s">
        <v>493</v>
      </c>
      <c r="D331" s="176" t="s">
        <v>494</v>
      </c>
      <c r="E331" s="177" t="s">
        <v>1502</v>
      </c>
      <c r="F331" s="175">
        <f t="shared" si="11"/>
        <v>12</v>
      </c>
      <c r="G331" s="175" t="str">
        <f t="shared" si="12"/>
        <v>Birmingham</v>
      </c>
      <c r="H331" s="175"/>
      <c r="I331" s="178" t="s">
        <v>496</v>
      </c>
      <c r="J331" s="27" t="s">
        <v>494</v>
      </c>
      <c r="K331" s="27">
        <v>1797</v>
      </c>
      <c r="L331" s="179">
        <v>2918</v>
      </c>
      <c r="M331" s="180" t="s">
        <v>497</v>
      </c>
      <c r="N331" s="181" t="s">
        <v>494</v>
      </c>
      <c r="O331" s="182" t="s">
        <v>498</v>
      </c>
    </row>
    <row r="332" spans="2:15">
      <c r="B332" s="174" t="s">
        <v>1503</v>
      </c>
      <c r="C332" s="175" t="s">
        <v>493</v>
      </c>
      <c r="D332" s="176" t="s">
        <v>494</v>
      </c>
      <c r="E332" s="177" t="s">
        <v>1502</v>
      </c>
      <c r="F332" s="175">
        <f t="shared" si="11"/>
        <v>12</v>
      </c>
      <c r="G332" s="175" t="str">
        <f t="shared" si="12"/>
        <v>Birmingham</v>
      </c>
      <c r="H332" s="175"/>
      <c r="I332" s="178" t="s">
        <v>496</v>
      </c>
      <c r="J332" s="27" t="s">
        <v>494</v>
      </c>
      <c r="K332" s="27">
        <v>1797</v>
      </c>
      <c r="L332" s="179">
        <v>2918</v>
      </c>
      <c r="M332" s="180" t="s">
        <v>497</v>
      </c>
      <c r="N332" s="181" t="s">
        <v>494</v>
      </c>
      <c r="O332" s="182" t="s">
        <v>498</v>
      </c>
    </row>
    <row r="333" spans="2:15">
      <c r="B333" s="174" t="s">
        <v>1504</v>
      </c>
      <c r="C333" s="175" t="s">
        <v>493</v>
      </c>
      <c r="D333" s="176" t="s">
        <v>494</v>
      </c>
      <c r="E333" s="177" t="s">
        <v>1502</v>
      </c>
      <c r="F333" s="175">
        <f t="shared" si="11"/>
        <v>12</v>
      </c>
      <c r="G333" s="175" t="str">
        <f t="shared" si="12"/>
        <v>Birmingham</v>
      </c>
      <c r="H333" s="175"/>
      <c r="I333" s="178" t="s">
        <v>496</v>
      </c>
      <c r="J333" s="27" t="s">
        <v>494</v>
      </c>
      <c r="K333" s="27">
        <v>1797</v>
      </c>
      <c r="L333" s="179">
        <v>2918</v>
      </c>
      <c r="M333" s="180" t="s">
        <v>497</v>
      </c>
      <c r="N333" s="181" t="s">
        <v>494</v>
      </c>
      <c r="O333" s="182" t="s">
        <v>498</v>
      </c>
    </row>
    <row r="334" spans="2:15">
      <c r="B334" s="174" t="s">
        <v>1837</v>
      </c>
      <c r="C334" s="175" t="s">
        <v>493</v>
      </c>
      <c r="D334" s="176" t="s">
        <v>494</v>
      </c>
      <c r="E334" s="177" t="s">
        <v>1838</v>
      </c>
      <c r="F334" s="175">
        <f t="shared" si="11"/>
        <v>12</v>
      </c>
      <c r="G334" s="175" t="str">
        <f t="shared" si="12"/>
        <v>Tuscaloosa</v>
      </c>
      <c r="H334" s="175"/>
      <c r="I334" s="178" t="s">
        <v>1406</v>
      </c>
      <c r="J334" s="27" t="s">
        <v>1407</v>
      </c>
      <c r="K334" s="27">
        <v>2138</v>
      </c>
      <c r="L334" s="179">
        <v>2444</v>
      </c>
      <c r="M334" s="180" t="s">
        <v>497</v>
      </c>
      <c r="N334" s="181" t="s">
        <v>494</v>
      </c>
      <c r="O334" s="182" t="s">
        <v>498</v>
      </c>
    </row>
    <row r="335" spans="2:15">
      <c r="B335" s="174" t="s">
        <v>100</v>
      </c>
      <c r="C335" s="175" t="s">
        <v>493</v>
      </c>
      <c r="D335" s="176" t="s">
        <v>494</v>
      </c>
      <c r="E335" s="177" t="s">
        <v>101</v>
      </c>
      <c r="F335" s="175">
        <f t="shared" si="11"/>
        <v>8</v>
      </c>
      <c r="G335" s="175" t="str">
        <f t="shared" si="12"/>
        <v>Jasper</v>
      </c>
      <c r="H335" s="175"/>
      <c r="I335" s="178" t="s">
        <v>2459</v>
      </c>
      <c r="J335" s="27" t="s">
        <v>494</v>
      </c>
      <c r="K335" s="27">
        <v>1651</v>
      </c>
      <c r="L335" s="179">
        <v>3323</v>
      </c>
      <c r="M335" s="180" t="s">
        <v>1758</v>
      </c>
      <c r="N335" s="181" t="s">
        <v>494</v>
      </c>
      <c r="O335" s="182" t="s">
        <v>1759</v>
      </c>
    </row>
    <row r="336" spans="2:15">
      <c r="B336" s="174" t="s">
        <v>1756</v>
      </c>
      <c r="C336" s="175" t="s">
        <v>493</v>
      </c>
      <c r="D336" s="176" t="s">
        <v>494</v>
      </c>
      <c r="E336" s="177" t="s">
        <v>1757</v>
      </c>
      <c r="F336" s="175">
        <f t="shared" si="11"/>
        <v>18</v>
      </c>
      <c r="G336" s="175" t="str">
        <f t="shared" si="12"/>
        <v>Decatur/Florence</v>
      </c>
      <c r="H336" s="175"/>
      <c r="I336" s="178" t="s">
        <v>2459</v>
      </c>
      <c r="J336" s="27" t="s">
        <v>494</v>
      </c>
      <c r="K336" s="27">
        <v>1651</v>
      </c>
      <c r="L336" s="179">
        <v>3323</v>
      </c>
      <c r="M336" s="180" t="s">
        <v>1758</v>
      </c>
      <c r="N336" s="181" t="s">
        <v>494</v>
      </c>
      <c r="O336" s="182" t="s">
        <v>1759</v>
      </c>
    </row>
    <row r="337" spans="2:15">
      <c r="B337" s="174" t="s">
        <v>773</v>
      </c>
      <c r="C337" s="175" t="s">
        <v>493</v>
      </c>
      <c r="D337" s="176" t="s">
        <v>494</v>
      </c>
      <c r="E337" s="177" t="s">
        <v>774</v>
      </c>
      <c r="F337" s="175">
        <f t="shared" si="11"/>
        <v>12</v>
      </c>
      <c r="G337" s="175" t="str">
        <f t="shared" si="12"/>
        <v>Huntsville</v>
      </c>
      <c r="H337" s="175"/>
      <c r="I337" s="178" t="s">
        <v>2463</v>
      </c>
      <c r="J337" s="27" t="s">
        <v>476</v>
      </c>
      <c r="K337" s="27">
        <v>1544</v>
      </c>
      <c r="L337" s="179">
        <v>3587</v>
      </c>
      <c r="M337" s="180" t="s">
        <v>2460</v>
      </c>
      <c r="N337" s="181" t="s">
        <v>476</v>
      </c>
      <c r="O337" s="182" t="s">
        <v>2461</v>
      </c>
    </row>
    <row r="338" spans="2:15">
      <c r="B338" s="174" t="s">
        <v>775</v>
      </c>
      <c r="C338" s="175" t="s">
        <v>493</v>
      </c>
      <c r="D338" s="176" t="s">
        <v>494</v>
      </c>
      <c r="E338" s="177" t="s">
        <v>774</v>
      </c>
      <c r="F338" s="175">
        <f t="shared" si="11"/>
        <v>12</v>
      </c>
      <c r="G338" s="175" t="str">
        <f t="shared" si="12"/>
        <v>Huntsville</v>
      </c>
      <c r="H338" s="175"/>
      <c r="I338" s="178" t="s">
        <v>2459</v>
      </c>
      <c r="J338" s="27" t="s">
        <v>494</v>
      </c>
      <c r="K338" s="27">
        <v>1651</v>
      </c>
      <c r="L338" s="179">
        <v>3323</v>
      </c>
      <c r="M338" s="180" t="s">
        <v>1758</v>
      </c>
      <c r="N338" s="181" t="s">
        <v>494</v>
      </c>
      <c r="O338" s="182" t="s">
        <v>1759</v>
      </c>
    </row>
    <row r="339" spans="2:15">
      <c r="B339" s="174" t="s">
        <v>2051</v>
      </c>
      <c r="C339" s="175" t="s">
        <v>493</v>
      </c>
      <c r="D339" s="176" t="s">
        <v>494</v>
      </c>
      <c r="E339" s="177" t="s">
        <v>2052</v>
      </c>
      <c r="F339" s="175">
        <f t="shared" si="11"/>
        <v>9</v>
      </c>
      <c r="G339" s="175" t="str">
        <f t="shared" si="12"/>
        <v>Gadsden</v>
      </c>
      <c r="H339" s="175"/>
      <c r="I339" s="178" t="s">
        <v>1604</v>
      </c>
      <c r="J339" s="27" t="s">
        <v>401</v>
      </c>
      <c r="K339" s="27">
        <v>1667</v>
      </c>
      <c r="L339" s="179">
        <v>2991</v>
      </c>
      <c r="M339" s="178" t="s">
        <v>1597</v>
      </c>
      <c r="N339" s="27" t="s">
        <v>401</v>
      </c>
      <c r="O339" s="182" t="s">
        <v>1598</v>
      </c>
    </row>
    <row r="340" spans="2:15">
      <c r="B340" s="174" t="s">
        <v>190</v>
      </c>
      <c r="C340" s="175" t="s">
        <v>493</v>
      </c>
      <c r="D340" s="176" t="s">
        <v>494</v>
      </c>
      <c r="E340" s="177" t="s">
        <v>191</v>
      </c>
      <c r="F340" s="175">
        <f t="shared" si="11"/>
        <v>12</v>
      </c>
      <c r="G340" s="175" t="str">
        <f t="shared" si="12"/>
        <v>Montgomery</v>
      </c>
      <c r="H340" s="175"/>
      <c r="I340" s="178" t="s">
        <v>403</v>
      </c>
      <c r="J340" s="27" t="s">
        <v>401</v>
      </c>
      <c r="K340" s="27">
        <v>2284</v>
      </c>
      <c r="L340" s="179">
        <v>2261</v>
      </c>
      <c r="M340" s="178" t="s">
        <v>1793</v>
      </c>
      <c r="N340" s="27" t="s">
        <v>494</v>
      </c>
      <c r="O340" s="187" t="s">
        <v>1794</v>
      </c>
    </row>
    <row r="341" spans="2:15">
      <c r="B341" s="174" t="s">
        <v>192</v>
      </c>
      <c r="C341" s="175" t="s">
        <v>493</v>
      </c>
      <c r="D341" s="176" t="s">
        <v>494</v>
      </c>
      <c r="E341" s="177" t="s">
        <v>191</v>
      </c>
      <c r="F341" s="175">
        <f t="shared" si="11"/>
        <v>12</v>
      </c>
      <c r="G341" s="175" t="str">
        <f t="shared" si="12"/>
        <v>Montgomery</v>
      </c>
      <c r="H341" s="175"/>
      <c r="I341" s="178" t="s">
        <v>1792</v>
      </c>
      <c r="J341" s="27" t="s">
        <v>494</v>
      </c>
      <c r="K341" s="27">
        <v>2212</v>
      </c>
      <c r="L341" s="179">
        <v>2224</v>
      </c>
      <c r="M341" s="178" t="s">
        <v>1793</v>
      </c>
      <c r="N341" s="27" t="s">
        <v>494</v>
      </c>
      <c r="O341" s="187" t="s">
        <v>1794</v>
      </c>
    </row>
    <row r="342" spans="2:15">
      <c r="B342" s="174" t="s">
        <v>492</v>
      </c>
      <c r="C342" s="175" t="s">
        <v>493</v>
      </c>
      <c r="D342" s="176" t="s">
        <v>494</v>
      </c>
      <c r="E342" s="177" t="s">
        <v>495</v>
      </c>
      <c r="F342" s="175">
        <f t="shared" si="11"/>
        <v>10</v>
      </c>
      <c r="G342" s="175" t="str">
        <f t="shared" si="12"/>
        <v>Anniston</v>
      </c>
      <c r="H342" s="175"/>
      <c r="I342" s="178" t="s">
        <v>496</v>
      </c>
      <c r="J342" s="27" t="s">
        <v>494</v>
      </c>
      <c r="K342" s="27">
        <v>1797</v>
      </c>
      <c r="L342" s="179">
        <v>2918</v>
      </c>
      <c r="M342" s="180" t="s">
        <v>497</v>
      </c>
      <c r="N342" s="181" t="s">
        <v>494</v>
      </c>
      <c r="O342" s="182" t="s">
        <v>498</v>
      </c>
    </row>
    <row r="343" spans="2:15">
      <c r="B343" s="174" t="s">
        <v>1790</v>
      </c>
      <c r="C343" s="175" t="s">
        <v>493</v>
      </c>
      <c r="D343" s="176" t="s">
        <v>494</v>
      </c>
      <c r="E343" s="177" t="s">
        <v>1791</v>
      </c>
      <c r="F343" s="175">
        <f t="shared" si="11"/>
        <v>8</v>
      </c>
      <c r="G343" s="175" t="str">
        <f t="shared" si="12"/>
        <v>Dothan</v>
      </c>
      <c r="H343" s="175"/>
      <c r="I343" s="178" t="s">
        <v>1792</v>
      </c>
      <c r="J343" s="27" t="s">
        <v>494</v>
      </c>
      <c r="K343" s="27">
        <v>2212</v>
      </c>
      <c r="L343" s="179">
        <v>2224</v>
      </c>
      <c r="M343" s="178" t="s">
        <v>1793</v>
      </c>
      <c r="N343" s="27" t="s">
        <v>494</v>
      </c>
      <c r="O343" s="187" t="s">
        <v>1794</v>
      </c>
    </row>
    <row r="344" spans="2:15">
      <c r="B344" s="174" t="s">
        <v>2508</v>
      </c>
      <c r="C344" s="175" t="s">
        <v>493</v>
      </c>
      <c r="D344" s="176" t="s">
        <v>494</v>
      </c>
      <c r="E344" s="177" t="s">
        <v>2509</v>
      </c>
      <c r="F344" s="175">
        <f t="shared" si="11"/>
        <v>11</v>
      </c>
      <c r="G344" s="175" t="str">
        <f t="shared" si="12"/>
        <v>Evergreen</v>
      </c>
      <c r="H344" s="175"/>
      <c r="I344" s="178" t="s">
        <v>1792</v>
      </c>
      <c r="J344" s="27" t="s">
        <v>494</v>
      </c>
      <c r="K344" s="27">
        <v>2212</v>
      </c>
      <c r="L344" s="179">
        <v>2224</v>
      </c>
      <c r="M344" s="178" t="s">
        <v>1793</v>
      </c>
      <c r="N344" s="27" t="s">
        <v>494</v>
      </c>
      <c r="O344" s="187" t="s">
        <v>1794</v>
      </c>
    </row>
    <row r="345" spans="2:15">
      <c r="B345" s="174" t="s">
        <v>178</v>
      </c>
      <c r="C345" s="175" t="s">
        <v>493</v>
      </c>
      <c r="D345" s="176" t="s">
        <v>494</v>
      </c>
      <c r="E345" s="177" t="s">
        <v>179</v>
      </c>
      <c r="F345" s="175">
        <f t="shared" si="11"/>
        <v>8</v>
      </c>
      <c r="G345" s="175" t="str">
        <f t="shared" si="12"/>
        <v>Mobile</v>
      </c>
      <c r="H345" s="175"/>
      <c r="I345" s="178" t="s">
        <v>719</v>
      </c>
      <c r="J345" s="27" t="s">
        <v>494</v>
      </c>
      <c r="K345" s="27">
        <v>2627</v>
      </c>
      <c r="L345" s="179">
        <v>1702</v>
      </c>
      <c r="M345" s="180" t="s">
        <v>720</v>
      </c>
      <c r="N345" s="181" t="s">
        <v>494</v>
      </c>
      <c r="O345" s="182" t="s">
        <v>721</v>
      </c>
    </row>
    <row r="346" spans="2:15">
      <c r="B346" s="174" t="s">
        <v>180</v>
      </c>
      <c r="C346" s="175" t="s">
        <v>493</v>
      </c>
      <c r="D346" s="176" t="s">
        <v>494</v>
      </c>
      <c r="E346" s="177" t="s">
        <v>179</v>
      </c>
      <c r="F346" s="175">
        <f t="shared" si="11"/>
        <v>8</v>
      </c>
      <c r="G346" s="175" t="str">
        <f t="shared" si="12"/>
        <v>Mobile</v>
      </c>
      <c r="H346" s="175"/>
      <c r="I346" s="178" t="s">
        <v>719</v>
      </c>
      <c r="J346" s="27" t="s">
        <v>494</v>
      </c>
      <c r="K346" s="27">
        <v>2627</v>
      </c>
      <c r="L346" s="179">
        <v>1702</v>
      </c>
      <c r="M346" s="180" t="s">
        <v>720</v>
      </c>
      <c r="N346" s="181" t="s">
        <v>494</v>
      </c>
      <c r="O346" s="182" t="s">
        <v>721</v>
      </c>
    </row>
    <row r="347" spans="2:15">
      <c r="B347" s="174" t="s">
        <v>1343</v>
      </c>
      <c r="C347" s="175" t="s">
        <v>493</v>
      </c>
      <c r="D347" s="176" t="s">
        <v>494</v>
      </c>
      <c r="E347" s="177" t="s">
        <v>1344</v>
      </c>
      <c r="F347" s="175">
        <f t="shared" si="11"/>
        <v>7</v>
      </c>
      <c r="G347" s="175" t="str">
        <f t="shared" si="12"/>
        <v>Selma</v>
      </c>
      <c r="H347" s="175"/>
      <c r="I347" s="178" t="s">
        <v>1792</v>
      </c>
      <c r="J347" s="27" t="s">
        <v>494</v>
      </c>
      <c r="K347" s="27">
        <v>2212</v>
      </c>
      <c r="L347" s="179">
        <v>2224</v>
      </c>
      <c r="M347" s="178" t="s">
        <v>1793</v>
      </c>
      <c r="N347" s="27" t="s">
        <v>494</v>
      </c>
      <c r="O347" s="187" t="s">
        <v>1794</v>
      </c>
    </row>
    <row r="348" spans="2:15">
      <c r="B348" s="174" t="s">
        <v>1523</v>
      </c>
      <c r="C348" s="175" t="s">
        <v>493</v>
      </c>
      <c r="D348" s="176" t="s">
        <v>494</v>
      </c>
      <c r="E348" s="177" t="s">
        <v>1524</v>
      </c>
      <c r="F348" s="175">
        <f t="shared" si="11"/>
        <v>9</v>
      </c>
      <c r="G348" s="175" t="str">
        <f t="shared" si="12"/>
        <v>Opelika</v>
      </c>
      <c r="H348" s="175"/>
      <c r="I348" s="178" t="s">
        <v>403</v>
      </c>
      <c r="J348" s="27" t="s">
        <v>401</v>
      </c>
      <c r="K348" s="27">
        <v>2284</v>
      </c>
      <c r="L348" s="179">
        <v>2261</v>
      </c>
      <c r="M348" s="180" t="s">
        <v>404</v>
      </c>
      <c r="N348" s="181" t="s">
        <v>401</v>
      </c>
      <c r="O348" s="182" t="s">
        <v>405</v>
      </c>
    </row>
    <row r="349" spans="2:15">
      <c r="B349" s="174" t="s">
        <v>1404</v>
      </c>
      <c r="C349" s="175" t="s">
        <v>493</v>
      </c>
      <c r="D349" s="176" t="s">
        <v>494</v>
      </c>
      <c r="E349" s="177" t="s">
        <v>1405</v>
      </c>
      <c r="F349" s="175">
        <f t="shared" si="11"/>
        <v>8</v>
      </c>
      <c r="G349" s="175" t="str">
        <f t="shared" si="12"/>
        <v>Butler</v>
      </c>
      <c r="H349" s="175"/>
      <c r="I349" s="178" t="s">
        <v>1406</v>
      </c>
      <c r="J349" s="27" t="s">
        <v>1407</v>
      </c>
      <c r="K349" s="27">
        <v>2138</v>
      </c>
      <c r="L349" s="179">
        <v>2444</v>
      </c>
      <c r="M349" s="180" t="s">
        <v>1408</v>
      </c>
      <c r="N349" s="181" t="s">
        <v>1407</v>
      </c>
      <c r="O349" s="182" t="s">
        <v>1409</v>
      </c>
    </row>
    <row r="350" spans="2:15">
      <c r="B350" s="174" t="s">
        <v>1113</v>
      </c>
      <c r="C350" s="175" t="s">
        <v>2457</v>
      </c>
      <c r="D350" s="176" t="s">
        <v>476</v>
      </c>
      <c r="E350" s="177" t="s">
        <v>1114</v>
      </c>
      <c r="F350" s="175">
        <f t="shared" si="11"/>
        <v>11</v>
      </c>
      <c r="G350" s="175" t="str">
        <f t="shared" si="12"/>
        <v>Nashville</v>
      </c>
      <c r="H350" s="175"/>
      <c r="I350" s="178" t="s">
        <v>1584</v>
      </c>
      <c r="J350" s="27" t="s">
        <v>476</v>
      </c>
      <c r="K350" s="27">
        <v>1616</v>
      </c>
      <c r="L350" s="179">
        <v>3729</v>
      </c>
      <c r="M350" s="180" t="s">
        <v>1585</v>
      </c>
      <c r="N350" s="181" t="s">
        <v>476</v>
      </c>
      <c r="O350" s="182" t="s">
        <v>577</v>
      </c>
    </row>
    <row r="351" spans="2:15">
      <c r="B351" s="174" t="s">
        <v>1115</v>
      </c>
      <c r="C351" s="175" t="s">
        <v>2457</v>
      </c>
      <c r="D351" s="176" t="s">
        <v>476</v>
      </c>
      <c r="E351" s="177" t="s">
        <v>1114</v>
      </c>
      <c r="F351" s="175">
        <f t="shared" si="11"/>
        <v>11</v>
      </c>
      <c r="G351" s="175" t="str">
        <f t="shared" si="12"/>
        <v>Nashville</v>
      </c>
      <c r="H351" s="175"/>
      <c r="I351" s="178" t="s">
        <v>1584</v>
      </c>
      <c r="J351" s="27" t="s">
        <v>476</v>
      </c>
      <c r="K351" s="27">
        <v>1616</v>
      </c>
      <c r="L351" s="179">
        <v>3729</v>
      </c>
      <c r="M351" s="180" t="s">
        <v>1585</v>
      </c>
      <c r="N351" s="181" t="s">
        <v>476</v>
      </c>
      <c r="O351" s="182" t="s">
        <v>577</v>
      </c>
    </row>
    <row r="352" spans="2:15">
      <c r="B352" s="174" t="s">
        <v>1116</v>
      </c>
      <c r="C352" s="175" t="s">
        <v>2457</v>
      </c>
      <c r="D352" s="176" t="s">
        <v>476</v>
      </c>
      <c r="E352" s="177" t="s">
        <v>1114</v>
      </c>
      <c r="F352" s="175">
        <f t="shared" si="11"/>
        <v>11</v>
      </c>
      <c r="G352" s="175" t="str">
        <f t="shared" si="12"/>
        <v>Nashville</v>
      </c>
      <c r="H352" s="175"/>
      <c r="I352" s="178" t="s">
        <v>1584</v>
      </c>
      <c r="J352" s="27" t="s">
        <v>476</v>
      </c>
      <c r="K352" s="27">
        <v>1616</v>
      </c>
      <c r="L352" s="179">
        <v>3729</v>
      </c>
      <c r="M352" s="180" t="s">
        <v>1585</v>
      </c>
      <c r="N352" s="181" t="s">
        <v>476</v>
      </c>
      <c r="O352" s="182" t="s">
        <v>577</v>
      </c>
    </row>
    <row r="353" spans="2:15">
      <c r="B353" s="174" t="s">
        <v>2456</v>
      </c>
      <c r="C353" s="175" t="s">
        <v>2457</v>
      </c>
      <c r="D353" s="176" t="s">
        <v>476</v>
      </c>
      <c r="E353" s="177" t="s">
        <v>2458</v>
      </c>
      <c r="F353" s="175">
        <f t="shared" si="11"/>
        <v>13</v>
      </c>
      <c r="G353" s="175" t="str">
        <f t="shared" si="12"/>
        <v>Chattanooga</v>
      </c>
      <c r="H353" s="175"/>
      <c r="I353" s="178" t="s">
        <v>2459</v>
      </c>
      <c r="J353" s="27" t="s">
        <v>494</v>
      </c>
      <c r="K353" s="27">
        <v>1651</v>
      </c>
      <c r="L353" s="179">
        <v>3323</v>
      </c>
      <c r="M353" s="180" t="s">
        <v>2460</v>
      </c>
      <c r="N353" s="181" t="s">
        <v>476</v>
      </c>
      <c r="O353" s="182" t="s">
        <v>2461</v>
      </c>
    </row>
    <row r="354" spans="2:15">
      <c r="B354" s="174" t="s">
        <v>2462</v>
      </c>
      <c r="C354" s="175" t="s">
        <v>2457</v>
      </c>
      <c r="D354" s="176" t="s">
        <v>476</v>
      </c>
      <c r="E354" s="177" t="s">
        <v>2458</v>
      </c>
      <c r="F354" s="175">
        <f t="shared" si="11"/>
        <v>13</v>
      </c>
      <c r="G354" s="175" t="str">
        <f t="shared" si="12"/>
        <v>Chattanooga</v>
      </c>
      <c r="H354" s="175"/>
      <c r="I354" s="178" t="s">
        <v>2463</v>
      </c>
      <c r="J354" s="27" t="s">
        <v>476</v>
      </c>
      <c r="K354" s="27">
        <v>1544</v>
      </c>
      <c r="L354" s="179">
        <v>3587</v>
      </c>
      <c r="M354" s="180" t="s">
        <v>2460</v>
      </c>
      <c r="N354" s="181" t="s">
        <v>476</v>
      </c>
      <c r="O354" s="182" t="s">
        <v>2461</v>
      </c>
    </row>
    <row r="355" spans="2:15">
      <c r="B355" s="174" t="s">
        <v>107</v>
      </c>
      <c r="C355" s="175" t="s">
        <v>2457</v>
      </c>
      <c r="D355" s="176" t="s">
        <v>476</v>
      </c>
      <c r="E355" s="177" t="s">
        <v>108</v>
      </c>
      <c r="F355" s="175">
        <f t="shared" si="11"/>
        <v>14</v>
      </c>
      <c r="G355" s="175" t="str">
        <f t="shared" si="12"/>
        <v>Johnson City</v>
      </c>
      <c r="H355" s="175"/>
      <c r="I355" s="178" t="s">
        <v>510</v>
      </c>
      <c r="J355" s="27" t="s">
        <v>476</v>
      </c>
      <c r="K355" s="27">
        <v>972</v>
      </c>
      <c r="L355" s="179">
        <v>4406</v>
      </c>
      <c r="M355" s="180" t="s">
        <v>477</v>
      </c>
      <c r="N355" s="181" t="s">
        <v>476</v>
      </c>
      <c r="O355" s="182" t="s">
        <v>478</v>
      </c>
    </row>
    <row r="356" spans="2:15">
      <c r="B356" s="174" t="s">
        <v>944</v>
      </c>
      <c r="C356" s="175" t="s">
        <v>2457</v>
      </c>
      <c r="D356" s="176" t="s">
        <v>476</v>
      </c>
      <c r="E356" s="177" t="s">
        <v>945</v>
      </c>
      <c r="F356" s="175">
        <f t="shared" si="11"/>
        <v>11</v>
      </c>
      <c r="G356" s="175" t="str">
        <f t="shared" si="12"/>
        <v>Knoxville</v>
      </c>
      <c r="H356" s="175"/>
      <c r="I356" s="178" t="s">
        <v>475</v>
      </c>
      <c r="J356" s="27" t="s">
        <v>476</v>
      </c>
      <c r="K356" s="27">
        <v>1266</v>
      </c>
      <c r="L356" s="179">
        <v>3937</v>
      </c>
      <c r="M356" s="180" t="s">
        <v>477</v>
      </c>
      <c r="N356" s="181" t="s">
        <v>476</v>
      </c>
      <c r="O356" s="182" t="s">
        <v>478</v>
      </c>
    </row>
    <row r="357" spans="2:15">
      <c r="B357" s="174" t="s">
        <v>946</v>
      </c>
      <c r="C357" s="175" t="s">
        <v>2457</v>
      </c>
      <c r="D357" s="176" t="s">
        <v>476</v>
      </c>
      <c r="E357" s="177" t="s">
        <v>945</v>
      </c>
      <c r="F357" s="175">
        <f t="shared" si="11"/>
        <v>11</v>
      </c>
      <c r="G357" s="175" t="str">
        <f t="shared" si="12"/>
        <v>Knoxville</v>
      </c>
      <c r="H357" s="175"/>
      <c r="I357" s="178" t="s">
        <v>475</v>
      </c>
      <c r="J357" s="27" t="s">
        <v>476</v>
      </c>
      <c r="K357" s="27">
        <v>1266</v>
      </c>
      <c r="L357" s="179">
        <v>3937</v>
      </c>
      <c r="M357" s="180" t="s">
        <v>477</v>
      </c>
      <c r="N357" s="181" t="s">
        <v>476</v>
      </c>
      <c r="O357" s="182" t="s">
        <v>478</v>
      </c>
    </row>
    <row r="358" spans="2:15">
      <c r="B358" s="174" t="s">
        <v>947</v>
      </c>
      <c r="C358" s="175" t="s">
        <v>2457</v>
      </c>
      <c r="D358" s="176" t="s">
        <v>476</v>
      </c>
      <c r="E358" s="177" t="s">
        <v>945</v>
      </c>
      <c r="F358" s="175">
        <f t="shared" si="11"/>
        <v>11</v>
      </c>
      <c r="G358" s="175" t="str">
        <f t="shared" si="12"/>
        <v>Knoxville</v>
      </c>
      <c r="H358" s="175"/>
      <c r="I358" s="178" t="s">
        <v>475</v>
      </c>
      <c r="J358" s="27" t="s">
        <v>476</v>
      </c>
      <c r="K358" s="27">
        <v>1266</v>
      </c>
      <c r="L358" s="179">
        <v>3937</v>
      </c>
      <c r="M358" s="180" t="s">
        <v>477</v>
      </c>
      <c r="N358" s="181" t="s">
        <v>476</v>
      </c>
      <c r="O358" s="182" t="s">
        <v>478</v>
      </c>
    </row>
    <row r="359" spans="2:15">
      <c r="B359" s="174" t="s">
        <v>1163</v>
      </c>
      <c r="C359" s="175" t="s">
        <v>2457</v>
      </c>
      <c r="D359" s="176" t="s">
        <v>476</v>
      </c>
      <c r="E359" s="177" t="s">
        <v>1164</v>
      </c>
      <c r="F359" s="175">
        <f t="shared" si="11"/>
        <v>9</v>
      </c>
      <c r="G359" s="175" t="str">
        <f t="shared" si="12"/>
        <v>Memphis</v>
      </c>
      <c r="H359" s="175"/>
      <c r="I359" s="178" t="s">
        <v>1165</v>
      </c>
      <c r="J359" s="27" t="s">
        <v>476</v>
      </c>
      <c r="K359" s="27">
        <v>2118</v>
      </c>
      <c r="L359" s="179">
        <v>3082</v>
      </c>
      <c r="M359" s="180" t="s">
        <v>1166</v>
      </c>
      <c r="N359" s="181" t="s">
        <v>476</v>
      </c>
      <c r="O359" s="182" t="s">
        <v>1254</v>
      </c>
    </row>
    <row r="360" spans="2:15">
      <c r="B360" s="174" t="s">
        <v>1255</v>
      </c>
      <c r="C360" s="175" t="s">
        <v>2457</v>
      </c>
      <c r="D360" s="176" t="s">
        <v>476</v>
      </c>
      <c r="E360" s="177" t="s">
        <v>1164</v>
      </c>
      <c r="F360" s="175">
        <f t="shared" si="11"/>
        <v>9</v>
      </c>
      <c r="G360" s="175" t="str">
        <f t="shared" si="12"/>
        <v>Memphis</v>
      </c>
      <c r="H360" s="175"/>
      <c r="I360" s="178" t="s">
        <v>1165</v>
      </c>
      <c r="J360" s="27" t="s">
        <v>476</v>
      </c>
      <c r="K360" s="27">
        <v>2118</v>
      </c>
      <c r="L360" s="179">
        <v>3082</v>
      </c>
      <c r="M360" s="180" t="s">
        <v>1166</v>
      </c>
      <c r="N360" s="181" t="s">
        <v>476</v>
      </c>
      <c r="O360" s="182" t="s">
        <v>1254</v>
      </c>
    </row>
    <row r="361" spans="2:15">
      <c r="B361" s="174" t="s">
        <v>1184</v>
      </c>
      <c r="C361" s="175" t="s">
        <v>2457</v>
      </c>
      <c r="D361" s="176" t="s">
        <v>476</v>
      </c>
      <c r="E361" s="177" t="s">
        <v>1185</v>
      </c>
      <c r="F361" s="175">
        <f t="shared" si="11"/>
        <v>11</v>
      </c>
      <c r="G361" s="175" t="str">
        <f t="shared" si="12"/>
        <v>Mc_Kenzie</v>
      </c>
      <c r="H361" s="175"/>
      <c r="I361" s="178" t="s">
        <v>1584</v>
      </c>
      <c r="J361" s="27" t="s">
        <v>476</v>
      </c>
      <c r="K361" s="27">
        <v>1616</v>
      </c>
      <c r="L361" s="179">
        <v>3729</v>
      </c>
      <c r="M361" s="180" t="s">
        <v>1585</v>
      </c>
      <c r="N361" s="181" t="s">
        <v>476</v>
      </c>
      <c r="O361" s="182" t="s">
        <v>577</v>
      </c>
    </row>
    <row r="362" spans="2:15">
      <c r="B362" s="174" t="s">
        <v>87</v>
      </c>
      <c r="C362" s="175" t="s">
        <v>2457</v>
      </c>
      <c r="D362" s="176" t="s">
        <v>476</v>
      </c>
      <c r="E362" s="177" t="s">
        <v>83</v>
      </c>
      <c r="F362" s="175">
        <f t="shared" si="11"/>
        <v>9</v>
      </c>
      <c r="G362" s="175" t="str">
        <f t="shared" si="12"/>
        <v>Jackson</v>
      </c>
      <c r="H362" s="175"/>
      <c r="I362" s="178" t="s">
        <v>2459</v>
      </c>
      <c r="J362" s="27" t="s">
        <v>494</v>
      </c>
      <c r="K362" s="27">
        <v>1651</v>
      </c>
      <c r="L362" s="179">
        <v>3323</v>
      </c>
      <c r="M362" s="180" t="s">
        <v>1758</v>
      </c>
      <c r="N362" s="181" t="s">
        <v>494</v>
      </c>
      <c r="O362" s="182" t="s">
        <v>1759</v>
      </c>
    </row>
    <row r="363" spans="2:15">
      <c r="B363" s="174" t="s">
        <v>1583</v>
      </c>
      <c r="C363" s="175" t="s">
        <v>2457</v>
      </c>
      <c r="D363" s="176" t="s">
        <v>476</v>
      </c>
      <c r="E363" s="177" t="s">
        <v>1578</v>
      </c>
      <c r="F363" s="175">
        <f t="shared" si="11"/>
        <v>10</v>
      </c>
      <c r="G363" s="175" t="str">
        <f t="shared" si="12"/>
        <v>Columbia</v>
      </c>
      <c r="H363" s="175"/>
      <c r="I363" s="178" t="s">
        <v>1584</v>
      </c>
      <c r="J363" s="27" t="s">
        <v>476</v>
      </c>
      <c r="K363" s="27">
        <v>1616</v>
      </c>
      <c r="L363" s="179">
        <v>3729</v>
      </c>
      <c r="M363" s="180" t="s">
        <v>1585</v>
      </c>
      <c r="N363" s="181" t="s">
        <v>476</v>
      </c>
      <c r="O363" s="182" t="s">
        <v>577</v>
      </c>
    </row>
    <row r="364" spans="2:15">
      <c r="B364" s="174" t="s">
        <v>1716</v>
      </c>
      <c r="C364" s="175" t="s">
        <v>2457</v>
      </c>
      <c r="D364" s="176" t="s">
        <v>476</v>
      </c>
      <c r="E364" s="177" t="s">
        <v>1717</v>
      </c>
      <c r="F364" s="175">
        <f t="shared" si="11"/>
        <v>12</v>
      </c>
      <c r="G364" s="175" t="str">
        <f t="shared" si="12"/>
        <v>Cookeville</v>
      </c>
      <c r="H364" s="175"/>
      <c r="I364" s="178" t="s">
        <v>1584</v>
      </c>
      <c r="J364" s="27" t="s">
        <v>476</v>
      </c>
      <c r="K364" s="27">
        <v>1616</v>
      </c>
      <c r="L364" s="179">
        <v>3729</v>
      </c>
      <c r="M364" s="180" t="s">
        <v>1585</v>
      </c>
      <c r="N364" s="181" t="s">
        <v>476</v>
      </c>
      <c r="O364" s="182" t="s">
        <v>577</v>
      </c>
    </row>
    <row r="365" spans="2:15">
      <c r="B365" s="174" t="s">
        <v>1535</v>
      </c>
      <c r="C365" s="175" t="s">
        <v>584</v>
      </c>
      <c r="D365" s="176" t="s">
        <v>1407</v>
      </c>
      <c r="E365" s="177" t="s">
        <v>1536</v>
      </c>
      <c r="F365" s="175">
        <f t="shared" si="11"/>
        <v>8</v>
      </c>
      <c r="G365" s="175" t="str">
        <f t="shared" si="12"/>
        <v>Oxford</v>
      </c>
      <c r="H365" s="175"/>
      <c r="I365" s="178" t="s">
        <v>1165</v>
      </c>
      <c r="J365" s="27" t="s">
        <v>476</v>
      </c>
      <c r="K365" s="27">
        <v>2118</v>
      </c>
      <c r="L365" s="179">
        <v>3082</v>
      </c>
      <c r="M365" s="180" t="s">
        <v>1166</v>
      </c>
      <c r="N365" s="181" t="s">
        <v>476</v>
      </c>
      <c r="O365" s="182" t="s">
        <v>1254</v>
      </c>
    </row>
    <row r="366" spans="2:15">
      <c r="B366" s="174" t="s">
        <v>2132</v>
      </c>
      <c r="C366" s="175" t="s">
        <v>584</v>
      </c>
      <c r="D366" s="176" t="s">
        <v>1407</v>
      </c>
      <c r="E366" s="177" t="s">
        <v>2133</v>
      </c>
      <c r="F366" s="175">
        <f t="shared" si="11"/>
        <v>12</v>
      </c>
      <c r="G366" s="175" t="str">
        <f t="shared" si="12"/>
        <v>Greenville</v>
      </c>
      <c r="H366" s="175"/>
      <c r="I366" s="178" t="s">
        <v>2134</v>
      </c>
      <c r="J366" s="27" t="s">
        <v>1407</v>
      </c>
      <c r="K366" s="27">
        <v>2215</v>
      </c>
      <c r="L366" s="179">
        <v>2467</v>
      </c>
      <c r="M366" s="180" t="s">
        <v>1408</v>
      </c>
      <c r="N366" s="181" t="s">
        <v>1407</v>
      </c>
      <c r="O366" s="182" t="s">
        <v>1409</v>
      </c>
    </row>
    <row r="367" spans="2:15">
      <c r="B367" s="174" t="s">
        <v>1834</v>
      </c>
      <c r="C367" s="175" t="s">
        <v>584</v>
      </c>
      <c r="D367" s="176" t="s">
        <v>1407</v>
      </c>
      <c r="E367" s="177" t="s">
        <v>1835</v>
      </c>
      <c r="F367" s="175">
        <f t="shared" si="11"/>
        <v>8</v>
      </c>
      <c r="G367" s="175" t="str">
        <f t="shared" si="12"/>
        <v>Tupelo</v>
      </c>
      <c r="H367" s="175"/>
      <c r="I367" s="178" t="s">
        <v>1836</v>
      </c>
      <c r="J367" s="27" t="s">
        <v>1407</v>
      </c>
      <c r="K367" s="27">
        <v>1908</v>
      </c>
      <c r="L367" s="179">
        <v>3079</v>
      </c>
      <c r="M367" s="180" t="s">
        <v>2139</v>
      </c>
      <c r="N367" s="181" t="s">
        <v>1407</v>
      </c>
      <c r="O367" s="182" t="s">
        <v>2140</v>
      </c>
    </row>
    <row r="368" spans="2:15">
      <c r="B368" s="174" t="s">
        <v>2137</v>
      </c>
      <c r="C368" s="175" t="s">
        <v>584</v>
      </c>
      <c r="D368" s="176" t="s">
        <v>1407</v>
      </c>
      <c r="E368" s="177" t="s">
        <v>2138</v>
      </c>
      <c r="F368" s="175">
        <f t="shared" si="11"/>
        <v>9</v>
      </c>
      <c r="G368" s="175" t="str">
        <f t="shared" si="12"/>
        <v>Grenada</v>
      </c>
      <c r="H368" s="175"/>
      <c r="I368" s="178" t="s">
        <v>1406</v>
      </c>
      <c r="J368" s="27" t="s">
        <v>1407</v>
      </c>
      <c r="K368" s="27">
        <v>2138</v>
      </c>
      <c r="L368" s="179">
        <v>2444</v>
      </c>
      <c r="M368" s="180" t="s">
        <v>2139</v>
      </c>
      <c r="N368" s="181" t="s">
        <v>1407</v>
      </c>
      <c r="O368" s="182" t="s">
        <v>2140</v>
      </c>
    </row>
    <row r="369" spans="2:15">
      <c r="B369" s="174" t="s">
        <v>84</v>
      </c>
      <c r="C369" s="175" t="s">
        <v>584</v>
      </c>
      <c r="D369" s="176" t="s">
        <v>1407</v>
      </c>
      <c r="E369" s="177" t="s">
        <v>83</v>
      </c>
      <c r="F369" s="175">
        <f t="shared" si="11"/>
        <v>9</v>
      </c>
      <c r="G369" s="175" t="str">
        <f t="shared" si="12"/>
        <v>Jackson</v>
      </c>
      <c r="H369" s="175"/>
      <c r="I369" s="178" t="s">
        <v>2134</v>
      </c>
      <c r="J369" s="27" t="s">
        <v>1407</v>
      </c>
      <c r="K369" s="27">
        <v>2215</v>
      </c>
      <c r="L369" s="179">
        <v>2467</v>
      </c>
      <c r="M369" s="180" t="s">
        <v>1408</v>
      </c>
      <c r="N369" s="181" t="s">
        <v>1407</v>
      </c>
      <c r="O369" s="182" t="s">
        <v>1409</v>
      </c>
    </row>
    <row r="370" spans="2:15">
      <c r="B370" s="174" t="s">
        <v>85</v>
      </c>
      <c r="C370" s="175" t="s">
        <v>584</v>
      </c>
      <c r="D370" s="176" t="s">
        <v>1407</v>
      </c>
      <c r="E370" s="177" t="s">
        <v>83</v>
      </c>
      <c r="F370" s="175">
        <f t="shared" si="11"/>
        <v>9</v>
      </c>
      <c r="G370" s="175" t="str">
        <f t="shared" si="12"/>
        <v>Jackson</v>
      </c>
      <c r="H370" s="175"/>
      <c r="I370" s="178" t="s">
        <v>2134</v>
      </c>
      <c r="J370" s="27" t="s">
        <v>1407</v>
      </c>
      <c r="K370" s="27">
        <v>2215</v>
      </c>
      <c r="L370" s="179">
        <v>2467</v>
      </c>
      <c r="M370" s="180" t="s">
        <v>1408</v>
      </c>
      <c r="N370" s="181" t="s">
        <v>1407</v>
      </c>
      <c r="O370" s="182" t="s">
        <v>1409</v>
      </c>
    </row>
    <row r="371" spans="2:15">
      <c r="B371" s="174" t="s">
        <v>86</v>
      </c>
      <c r="C371" s="175" t="s">
        <v>584</v>
      </c>
      <c r="D371" s="176" t="s">
        <v>1407</v>
      </c>
      <c r="E371" s="177" t="s">
        <v>83</v>
      </c>
      <c r="F371" s="175">
        <f t="shared" si="11"/>
        <v>9</v>
      </c>
      <c r="G371" s="175" t="str">
        <f t="shared" si="12"/>
        <v>Jackson</v>
      </c>
      <c r="H371" s="175"/>
      <c r="I371" s="178" t="s">
        <v>2134</v>
      </c>
      <c r="J371" s="27" t="s">
        <v>1407</v>
      </c>
      <c r="K371" s="27">
        <v>2215</v>
      </c>
      <c r="L371" s="179">
        <v>2467</v>
      </c>
      <c r="M371" s="180" t="s">
        <v>1408</v>
      </c>
      <c r="N371" s="181" t="s">
        <v>1407</v>
      </c>
      <c r="O371" s="182" t="s">
        <v>1409</v>
      </c>
    </row>
    <row r="372" spans="2:15">
      <c r="B372" s="174" t="s">
        <v>1258</v>
      </c>
      <c r="C372" s="175" t="s">
        <v>584</v>
      </c>
      <c r="D372" s="176" t="s">
        <v>1407</v>
      </c>
      <c r="E372" s="177" t="s">
        <v>143</v>
      </c>
      <c r="F372" s="175">
        <f t="shared" si="11"/>
        <v>10</v>
      </c>
      <c r="G372" s="175" t="str">
        <f t="shared" si="12"/>
        <v>Meridian</v>
      </c>
      <c r="H372" s="175"/>
      <c r="I372" s="178" t="s">
        <v>1406</v>
      </c>
      <c r="J372" s="27" t="s">
        <v>1407</v>
      </c>
      <c r="K372" s="27">
        <v>2138</v>
      </c>
      <c r="L372" s="179">
        <v>2444</v>
      </c>
      <c r="M372" s="180" t="s">
        <v>1408</v>
      </c>
      <c r="N372" s="181" t="s">
        <v>1407</v>
      </c>
      <c r="O372" s="182" t="s">
        <v>1409</v>
      </c>
    </row>
    <row r="373" spans="2:15">
      <c r="B373" s="174" t="s">
        <v>717</v>
      </c>
      <c r="C373" s="175" t="s">
        <v>584</v>
      </c>
      <c r="D373" s="176" t="s">
        <v>1407</v>
      </c>
      <c r="E373" s="177" t="s">
        <v>718</v>
      </c>
      <c r="F373" s="175">
        <f t="shared" si="11"/>
        <v>13</v>
      </c>
      <c r="G373" s="175" t="str">
        <f t="shared" si="12"/>
        <v>Hattiesburg</v>
      </c>
      <c r="H373" s="175"/>
      <c r="I373" s="178" t="s">
        <v>719</v>
      </c>
      <c r="J373" s="27" t="s">
        <v>494</v>
      </c>
      <c r="K373" s="27">
        <v>2627</v>
      </c>
      <c r="L373" s="179">
        <v>1702</v>
      </c>
      <c r="M373" s="180" t="s">
        <v>720</v>
      </c>
      <c r="N373" s="181" t="s">
        <v>494</v>
      </c>
      <c r="O373" s="182" t="s">
        <v>721</v>
      </c>
    </row>
    <row r="374" spans="2:15">
      <c r="B374" s="174" t="s">
        <v>2141</v>
      </c>
      <c r="C374" s="175" t="s">
        <v>584</v>
      </c>
      <c r="D374" s="176" t="s">
        <v>1407</v>
      </c>
      <c r="E374" s="177" t="s">
        <v>2142</v>
      </c>
      <c r="F374" s="175">
        <f t="shared" si="11"/>
        <v>10</v>
      </c>
      <c r="G374" s="175" t="str">
        <f t="shared" si="12"/>
        <v>Gulfport</v>
      </c>
      <c r="H374" s="175"/>
      <c r="I374" s="178" t="s">
        <v>2143</v>
      </c>
      <c r="J374" s="27" t="s">
        <v>282</v>
      </c>
      <c r="K374" s="27">
        <v>2655</v>
      </c>
      <c r="L374" s="179">
        <v>1513</v>
      </c>
      <c r="M374" s="180" t="s">
        <v>2144</v>
      </c>
      <c r="N374" s="181" t="s">
        <v>282</v>
      </c>
      <c r="O374" s="182" t="s">
        <v>2145</v>
      </c>
    </row>
    <row r="375" spans="2:15">
      <c r="B375" s="174" t="s">
        <v>1152</v>
      </c>
      <c r="C375" s="175" t="s">
        <v>584</v>
      </c>
      <c r="D375" s="176" t="s">
        <v>1407</v>
      </c>
      <c r="E375" s="177" t="s">
        <v>1153</v>
      </c>
      <c r="F375" s="175">
        <f t="shared" si="11"/>
        <v>8</v>
      </c>
      <c r="G375" s="175" t="str">
        <f t="shared" si="12"/>
        <v>McComb</v>
      </c>
      <c r="H375" s="175"/>
      <c r="I375" s="178" t="s">
        <v>2134</v>
      </c>
      <c r="J375" s="27" t="s">
        <v>1407</v>
      </c>
      <c r="K375" s="27">
        <v>2215</v>
      </c>
      <c r="L375" s="179">
        <v>2467</v>
      </c>
      <c r="M375" s="180" t="s">
        <v>1408</v>
      </c>
      <c r="N375" s="181" t="s">
        <v>1407</v>
      </c>
      <c r="O375" s="182" t="s">
        <v>1409</v>
      </c>
    </row>
    <row r="376" spans="2:15">
      <c r="B376" s="174" t="s">
        <v>583</v>
      </c>
      <c r="C376" s="175" t="s">
        <v>584</v>
      </c>
      <c r="D376" s="176" t="s">
        <v>1407</v>
      </c>
      <c r="E376" s="177" t="s">
        <v>579</v>
      </c>
      <c r="F376" s="175">
        <f t="shared" si="11"/>
        <v>10</v>
      </c>
      <c r="G376" s="175" t="str">
        <f t="shared" si="12"/>
        <v>Columbus</v>
      </c>
      <c r="H376" s="175"/>
      <c r="I376" s="178" t="s">
        <v>496</v>
      </c>
      <c r="J376" s="27" t="s">
        <v>494</v>
      </c>
      <c r="K376" s="27">
        <v>1797</v>
      </c>
      <c r="L376" s="179">
        <v>2918</v>
      </c>
      <c r="M376" s="180" t="s">
        <v>497</v>
      </c>
      <c r="N376" s="181" t="s">
        <v>494</v>
      </c>
      <c r="O376" s="182" t="s">
        <v>498</v>
      </c>
    </row>
    <row r="377" spans="2:15">
      <c r="B377" s="174" t="s">
        <v>2211</v>
      </c>
      <c r="C377" s="175" t="s">
        <v>516</v>
      </c>
      <c r="D377" s="176" t="s">
        <v>517</v>
      </c>
      <c r="E377" s="177" t="s">
        <v>2212</v>
      </c>
      <c r="F377" s="175">
        <f t="shared" si="11"/>
        <v>12</v>
      </c>
      <c r="G377" s="175" t="str">
        <f t="shared" si="12"/>
        <v>Louisville</v>
      </c>
      <c r="H377" s="175"/>
      <c r="I377" s="178" t="s">
        <v>616</v>
      </c>
      <c r="J377" s="27" t="s">
        <v>517</v>
      </c>
      <c r="K377" s="27">
        <v>1288</v>
      </c>
      <c r="L377" s="179">
        <v>4514</v>
      </c>
      <c r="M377" s="180" t="s">
        <v>617</v>
      </c>
      <c r="N377" s="181" t="s">
        <v>517</v>
      </c>
      <c r="O377" s="182" t="s">
        <v>618</v>
      </c>
    </row>
    <row r="378" spans="2:15">
      <c r="B378" s="174" t="s">
        <v>2213</v>
      </c>
      <c r="C378" s="175" t="s">
        <v>516</v>
      </c>
      <c r="D378" s="176" t="s">
        <v>517</v>
      </c>
      <c r="E378" s="177" t="s">
        <v>2212</v>
      </c>
      <c r="F378" s="175">
        <f t="shared" si="11"/>
        <v>12</v>
      </c>
      <c r="G378" s="175" t="str">
        <f t="shared" si="12"/>
        <v>Louisville</v>
      </c>
      <c r="H378" s="175"/>
      <c r="I378" s="178" t="s">
        <v>616</v>
      </c>
      <c r="J378" s="27" t="s">
        <v>517</v>
      </c>
      <c r="K378" s="27">
        <v>1288</v>
      </c>
      <c r="L378" s="179">
        <v>4514</v>
      </c>
      <c r="M378" s="180" t="s">
        <v>617</v>
      </c>
      <c r="N378" s="181" t="s">
        <v>517</v>
      </c>
      <c r="O378" s="182" t="s">
        <v>618</v>
      </c>
    </row>
    <row r="379" spans="2:15">
      <c r="B379" s="174" t="s">
        <v>2214</v>
      </c>
      <c r="C379" s="175" t="s">
        <v>516</v>
      </c>
      <c r="D379" s="176" t="s">
        <v>517</v>
      </c>
      <c r="E379" s="177" t="s">
        <v>2212</v>
      </c>
      <c r="F379" s="175">
        <f t="shared" si="11"/>
        <v>12</v>
      </c>
      <c r="G379" s="175" t="str">
        <f t="shared" si="12"/>
        <v>Louisville</v>
      </c>
      <c r="H379" s="175"/>
      <c r="I379" s="178" t="s">
        <v>616</v>
      </c>
      <c r="J379" s="27" t="s">
        <v>517</v>
      </c>
      <c r="K379" s="27">
        <v>1288</v>
      </c>
      <c r="L379" s="179">
        <v>4514</v>
      </c>
      <c r="M379" s="180" t="s">
        <v>617</v>
      </c>
      <c r="N379" s="181" t="s">
        <v>517</v>
      </c>
      <c r="O379" s="182" t="s">
        <v>618</v>
      </c>
    </row>
    <row r="380" spans="2:15">
      <c r="B380" s="174" t="s">
        <v>2180</v>
      </c>
      <c r="C380" s="175" t="s">
        <v>516</v>
      </c>
      <c r="D380" s="176" t="s">
        <v>517</v>
      </c>
      <c r="E380" s="177" t="s">
        <v>2181</v>
      </c>
      <c r="F380" s="175">
        <f t="shared" si="11"/>
        <v>11</v>
      </c>
      <c r="G380" s="175" t="str">
        <f t="shared" si="12"/>
        <v>Lexington</v>
      </c>
      <c r="H380" s="175"/>
      <c r="I380" s="178" t="s">
        <v>1586</v>
      </c>
      <c r="J380" s="27" t="s">
        <v>517</v>
      </c>
      <c r="K380" s="27">
        <v>1140</v>
      </c>
      <c r="L380" s="179">
        <v>4783</v>
      </c>
      <c r="M380" s="180" t="s">
        <v>1587</v>
      </c>
      <c r="N380" s="181" t="s">
        <v>517</v>
      </c>
      <c r="O380" s="182" t="s">
        <v>1588</v>
      </c>
    </row>
    <row r="381" spans="2:15">
      <c r="B381" s="174" t="s">
        <v>2182</v>
      </c>
      <c r="C381" s="175" t="s">
        <v>516</v>
      </c>
      <c r="D381" s="176" t="s">
        <v>517</v>
      </c>
      <c r="E381" s="177" t="s">
        <v>2181</v>
      </c>
      <c r="F381" s="175">
        <f t="shared" si="11"/>
        <v>11</v>
      </c>
      <c r="G381" s="175" t="str">
        <f t="shared" si="12"/>
        <v>Lexington</v>
      </c>
      <c r="H381" s="175"/>
      <c r="I381" s="178" t="s">
        <v>1586</v>
      </c>
      <c r="J381" s="27" t="s">
        <v>517</v>
      </c>
      <c r="K381" s="27">
        <v>1140</v>
      </c>
      <c r="L381" s="179">
        <v>4783</v>
      </c>
      <c r="M381" s="180" t="s">
        <v>1587</v>
      </c>
      <c r="N381" s="181" t="s">
        <v>517</v>
      </c>
      <c r="O381" s="182" t="s">
        <v>1588</v>
      </c>
    </row>
    <row r="382" spans="2:15">
      <c r="B382" s="174" t="s">
        <v>2183</v>
      </c>
      <c r="C382" s="175" t="s">
        <v>516</v>
      </c>
      <c r="D382" s="176" t="s">
        <v>517</v>
      </c>
      <c r="E382" s="177" t="s">
        <v>2181</v>
      </c>
      <c r="F382" s="175">
        <f t="shared" si="11"/>
        <v>11</v>
      </c>
      <c r="G382" s="175" t="str">
        <f t="shared" si="12"/>
        <v>Lexington</v>
      </c>
      <c r="H382" s="175"/>
      <c r="I382" s="178" t="s">
        <v>1586</v>
      </c>
      <c r="J382" s="27" t="s">
        <v>517</v>
      </c>
      <c r="K382" s="27">
        <v>1140</v>
      </c>
      <c r="L382" s="179">
        <v>4783</v>
      </c>
      <c r="M382" s="180" t="s">
        <v>1587</v>
      </c>
      <c r="N382" s="181" t="s">
        <v>517</v>
      </c>
      <c r="O382" s="182" t="s">
        <v>1588</v>
      </c>
    </row>
    <row r="383" spans="2:15">
      <c r="B383" s="174" t="s">
        <v>2041</v>
      </c>
      <c r="C383" s="175" t="s">
        <v>516</v>
      </c>
      <c r="D383" s="176" t="s">
        <v>517</v>
      </c>
      <c r="E383" s="177" t="s">
        <v>2042</v>
      </c>
      <c r="F383" s="175">
        <f t="shared" si="11"/>
        <v>11</v>
      </c>
      <c r="G383" s="175" t="str">
        <f t="shared" si="12"/>
        <v>Frankfort</v>
      </c>
      <c r="H383" s="175"/>
      <c r="I383" s="178" t="s">
        <v>1586</v>
      </c>
      <c r="J383" s="27" t="s">
        <v>517</v>
      </c>
      <c r="K383" s="27">
        <v>1140</v>
      </c>
      <c r="L383" s="179">
        <v>4783</v>
      </c>
      <c r="M383" s="180" t="s">
        <v>1587</v>
      </c>
      <c r="N383" s="181" t="s">
        <v>517</v>
      </c>
      <c r="O383" s="182" t="s">
        <v>1588</v>
      </c>
    </row>
    <row r="384" spans="2:15">
      <c r="B384" s="174" t="s">
        <v>1718</v>
      </c>
      <c r="C384" s="175" t="s">
        <v>516</v>
      </c>
      <c r="D384" s="176" t="s">
        <v>517</v>
      </c>
      <c r="E384" s="177" t="s">
        <v>1719</v>
      </c>
      <c r="F384" s="175">
        <f t="shared" si="11"/>
        <v>8</v>
      </c>
      <c r="G384" s="175" t="str">
        <f t="shared" si="12"/>
        <v>Corbin</v>
      </c>
      <c r="H384" s="175"/>
      <c r="I384" s="178" t="s">
        <v>475</v>
      </c>
      <c r="J384" s="27" t="s">
        <v>476</v>
      </c>
      <c r="K384" s="27">
        <v>1266</v>
      </c>
      <c r="L384" s="179">
        <v>3937</v>
      </c>
      <c r="M384" s="180" t="s">
        <v>477</v>
      </c>
      <c r="N384" s="181" t="s">
        <v>476</v>
      </c>
      <c r="O384" s="182" t="s">
        <v>478</v>
      </c>
    </row>
    <row r="385" spans="2:15">
      <c r="B385" s="174" t="s">
        <v>1664</v>
      </c>
      <c r="C385" s="175" t="s">
        <v>516</v>
      </c>
      <c r="D385" s="176" t="s">
        <v>517</v>
      </c>
      <c r="E385" s="177" t="s">
        <v>1665</v>
      </c>
      <c r="F385" s="175">
        <f t="shared" si="11"/>
        <v>8</v>
      </c>
      <c r="G385" s="175" t="str">
        <f t="shared" si="12"/>
        <v>Baxter</v>
      </c>
      <c r="H385" s="175"/>
      <c r="I385" s="178" t="s">
        <v>510</v>
      </c>
      <c r="J385" s="27" t="s">
        <v>476</v>
      </c>
      <c r="K385" s="27">
        <v>972</v>
      </c>
      <c r="L385" s="179">
        <v>4406</v>
      </c>
      <c r="M385" s="180" t="s">
        <v>477</v>
      </c>
      <c r="N385" s="181" t="s">
        <v>476</v>
      </c>
      <c r="O385" s="182" t="s">
        <v>478</v>
      </c>
    </row>
    <row r="386" spans="2:15">
      <c r="B386" s="174" t="s">
        <v>149</v>
      </c>
      <c r="C386" s="175" t="s">
        <v>516</v>
      </c>
      <c r="D386" s="176" t="s">
        <v>517</v>
      </c>
      <c r="E386" s="177" t="s">
        <v>150</v>
      </c>
      <c r="F386" s="175">
        <f t="shared" si="11"/>
        <v>13</v>
      </c>
      <c r="G386" s="175" t="str">
        <f t="shared" si="12"/>
        <v>Middlesboro</v>
      </c>
      <c r="H386" s="175"/>
      <c r="I386" s="178" t="s">
        <v>510</v>
      </c>
      <c r="J386" s="27" t="s">
        <v>476</v>
      </c>
      <c r="K386" s="27">
        <v>972</v>
      </c>
      <c r="L386" s="179">
        <v>4406</v>
      </c>
      <c r="M386" s="180" t="s">
        <v>477</v>
      </c>
      <c r="N386" s="181" t="s">
        <v>476</v>
      </c>
      <c r="O386" s="182" t="s">
        <v>478</v>
      </c>
    </row>
    <row r="387" spans="2:15">
      <c r="B387" s="174" t="s">
        <v>1144</v>
      </c>
      <c r="C387" s="175" t="s">
        <v>516</v>
      </c>
      <c r="D387" s="176" t="s">
        <v>517</v>
      </c>
      <c r="E387" s="177" t="s">
        <v>132</v>
      </c>
      <c r="F387" s="175">
        <f t="shared" si="11"/>
        <v>9</v>
      </c>
      <c r="G387" s="175" t="str">
        <f t="shared" si="12"/>
        <v>Newport</v>
      </c>
      <c r="H387" s="175"/>
      <c r="I387" s="178" t="s">
        <v>2488</v>
      </c>
      <c r="J387" s="27" t="s">
        <v>517</v>
      </c>
      <c r="K387" s="27">
        <v>996</v>
      </c>
      <c r="L387" s="179">
        <v>5248</v>
      </c>
      <c r="M387" s="180" t="s">
        <v>2489</v>
      </c>
      <c r="N387" s="181" t="s">
        <v>386</v>
      </c>
      <c r="O387" s="182" t="s">
        <v>2490</v>
      </c>
    </row>
    <row r="388" spans="2:15">
      <c r="B388" s="174" t="s">
        <v>515</v>
      </c>
      <c r="C388" s="175" t="s">
        <v>516</v>
      </c>
      <c r="D388" s="176" t="s">
        <v>517</v>
      </c>
      <c r="E388" s="177" t="s">
        <v>518</v>
      </c>
      <c r="F388" s="175">
        <f t="shared" si="11"/>
        <v>9</v>
      </c>
      <c r="G388" s="175" t="str">
        <f t="shared" si="12"/>
        <v>Ashland</v>
      </c>
      <c r="H388" s="175"/>
      <c r="I388" s="178" t="s">
        <v>1586</v>
      </c>
      <c r="J388" s="27" t="s">
        <v>517</v>
      </c>
      <c r="K388" s="27">
        <v>1140</v>
      </c>
      <c r="L388" s="179">
        <v>4783</v>
      </c>
      <c r="M388" s="180" t="s">
        <v>1587</v>
      </c>
      <c r="N388" s="181" t="s">
        <v>517</v>
      </c>
      <c r="O388" s="182" t="s">
        <v>1588</v>
      </c>
    </row>
    <row r="389" spans="2:15">
      <c r="B389" s="174" t="s">
        <v>1589</v>
      </c>
      <c r="C389" s="175" t="s">
        <v>516</v>
      </c>
      <c r="D389" s="176" t="s">
        <v>517</v>
      </c>
      <c r="E389" s="177" t="s">
        <v>518</v>
      </c>
      <c r="F389" s="175">
        <f t="shared" si="11"/>
        <v>9</v>
      </c>
      <c r="G389" s="175" t="str">
        <f t="shared" si="12"/>
        <v>Ashland</v>
      </c>
      <c r="H389" s="175"/>
      <c r="I389" s="178" t="s">
        <v>1590</v>
      </c>
      <c r="J389" s="27" t="s">
        <v>1591</v>
      </c>
      <c r="K389" s="27">
        <v>1005</v>
      </c>
      <c r="L389" s="179">
        <v>4665</v>
      </c>
      <c r="M389" s="180" t="s">
        <v>1592</v>
      </c>
      <c r="N389" s="181" t="s">
        <v>1591</v>
      </c>
      <c r="O389" s="182" t="s">
        <v>1593</v>
      </c>
    </row>
    <row r="390" spans="2:15">
      <c r="B390" s="174" t="s">
        <v>1428</v>
      </c>
      <c r="C390" s="175" t="s">
        <v>516</v>
      </c>
      <c r="D390" s="176" t="s">
        <v>517</v>
      </c>
      <c r="E390" s="177" t="s">
        <v>1429</v>
      </c>
      <c r="F390" s="175">
        <f t="shared" si="11"/>
        <v>9</v>
      </c>
      <c r="G390" s="175" t="str">
        <f t="shared" si="12"/>
        <v>Campton</v>
      </c>
      <c r="H390" s="175"/>
      <c r="I390" s="178" t="s">
        <v>1430</v>
      </c>
      <c r="J390" s="27" t="s">
        <v>517</v>
      </c>
      <c r="K390" s="27">
        <v>1033</v>
      </c>
      <c r="L390" s="179">
        <v>4393</v>
      </c>
      <c r="M390" s="180" t="s">
        <v>1587</v>
      </c>
      <c r="N390" s="181" t="s">
        <v>517</v>
      </c>
      <c r="O390" s="182" t="s">
        <v>1588</v>
      </c>
    </row>
    <row r="391" spans="2:15">
      <c r="B391" s="174" t="s">
        <v>1431</v>
      </c>
      <c r="C391" s="175" t="s">
        <v>516</v>
      </c>
      <c r="D391" s="176" t="s">
        <v>517</v>
      </c>
      <c r="E391" s="177" t="s">
        <v>1429</v>
      </c>
      <c r="F391" s="175">
        <f t="shared" si="11"/>
        <v>9</v>
      </c>
      <c r="G391" s="175" t="str">
        <f t="shared" si="12"/>
        <v>Campton</v>
      </c>
      <c r="H391" s="175"/>
      <c r="I391" s="178" t="s">
        <v>1586</v>
      </c>
      <c r="J391" s="27" t="s">
        <v>517</v>
      </c>
      <c r="K391" s="27">
        <v>1140</v>
      </c>
      <c r="L391" s="179">
        <v>4783</v>
      </c>
      <c r="M391" s="180" t="s">
        <v>1587</v>
      </c>
      <c r="N391" s="181" t="s">
        <v>517</v>
      </c>
      <c r="O391" s="182" t="s">
        <v>1588</v>
      </c>
    </row>
    <row r="392" spans="2:15">
      <c r="B392" s="174" t="s">
        <v>2535</v>
      </c>
      <c r="C392" s="175" t="s">
        <v>516</v>
      </c>
      <c r="D392" s="176" t="s">
        <v>517</v>
      </c>
      <c r="E392" s="177" t="s">
        <v>2536</v>
      </c>
      <c r="F392" s="175">
        <f t="shared" si="11"/>
        <v>11</v>
      </c>
      <c r="G392" s="175" t="str">
        <f t="shared" si="12"/>
        <v>Pikeville</v>
      </c>
      <c r="H392" s="175"/>
      <c r="I392" s="178" t="s">
        <v>1380</v>
      </c>
      <c r="J392" s="27" t="s">
        <v>1591</v>
      </c>
      <c r="K392" s="27">
        <v>1031</v>
      </c>
      <c r="L392" s="179">
        <v>4646</v>
      </c>
      <c r="M392" s="180" t="s">
        <v>1592</v>
      </c>
      <c r="N392" s="181" t="s">
        <v>1591</v>
      </c>
      <c r="O392" s="182" t="s">
        <v>1593</v>
      </c>
    </row>
    <row r="393" spans="2:15">
      <c r="B393" s="174" t="s">
        <v>2537</v>
      </c>
      <c r="C393" s="175" t="s">
        <v>516</v>
      </c>
      <c r="D393" s="176" t="s">
        <v>517</v>
      </c>
      <c r="E393" s="177" t="s">
        <v>2536</v>
      </c>
      <c r="F393" s="175">
        <f t="shared" si="11"/>
        <v>11</v>
      </c>
      <c r="G393" s="175" t="str">
        <f t="shared" si="12"/>
        <v>Pikeville</v>
      </c>
      <c r="H393" s="175"/>
      <c r="I393" s="178" t="s">
        <v>1590</v>
      </c>
      <c r="J393" s="27" t="s">
        <v>1591</v>
      </c>
      <c r="K393" s="27">
        <v>1005</v>
      </c>
      <c r="L393" s="179">
        <v>4665</v>
      </c>
      <c r="M393" s="180" t="s">
        <v>1592</v>
      </c>
      <c r="N393" s="181" t="s">
        <v>1591</v>
      </c>
      <c r="O393" s="182" t="s">
        <v>1593</v>
      </c>
    </row>
    <row r="394" spans="2:15">
      <c r="B394" s="174" t="s">
        <v>726</v>
      </c>
      <c r="C394" s="175" t="s">
        <v>516</v>
      </c>
      <c r="D394" s="176" t="s">
        <v>517</v>
      </c>
      <c r="E394" s="177" t="s">
        <v>727</v>
      </c>
      <c r="F394" s="175">
        <f t="shared" ref="F394:F457" si="13">LEN(E394)</f>
        <v>8</v>
      </c>
      <c r="G394" s="175" t="str">
        <f t="shared" ref="G394:G457" si="14">MID(E394,2,F394-2)</f>
        <v>Hazard</v>
      </c>
      <c r="H394" s="175"/>
      <c r="I394" s="178" t="s">
        <v>1590</v>
      </c>
      <c r="J394" s="27" t="s">
        <v>1591</v>
      </c>
      <c r="K394" s="27">
        <v>1005</v>
      </c>
      <c r="L394" s="179">
        <v>4665</v>
      </c>
      <c r="M394" s="180" t="s">
        <v>1592</v>
      </c>
      <c r="N394" s="181" t="s">
        <v>1591</v>
      </c>
      <c r="O394" s="182" t="s">
        <v>1593</v>
      </c>
    </row>
    <row r="395" spans="2:15">
      <c r="B395" s="174" t="s">
        <v>728</v>
      </c>
      <c r="C395" s="175" t="s">
        <v>516</v>
      </c>
      <c r="D395" s="176" t="s">
        <v>517</v>
      </c>
      <c r="E395" s="177" t="s">
        <v>727</v>
      </c>
      <c r="F395" s="175">
        <f t="shared" si="13"/>
        <v>8</v>
      </c>
      <c r="G395" s="175" t="str">
        <f t="shared" si="14"/>
        <v>Hazard</v>
      </c>
      <c r="H395" s="175"/>
      <c r="I395" s="178" t="s">
        <v>1590</v>
      </c>
      <c r="J395" s="27" t="s">
        <v>1591</v>
      </c>
      <c r="K395" s="27">
        <v>1005</v>
      </c>
      <c r="L395" s="179">
        <v>4665</v>
      </c>
      <c r="M395" s="180" t="s">
        <v>1592</v>
      </c>
      <c r="N395" s="181" t="s">
        <v>1591</v>
      </c>
      <c r="O395" s="182" t="s">
        <v>1593</v>
      </c>
    </row>
    <row r="396" spans="2:15">
      <c r="B396" s="174" t="s">
        <v>1537</v>
      </c>
      <c r="C396" s="175" t="s">
        <v>516</v>
      </c>
      <c r="D396" s="176" t="s">
        <v>517</v>
      </c>
      <c r="E396" s="177" t="s">
        <v>1538</v>
      </c>
      <c r="F396" s="175">
        <f t="shared" si="13"/>
        <v>9</v>
      </c>
      <c r="G396" s="175" t="str">
        <f t="shared" si="14"/>
        <v>Paducah</v>
      </c>
      <c r="H396" s="175"/>
      <c r="I396" s="178" t="s">
        <v>1539</v>
      </c>
      <c r="J396" s="27" t="s">
        <v>517</v>
      </c>
      <c r="K396" s="27">
        <v>1475</v>
      </c>
      <c r="L396" s="179">
        <v>4279</v>
      </c>
      <c r="M396" s="180" t="s">
        <v>1540</v>
      </c>
      <c r="N396" s="181" t="s">
        <v>517</v>
      </c>
      <c r="O396" s="182" t="s">
        <v>2385</v>
      </c>
    </row>
    <row r="397" spans="2:15">
      <c r="B397" s="174" t="s">
        <v>614</v>
      </c>
      <c r="C397" s="175" t="s">
        <v>516</v>
      </c>
      <c r="D397" s="176" t="s">
        <v>517</v>
      </c>
      <c r="E397" s="177" t="s">
        <v>615</v>
      </c>
      <c r="F397" s="175">
        <f t="shared" si="13"/>
        <v>15</v>
      </c>
      <c r="G397" s="175" t="str">
        <f t="shared" si="14"/>
        <v>Bowling Green</v>
      </c>
      <c r="H397" s="175"/>
      <c r="I397" s="178" t="s">
        <v>616</v>
      </c>
      <c r="J397" s="27" t="s">
        <v>517</v>
      </c>
      <c r="K397" s="27">
        <v>1288</v>
      </c>
      <c r="L397" s="179">
        <v>4514</v>
      </c>
      <c r="M397" s="180" t="s">
        <v>617</v>
      </c>
      <c r="N397" s="181" t="s">
        <v>517</v>
      </c>
      <c r="O397" s="182" t="s">
        <v>618</v>
      </c>
    </row>
    <row r="398" spans="2:15">
      <c r="B398" s="174" t="s">
        <v>324</v>
      </c>
      <c r="C398" s="175" t="s">
        <v>516</v>
      </c>
      <c r="D398" s="176" t="s">
        <v>517</v>
      </c>
      <c r="E398" s="177" t="s">
        <v>323</v>
      </c>
      <c r="F398" s="175">
        <f t="shared" si="13"/>
        <v>14</v>
      </c>
      <c r="G398" s="175" t="str">
        <f t="shared" si="14"/>
        <v>Russellville</v>
      </c>
      <c r="H398" s="175"/>
      <c r="I398" s="178" t="s">
        <v>616</v>
      </c>
      <c r="J398" s="27" t="s">
        <v>517</v>
      </c>
      <c r="K398" s="27">
        <v>1288</v>
      </c>
      <c r="L398" s="179">
        <v>4514</v>
      </c>
      <c r="M398" s="180" t="s">
        <v>617</v>
      </c>
      <c r="N398" s="181" t="s">
        <v>517</v>
      </c>
      <c r="O398" s="182" t="s">
        <v>618</v>
      </c>
    </row>
    <row r="399" spans="2:15">
      <c r="B399" s="174" t="s">
        <v>1533</v>
      </c>
      <c r="C399" s="175" t="s">
        <v>516</v>
      </c>
      <c r="D399" s="176" t="s">
        <v>517</v>
      </c>
      <c r="E399" s="177" t="s">
        <v>1534</v>
      </c>
      <c r="F399" s="175">
        <f t="shared" si="13"/>
        <v>11</v>
      </c>
      <c r="G399" s="175" t="str">
        <f t="shared" si="14"/>
        <v>Owensboro</v>
      </c>
      <c r="H399" s="175"/>
      <c r="I399" s="178" t="s">
        <v>1584</v>
      </c>
      <c r="J399" s="27" t="s">
        <v>476</v>
      </c>
      <c r="K399" s="27">
        <v>1616</v>
      </c>
      <c r="L399" s="179">
        <v>3729</v>
      </c>
      <c r="M399" s="180" t="s">
        <v>1585</v>
      </c>
      <c r="N399" s="181" t="s">
        <v>476</v>
      </c>
      <c r="O399" s="182" t="s">
        <v>577</v>
      </c>
    </row>
    <row r="400" spans="2:15">
      <c r="B400" s="174" t="s">
        <v>735</v>
      </c>
      <c r="C400" s="175" t="s">
        <v>516</v>
      </c>
      <c r="D400" s="176" t="s">
        <v>517</v>
      </c>
      <c r="E400" s="177" t="s">
        <v>736</v>
      </c>
      <c r="F400" s="175">
        <f t="shared" si="13"/>
        <v>11</v>
      </c>
      <c r="G400" s="175" t="str">
        <f t="shared" si="14"/>
        <v>Henderson</v>
      </c>
      <c r="H400" s="175"/>
      <c r="I400" s="178" t="s">
        <v>1446</v>
      </c>
      <c r="J400" s="27" t="s">
        <v>2364</v>
      </c>
      <c r="K400" s="27">
        <v>1376</v>
      </c>
      <c r="L400" s="179">
        <v>4708</v>
      </c>
      <c r="M400" s="178" t="s">
        <v>1447</v>
      </c>
      <c r="N400" s="27" t="s">
        <v>2364</v>
      </c>
      <c r="O400" s="182" t="s">
        <v>1448</v>
      </c>
    </row>
    <row r="401" spans="2:15">
      <c r="B401" s="174" t="s">
        <v>2338</v>
      </c>
      <c r="C401" s="175" t="s">
        <v>516</v>
      </c>
      <c r="D401" s="176" t="s">
        <v>517</v>
      </c>
      <c r="E401" s="177" t="s">
        <v>2339</v>
      </c>
      <c r="F401" s="175">
        <f t="shared" si="13"/>
        <v>10</v>
      </c>
      <c r="G401" s="175" t="str">
        <f t="shared" si="14"/>
        <v>Somerset</v>
      </c>
      <c r="H401" s="175"/>
      <c r="I401" s="178" t="s">
        <v>1586</v>
      </c>
      <c r="J401" s="27" t="s">
        <v>517</v>
      </c>
      <c r="K401" s="27">
        <v>1140</v>
      </c>
      <c r="L401" s="179">
        <v>4783</v>
      </c>
      <c r="M401" s="180" t="s">
        <v>1587</v>
      </c>
      <c r="N401" s="181" t="s">
        <v>517</v>
      </c>
      <c r="O401" s="182" t="s">
        <v>1588</v>
      </c>
    </row>
    <row r="402" spans="2:15">
      <c r="B402" s="174" t="s">
        <v>2340</v>
      </c>
      <c r="C402" s="175" t="s">
        <v>516</v>
      </c>
      <c r="D402" s="176" t="s">
        <v>517</v>
      </c>
      <c r="E402" s="177" t="s">
        <v>2339</v>
      </c>
      <c r="F402" s="175">
        <f t="shared" si="13"/>
        <v>10</v>
      </c>
      <c r="G402" s="175" t="str">
        <f t="shared" si="14"/>
        <v>Somerset</v>
      </c>
      <c r="H402" s="175"/>
      <c r="I402" s="178" t="s">
        <v>1586</v>
      </c>
      <c r="J402" s="27" t="s">
        <v>517</v>
      </c>
      <c r="K402" s="27">
        <v>1140</v>
      </c>
      <c r="L402" s="179">
        <v>4783</v>
      </c>
      <c r="M402" s="180" t="s">
        <v>1587</v>
      </c>
      <c r="N402" s="181" t="s">
        <v>517</v>
      </c>
      <c r="O402" s="182" t="s">
        <v>1588</v>
      </c>
    </row>
    <row r="403" spans="2:15">
      <c r="B403" s="174" t="s">
        <v>55</v>
      </c>
      <c r="C403" s="175" t="s">
        <v>516</v>
      </c>
      <c r="D403" s="176" t="s">
        <v>517</v>
      </c>
      <c r="E403" s="177" t="s">
        <v>56</v>
      </c>
      <c r="F403" s="175">
        <f t="shared" si="13"/>
        <v>15</v>
      </c>
      <c r="G403" s="175" t="str">
        <f t="shared" si="14"/>
        <v>Elizabethtown</v>
      </c>
      <c r="H403" s="175"/>
      <c r="I403" s="178" t="s">
        <v>1584</v>
      </c>
      <c r="J403" s="27" t="s">
        <v>476</v>
      </c>
      <c r="K403" s="27">
        <v>1616</v>
      </c>
      <c r="L403" s="179">
        <v>3729</v>
      </c>
      <c r="M403" s="180" t="s">
        <v>1585</v>
      </c>
      <c r="N403" s="181" t="s">
        <v>476</v>
      </c>
      <c r="O403" s="182" t="s">
        <v>577</v>
      </c>
    </row>
    <row r="404" spans="2:15">
      <c r="B404" s="174" t="s">
        <v>589</v>
      </c>
      <c r="C404" s="175" t="s">
        <v>385</v>
      </c>
      <c r="D404" s="176" t="s">
        <v>386</v>
      </c>
      <c r="E404" s="177" t="s">
        <v>579</v>
      </c>
      <c r="F404" s="175">
        <f t="shared" si="13"/>
        <v>10</v>
      </c>
      <c r="G404" s="175" t="str">
        <f t="shared" si="14"/>
        <v>Columbus</v>
      </c>
      <c r="H404" s="175"/>
      <c r="I404" s="178" t="s">
        <v>1600</v>
      </c>
      <c r="J404" s="27" t="s">
        <v>386</v>
      </c>
      <c r="K404" s="27">
        <v>797</v>
      </c>
      <c r="L404" s="179">
        <v>5708</v>
      </c>
      <c r="M404" s="180" t="s">
        <v>404</v>
      </c>
      <c r="N404" s="181" t="s">
        <v>386</v>
      </c>
      <c r="O404" s="182" t="s">
        <v>1601</v>
      </c>
    </row>
    <row r="405" spans="2:15">
      <c r="B405" s="174" t="s">
        <v>590</v>
      </c>
      <c r="C405" s="175" t="s">
        <v>385</v>
      </c>
      <c r="D405" s="176" t="s">
        <v>386</v>
      </c>
      <c r="E405" s="177" t="s">
        <v>579</v>
      </c>
      <c r="F405" s="175">
        <f t="shared" si="13"/>
        <v>10</v>
      </c>
      <c r="G405" s="175" t="str">
        <f t="shared" si="14"/>
        <v>Columbus</v>
      </c>
      <c r="H405" s="175"/>
      <c r="I405" s="178" t="s">
        <v>1600</v>
      </c>
      <c r="J405" s="27" t="s">
        <v>386</v>
      </c>
      <c r="K405" s="27">
        <v>797</v>
      </c>
      <c r="L405" s="179">
        <v>5708</v>
      </c>
      <c r="M405" s="180" t="s">
        <v>404</v>
      </c>
      <c r="N405" s="181" t="s">
        <v>386</v>
      </c>
      <c r="O405" s="182" t="s">
        <v>1601</v>
      </c>
    </row>
    <row r="406" spans="2:15">
      <c r="B406" s="174" t="s">
        <v>591</v>
      </c>
      <c r="C406" s="175" t="s">
        <v>385</v>
      </c>
      <c r="D406" s="176" t="s">
        <v>386</v>
      </c>
      <c r="E406" s="177" t="s">
        <v>579</v>
      </c>
      <c r="F406" s="175">
        <f t="shared" si="13"/>
        <v>10</v>
      </c>
      <c r="G406" s="175" t="str">
        <f t="shared" si="14"/>
        <v>Columbus</v>
      </c>
      <c r="H406" s="175"/>
      <c r="I406" s="178" t="s">
        <v>1600</v>
      </c>
      <c r="J406" s="27" t="s">
        <v>386</v>
      </c>
      <c r="K406" s="27">
        <v>797</v>
      </c>
      <c r="L406" s="179">
        <v>5708</v>
      </c>
      <c r="M406" s="180" t="s">
        <v>404</v>
      </c>
      <c r="N406" s="181" t="s">
        <v>386</v>
      </c>
      <c r="O406" s="182" t="s">
        <v>1601</v>
      </c>
    </row>
    <row r="407" spans="2:15">
      <c r="B407" s="174" t="s">
        <v>1176</v>
      </c>
      <c r="C407" s="175" t="s">
        <v>385</v>
      </c>
      <c r="D407" s="176" t="s">
        <v>386</v>
      </c>
      <c r="E407" s="177" t="s">
        <v>1177</v>
      </c>
      <c r="F407" s="175">
        <f t="shared" si="13"/>
        <v>8</v>
      </c>
      <c r="G407" s="175" t="str">
        <f t="shared" si="14"/>
        <v>Marion</v>
      </c>
      <c r="H407" s="175"/>
      <c r="I407" s="178" t="s">
        <v>1755</v>
      </c>
      <c r="J407" s="27" t="s">
        <v>386</v>
      </c>
      <c r="K407" s="27">
        <v>886</v>
      </c>
      <c r="L407" s="179">
        <v>5708</v>
      </c>
      <c r="M407" s="180" t="s">
        <v>1752</v>
      </c>
      <c r="N407" s="181" t="s">
        <v>386</v>
      </c>
      <c r="O407" s="182" t="s">
        <v>1753</v>
      </c>
    </row>
    <row r="408" spans="2:15">
      <c r="B408" s="174" t="s">
        <v>619</v>
      </c>
      <c r="C408" s="175" t="s">
        <v>385</v>
      </c>
      <c r="D408" s="176" t="s">
        <v>386</v>
      </c>
      <c r="E408" s="177" t="s">
        <v>615</v>
      </c>
      <c r="F408" s="175">
        <f t="shared" si="13"/>
        <v>15</v>
      </c>
      <c r="G408" s="175" t="str">
        <f t="shared" si="14"/>
        <v>Bowling Green</v>
      </c>
      <c r="H408" s="175"/>
      <c r="I408" s="178" t="s">
        <v>620</v>
      </c>
      <c r="J408" s="27" t="s">
        <v>386</v>
      </c>
      <c r="K408" s="27">
        <v>610</v>
      </c>
      <c r="L408" s="179">
        <v>6579</v>
      </c>
      <c r="M408" s="180" t="s">
        <v>621</v>
      </c>
      <c r="N408" s="181" t="s">
        <v>386</v>
      </c>
      <c r="O408" s="182" t="s">
        <v>622</v>
      </c>
    </row>
    <row r="409" spans="2:15">
      <c r="B409" s="174" t="s">
        <v>1111</v>
      </c>
      <c r="C409" s="175" t="s">
        <v>385</v>
      </c>
      <c r="D409" s="176" t="s">
        <v>386</v>
      </c>
      <c r="E409" s="177" t="s">
        <v>1112</v>
      </c>
      <c r="F409" s="175">
        <f t="shared" si="13"/>
        <v>10</v>
      </c>
      <c r="G409" s="175" t="str">
        <f t="shared" si="14"/>
        <v>Napoleon</v>
      </c>
      <c r="H409" s="175"/>
      <c r="I409" s="178" t="s">
        <v>2035</v>
      </c>
      <c r="J409" s="27" t="s">
        <v>2364</v>
      </c>
      <c r="K409" s="27">
        <v>824</v>
      </c>
      <c r="L409" s="179">
        <v>6273</v>
      </c>
      <c r="M409" s="178" t="s">
        <v>2032</v>
      </c>
      <c r="N409" s="27" t="s">
        <v>2364</v>
      </c>
      <c r="O409" s="182" t="s">
        <v>2033</v>
      </c>
    </row>
    <row r="410" spans="2:15">
      <c r="B410" s="174" t="s">
        <v>836</v>
      </c>
      <c r="C410" s="175" t="s">
        <v>385</v>
      </c>
      <c r="D410" s="176" t="s">
        <v>386</v>
      </c>
      <c r="E410" s="177" t="s">
        <v>837</v>
      </c>
      <c r="F410" s="175">
        <f t="shared" si="13"/>
        <v>8</v>
      </c>
      <c r="G410" s="175" t="str">
        <f t="shared" si="14"/>
        <v>Toledo</v>
      </c>
      <c r="H410" s="175"/>
      <c r="I410" s="178" t="s">
        <v>620</v>
      </c>
      <c r="J410" s="27" t="s">
        <v>386</v>
      </c>
      <c r="K410" s="27">
        <v>610</v>
      </c>
      <c r="L410" s="179">
        <v>6579</v>
      </c>
      <c r="M410" s="180" t="s">
        <v>621</v>
      </c>
      <c r="N410" s="181" t="s">
        <v>386</v>
      </c>
      <c r="O410" s="182" t="s">
        <v>622</v>
      </c>
    </row>
    <row r="411" spans="2:15">
      <c r="B411" s="174" t="s">
        <v>1936</v>
      </c>
      <c r="C411" s="175" t="s">
        <v>385</v>
      </c>
      <c r="D411" s="176" t="s">
        <v>386</v>
      </c>
      <c r="E411" s="177" t="s">
        <v>1937</v>
      </c>
      <c r="F411" s="175">
        <f t="shared" si="13"/>
        <v>12</v>
      </c>
      <c r="G411" s="175" t="str">
        <f t="shared" si="14"/>
        <v>Zanesville</v>
      </c>
      <c r="H411" s="175"/>
      <c r="I411" s="178" t="s">
        <v>455</v>
      </c>
      <c r="J411" s="27" t="s">
        <v>441</v>
      </c>
      <c r="K411" s="27">
        <v>654</v>
      </c>
      <c r="L411" s="179">
        <v>5968</v>
      </c>
      <c r="M411" s="180" t="s">
        <v>456</v>
      </c>
      <c r="N411" s="181" t="s">
        <v>441</v>
      </c>
      <c r="O411" s="182" t="s">
        <v>457</v>
      </c>
    </row>
    <row r="412" spans="2:15">
      <c r="B412" s="174" t="s">
        <v>1938</v>
      </c>
      <c r="C412" s="175" t="s">
        <v>385</v>
      </c>
      <c r="D412" s="176" t="s">
        <v>386</v>
      </c>
      <c r="E412" s="177" t="s">
        <v>1937</v>
      </c>
      <c r="F412" s="175">
        <f t="shared" si="13"/>
        <v>12</v>
      </c>
      <c r="G412" s="175" t="str">
        <f t="shared" si="14"/>
        <v>Zanesville</v>
      </c>
      <c r="H412" s="175"/>
      <c r="I412" s="178" t="s">
        <v>1600</v>
      </c>
      <c r="J412" s="27" t="s">
        <v>386</v>
      </c>
      <c r="K412" s="27">
        <v>797</v>
      </c>
      <c r="L412" s="179">
        <v>5708</v>
      </c>
      <c r="M412" s="180" t="s">
        <v>404</v>
      </c>
      <c r="N412" s="181" t="s">
        <v>386</v>
      </c>
      <c r="O412" s="182" t="s">
        <v>1601</v>
      </c>
    </row>
    <row r="413" spans="2:15">
      <c r="B413" s="174" t="s">
        <v>795</v>
      </c>
      <c r="C413" s="175" t="s">
        <v>385</v>
      </c>
      <c r="D413" s="176" t="s">
        <v>386</v>
      </c>
      <c r="E413" s="177" t="s">
        <v>796</v>
      </c>
      <c r="F413" s="175">
        <f t="shared" si="13"/>
        <v>14</v>
      </c>
      <c r="G413" s="175" t="str">
        <f t="shared" si="14"/>
        <v>Stuebenville</v>
      </c>
      <c r="H413" s="175"/>
      <c r="I413" s="178" t="s">
        <v>455</v>
      </c>
      <c r="J413" s="27" t="s">
        <v>441</v>
      </c>
      <c r="K413" s="27">
        <v>654</v>
      </c>
      <c r="L413" s="179">
        <v>5968</v>
      </c>
      <c r="M413" s="180" t="s">
        <v>456</v>
      </c>
      <c r="N413" s="181" t="s">
        <v>441</v>
      </c>
      <c r="O413" s="182" t="s">
        <v>457</v>
      </c>
    </row>
    <row r="414" spans="2:15">
      <c r="B414" s="174" t="s">
        <v>552</v>
      </c>
      <c r="C414" s="175" t="s">
        <v>385</v>
      </c>
      <c r="D414" s="176" t="s">
        <v>386</v>
      </c>
      <c r="E414" s="177" t="s">
        <v>553</v>
      </c>
      <c r="F414" s="175">
        <f t="shared" si="13"/>
        <v>11</v>
      </c>
      <c r="G414" s="175" t="str">
        <f t="shared" si="14"/>
        <v>Cleveland</v>
      </c>
      <c r="H414" s="175"/>
      <c r="I414" s="178" t="s">
        <v>554</v>
      </c>
      <c r="J414" s="27" t="s">
        <v>386</v>
      </c>
      <c r="K414" s="27">
        <v>621</v>
      </c>
      <c r="L414" s="179">
        <v>6201</v>
      </c>
      <c r="M414" s="178" t="s">
        <v>555</v>
      </c>
      <c r="N414" s="27" t="s">
        <v>386</v>
      </c>
      <c r="O414" s="182" t="s">
        <v>556</v>
      </c>
    </row>
    <row r="415" spans="2:15">
      <c r="B415" s="174" t="s">
        <v>557</v>
      </c>
      <c r="C415" s="175" t="s">
        <v>385</v>
      </c>
      <c r="D415" s="176" t="s">
        <v>386</v>
      </c>
      <c r="E415" s="177" t="s">
        <v>553</v>
      </c>
      <c r="F415" s="175">
        <f t="shared" si="13"/>
        <v>11</v>
      </c>
      <c r="G415" s="175" t="str">
        <f t="shared" si="14"/>
        <v>Cleveland</v>
      </c>
      <c r="H415" s="175"/>
      <c r="I415" s="178" t="s">
        <v>554</v>
      </c>
      <c r="J415" s="27" t="s">
        <v>386</v>
      </c>
      <c r="K415" s="27">
        <v>621</v>
      </c>
      <c r="L415" s="179">
        <v>6201</v>
      </c>
      <c r="M415" s="178" t="s">
        <v>555</v>
      </c>
      <c r="N415" s="27" t="s">
        <v>386</v>
      </c>
      <c r="O415" s="182" t="s">
        <v>556</v>
      </c>
    </row>
    <row r="416" spans="2:15">
      <c r="B416" s="174" t="s">
        <v>384</v>
      </c>
      <c r="C416" s="175" t="s">
        <v>385</v>
      </c>
      <c r="D416" s="176" t="s">
        <v>386</v>
      </c>
      <c r="E416" s="177" t="s">
        <v>387</v>
      </c>
      <c r="F416" s="175">
        <f t="shared" si="13"/>
        <v>7</v>
      </c>
      <c r="G416" s="175" t="str">
        <f t="shared" si="14"/>
        <v>Akron</v>
      </c>
      <c r="H416" s="175"/>
      <c r="I416" s="178" t="s">
        <v>388</v>
      </c>
      <c r="J416" s="27" t="s">
        <v>386</v>
      </c>
      <c r="K416" s="27">
        <v>625</v>
      </c>
      <c r="L416" s="179">
        <v>6160</v>
      </c>
      <c r="M416" s="180" t="s">
        <v>389</v>
      </c>
      <c r="N416" s="181" t="s">
        <v>386</v>
      </c>
      <c r="O416" s="182" t="s">
        <v>390</v>
      </c>
    </row>
    <row r="417" spans="2:15">
      <c r="B417" s="174" t="s">
        <v>391</v>
      </c>
      <c r="C417" s="175" t="s">
        <v>385</v>
      </c>
      <c r="D417" s="176" t="s">
        <v>386</v>
      </c>
      <c r="E417" s="177" t="s">
        <v>387</v>
      </c>
      <c r="F417" s="175">
        <f t="shared" si="13"/>
        <v>7</v>
      </c>
      <c r="G417" s="175" t="str">
        <f t="shared" si="14"/>
        <v>Akron</v>
      </c>
      <c r="H417" s="175"/>
      <c r="I417" s="178" t="s">
        <v>388</v>
      </c>
      <c r="J417" s="27" t="s">
        <v>386</v>
      </c>
      <c r="K417" s="27">
        <v>625</v>
      </c>
      <c r="L417" s="179">
        <v>6160</v>
      </c>
      <c r="M417" s="180" t="s">
        <v>389</v>
      </c>
      <c r="N417" s="181" t="s">
        <v>386</v>
      </c>
      <c r="O417" s="182" t="s">
        <v>390</v>
      </c>
    </row>
    <row r="418" spans="2:15">
      <c r="B418" s="174" t="s">
        <v>1933</v>
      </c>
      <c r="C418" s="175" t="s">
        <v>385</v>
      </c>
      <c r="D418" s="176" t="s">
        <v>386</v>
      </c>
      <c r="E418" s="177" t="s">
        <v>1934</v>
      </c>
      <c r="F418" s="175">
        <f t="shared" si="13"/>
        <v>12</v>
      </c>
      <c r="G418" s="175" t="str">
        <f t="shared" si="14"/>
        <v>Youngstown</v>
      </c>
      <c r="H418" s="175"/>
      <c r="I418" s="178" t="s">
        <v>1411</v>
      </c>
      <c r="J418" s="27" t="s">
        <v>386</v>
      </c>
      <c r="K418" s="27">
        <v>497</v>
      </c>
      <c r="L418" s="179">
        <v>6544</v>
      </c>
      <c r="M418" s="180" t="s">
        <v>1412</v>
      </c>
      <c r="N418" s="181" t="s">
        <v>386</v>
      </c>
      <c r="O418" s="182" t="s">
        <v>1413</v>
      </c>
    </row>
    <row r="419" spans="2:15">
      <c r="B419" s="174" t="s">
        <v>1935</v>
      </c>
      <c r="C419" s="175" t="s">
        <v>385</v>
      </c>
      <c r="D419" s="176" t="s">
        <v>386</v>
      </c>
      <c r="E419" s="177" t="s">
        <v>1934</v>
      </c>
      <c r="F419" s="175">
        <f t="shared" si="13"/>
        <v>12</v>
      </c>
      <c r="G419" s="175" t="str">
        <f t="shared" si="14"/>
        <v>Youngstown</v>
      </c>
      <c r="H419" s="175"/>
      <c r="I419" s="178" t="s">
        <v>1411</v>
      </c>
      <c r="J419" s="27" t="s">
        <v>386</v>
      </c>
      <c r="K419" s="27">
        <v>497</v>
      </c>
      <c r="L419" s="179">
        <v>6544</v>
      </c>
      <c r="M419" s="180" t="s">
        <v>1412</v>
      </c>
      <c r="N419" s="181" t="s">
        <v>386</v>
      </c>
      <c r="O419" s="182" t="s">
        <v>1413</v>
      </c>
    </row>
    <row r="420" spans="2:15">
      <c r="B420" s="174" t="s">
        <v>1434</v>
      </c>
      <c r="C420" s="175" t="s">
        <v>385</v>
      </c>
      <c r="D420" s="176" t="s">
        <v>386</v>
      </c>
      <c r="E420" s="177" t="s">
        <v>1435</v>
      </c>
      <c r="F420" s="175">
        <f t="shared" si="13"/>
        <v>8</v>
      </c>
      <c r="G420" s="175" t="str">
        <f t="shared" si="14"/>
        <v>Canton</v>
      </c>
      <c r="H420" s="175"/>
      <c r="I420" s="178" t="s">
        <v>388</v>
      </c>
      <c r="J420" s="27" t="s">
        <v>386</v>
      </c>
      <c r="K420" s="27">
        <v>625</v>
      </c>
      <c r="L420" s="179">
        <v>6160</v>
      </c>
      <c r="M420" s="180" t="s">
        <v>389</v>
      </c>
      <c r="N420" s="181" t="s">
        <v>386</v>
      </c>
      <c r="O420" s="182" t="s">
        <v>390</v>
      </c>
    </row>
    <row r="421" spans="2:15">
      <c r="B421" s="174" t="s">
        <v>1436</v>
      </c>
      <c r="C421" s="175" t="s">
        <v>385</v>
      </c>
      <c r="D421" s="176" t="s">
        <v>386</v>
      </c>
      <c r="E421" s="177" t="s">
        <v>1435</v>
      </c>
      <c r="F421" s="175">
        <f t="shared" si="13"/>
        <v>8</v>
      </c>
      <c r="G421" s="175" t="str">
        <f t="shared" si="14"/>
        <v>Canton</v>
      </c>
      <c r="H421" s="175"/>
      <c r="I421" s="178" t="s">
        <v>388</v>
      </c>
      <c r="J421" s="27" t="s">
        <v>386</v>
      </c>
      <c r="K421" s="27">
        <v>625</v>
      </c>
      <c r="L421" s="179">
        <v>6160</v>
      </c>
      <c r="M421" s="180" t="s">
        <v>389</v>
      </c>
      <c r="N421" s="181" t="s">
        <v>386</v>
      </c>
      <c r="O421" s="182" t="s">
        <v>390</v>
      </c>
    </row>
    <row r="422" spans="2:15">
      <c r="B422" s="174" t="s">
        <v>1172</v>
      </c>
      <c r="C422" s="175" t="s">
        <v>385</v>
      </c>
      <c r="D422" s="176" t="s">
        <v>386</v>
      </c>
      <c r="E422" s="177" t="s">
        <v>1173</v>
      </c>
      <c r="F422" s="175">
        <f t="shared" si="13"/>
        <v>11</v>
      </c>
      <c r="G422" s="175" t="str">
        <f t="shared" si="14"/>
        <v>Mansfield</v>
      </c>
      <c r="H422" s="175"/>
      <c r="I422" s="178" t="s">
        <v>1174</v>
      </c>
      <c r="J422" s="27" t="s">
        <v>386</v>
      </c>
      <c r="K422" s="27">
        <v>666</v>
      </c>
      <c r="L422" s="179">
        <v>6258</v>
      </c>
      <c r="M422" s="180" t="s">
        <v>389</v>
      </c>
      <c r="N422" s="181" t="s">
        <v>386</v>
      </c>
      <c r="O422" s="182" t="s">
        <v>390</v>
      </c>
    </row>
    <row r="423" spans="2:15">
      <c r="B423" s="174" t="s">
        <v>1175</v>
      </c>
      <c r="C423" s="175" t="s">
        <v>385</v>
      </c>
      <c r="D423" s="176" t="s">
        <v>386</v>
      </c>
      <c r="E423" s="177" t="s">
        <v>1173</v>
      </c>
      <c r="F423" s="175">
        <f t="shared" si="13"/>
        <v>11</v>
      </c>
      <c r="G423" s="175" t="str">
        <f t="shared" si="14"/>
        <v>Mansfield</v>
      </c>
      <c r="H423" s="175"/>
      <c r="I423" s="178" t="s">
        <v>1174</v>
      </c>
      <c r="J423" s="27" t="s">
        <v>386</v>
      </c>
      <c r="K423" s="27">
        <v>666</v>
      </c>
      <c r="L423" s="179">
        <v>6258</v>
      </c>
      <c r="M423" s="180" t="s">
        <v>389</v>
      </c>
      <c r="N423" s="181" t="s">
        <v>386</v>
      </c>
      <c r="O423" s="182" t="s">
        <v>390</v>
      </c>
    </row>
    <row r="424" spans="2:15">
      <c r="B424" s="174" t="s">
        <v>2491</v>
      </c>
      <c r="C424" s="175" t="s">
        <v>385</v>
      </c>
      <c r="D424" s="176" t="s">
        <v>386</v>
      </c>
      <c r="E424" s="177" t="s">
        <v>2492</v>
      </c>
      <c r="F424" s="175">
        <f t="shared" si="13"/>
        <v>12</v>
      </c>
      <c r="G424" s="175" t="str">
        <f t="shared" si="14"/>
        <v>Cincinnati</v>
      </c>
      <c r="H424" s="175"/>
      <c r="I424" s="178" t="s">
        <v>2488</v>
      </c>
      <c r="J424" s="27" t="s">
        <v>517</v>
      </c>
      <c r="K424" s="27">
        <v>996</v>
      </c>
      <c r="L424" s="179">
        <v>5248</v>
      </c>
      <c r="M424" s="180" t="s">
        <v>2489</v>
      </c>
      <c r="N424" s="181" t="s">
        <v>386</v>
      </c>
      <c r="O424" s="182" t="s">
        <v>2490</v>
      </c>
    </row>
    <row r="425" spans="2:15">
      <c r="B425" s="174" t="s">
        <v>2493</v>
      </c>
      <c r="C425" s="175" t="s">
        <v>385</v>
      </c>
      <c r="D425" s="176" t="s">
        <v>386</v>
      </c>
      <c r="E425" s="177" t="s">
        <v>2492</v>
      </c>
      <c r="F425" s="175">
        <f t="shared" si="13"/>
        <v>12</v>
      </c>
      <c r="G425" s="175" t="str">
        <f t="shared" si="14"/>
        <v>Cincinnati</v>
      </c>
      <c r="H425" s="175"/>
      <c r="I425" s="178" t="s">
        <v>2488</v>
      </c>
      <c r="J425" s="27" t="s">
        <v>517</v>
      </c>
      <c r="K425" s="27">
        <v>996</v>
      </c>
      <c r="L425" s="179">
        <v>5248</v>
      </c>
      <c r="M425" s="180" t="s">
        <v>2489</v>
      </c>
      <c r="N425" s="181" t="s">
        <v>386</v>
      </c>
      <c r="O425" s="182" t="s">
        <v>2490</v>
      </c>
    </row>
    <row r="426" spans="2:15">
      <c r="B426" s="174" t="s">
        <v>2494</v>
      </c>
      <c r="C426" s="175" t="s">
        <v>385</v>
      </c>
      <c r="D426" s="176" t="s">
        <v>386</v>
      </c>
      <c r="E426" s="177" t="s">
        <v>2492</v>
      </c>
      <c r="F426" s="175">
        <f t="shared" si="13"/>
        <v>12</v>
      </c>
      <c r="G426" s="175" t="str">
        <f t="shared" si="14"/>
        <v>Cincinnati</v>
      </c>
      <c r="H426" s="175"/>
      <c r="I426" s="178" t="s">
        <v>2488</v>
      </c>
      <c r="J426" s="27" t="s">
        <v>517</v>
      </c>
      <c r="K426" s="27">
        <v>996</v>
      </c>
      <c r="L426" s="179">
        <v>5248</v>
      </c>
      <c r="M426" s="180" t="s">
        <v>2489</v>
      </c>
      <c r="N426" s="181" t="s">
        <v>386</v>
      </c>
      <c r="O426" s="182" t="s">
        <v>2490</v>
      </c>
    </row>
    <row r="427" spans="2:15">
      <c r="B427" s="174" t="s">
        <v>1750</v>
      </c>
      <c r="C427" s="175" t="s">
        <v>385</v>
      </c>
      <c r="D427" s="176" t="s">
        <v>386</v>
      </c>
      <c r="E427" s="177" t="s">
        <v>1751</v>
      </c>
      <c r="F427" s="175">
        <f t="shared" si="13"/>
        <v>8</v>
      </c>
      <c r="G427" s="175" t="str">
        <f t="shared" si="14"/>
        <v>Dayton</v>
      </c>
      <c r="H427" s="175"/>
      <c r="I427" s="178" t="s">
        <v>1600</v>
      </c>
      <c r="J427" s="27" t="s">
        <v>386</v>
      </c>
      <c r="K427" s="27">
        <v>797</v>
      </c>
      <c r="L427" s="179">
        <v>5708</v>
      </c>
      <c r="M427" s="180" t="s">
        <v>1752</v>
      </c>
      <c r="N427" s="181" t="s">
        <v>386</v>
      </c>
      <c r="O427" s="182" t="s">
        <v>1753</v>
      </c>
    </row>
    <row r="428" spans="2:15">
      <c r="B428" s="174" t="s">
        <v>1754</v>
      </c>
      <c r="C428" s="175" t="s">
        <v>385</v>
      </c>
      <c r="D428" s="176" t="s">
        <v>386</v>
      </c>
      <c r="E428" s="177" t="s">
        <v>1751</v>
      </c>
      <c r="F428" s="175">
        <f t="shared" si="13"/>
        <v>8</v>
      </c>
      <c r="G428" s="175" t="str">
        <f t="shared" si="14"/>
        <v>Dayton</v>
      </c>
      <c r="H428" s="175"/>
      <c r="I428" s="178" t="s">
        <v>1755</v>
      </c>
      <c r="J428" s="27" t="s">
        <v>386</v>
      </c>
      <c r="K428" s="27">
        <v>886</v>
      </c>
      <c r="L428" s="179">
        <v>5708</v>
      </c>
      <c r="M428" s="180" t="s">
        <v>1752</v>
      </c>
      <c r="N428" s="181" t="s">
        <v>386</v>
      </c>
      <c r="O428" s="182" t="s">
        <v>1753</v>
      </c>
    </row>
    <row r="429" spans="2:15">
      <c r="B429" s="174" t="s">
        <v>1311</v>
      </c>
      <c r="C429" s="175" t="s">
        <v>385</v>
      </c>
      <c r="D429" s="176" t="s">
        <v>386</v>
      </c>
      <c r="E429" s="177" t="s">
        <v>1303</v>
      </c>
      <c r="F429" s="175">
        <f t="shared" si="13"/>
        <v>13</v>
      </c>
      <c r="G429" s="175" t="str">
        <f t="shared" si="14"/>
        <v>Springfield</v>
      </c>
      <c r="H429" s="175"/>
      <c r="I429" s="178" t="s">
        <v>1755</v>
      </c>
      <c r="J429" s="27" t="s">
        <v>386</v>
      </c>
      <c r="K429" s="27">
        <v>886</v>
      </c>
      <c r="L429" s="179">
        <v>5708</v>
      </c>
      <c r="M429" s="180" t="s">
        <v>1752</v>
      </c>
      <c r="N429" s="181" t="s">
        <v>386</v>
      </c>
      <c r="O429" s="182" t="s">
        <v>1753</v>
      </c>
    </row>
    <row r="430" spans="2:15">
      <c r="B430" s="174" t="s">
        <v>2487</v>
      </c>
      <c r="C430" s="175" t="s">
        <v>385</v>
      </c>
      <c r="D430" s="176" t="s">
        <v>386</v>
      </c>
      <c r="E430" s="177" t="s">
        <v>2483</v>
      </c>
      <c r="F430" s="175">
        <f t="shared" si="13"/>
        <v>13</v>
      </c>
      <c r="G430" s="175" t="str">
        <f t="shared" si="14"/>
        <v>Chillicothe</v>
      </c>
      <c r="H430" s="175"/>
      <c r="I430" s="178" t="s">
        <v>2488</v>
      </c>
      <c r="J430" s="27" t="s">
        <v>517</v>
      </c>
      <c r="K430" s="27">
        <v>996</v>
      </c>
      <c r="L430" s="179">
        <v>5248</v>
      </c>
      <c r="M430" s="180" t="s">
        <v>2489</v>
      </c>
      <c r="N430" s="181" t="s">
        <v>386</v>
      </c>
      <c r="O430" s="182" t="s">
        <v>2490</v>
      </c>
    </row>
    <row r="431" spans="2:15">
      <c r="B431" s="174" t="s">
        <v>1599</v>
      </c>
      <c r="C431" s="175" t="s">
        <v>385</v>
      </c>
      <c r="D431" s="176" t="s">
        <v>386</v>
      </c>
      <c r="E431" s="177" t="s">
        <v>1595</v>
      </c>
      <c r="F431" s="175">
        <f t="shared" si="13"/>
        <v>8</v>
      </c>
      <c r="G431" s="175" t="str">
        <f t="shared" si="14"/>
        <v>Athens</v>
      </c>
      <c r="H431" s="175"/>
      <c r="I431" s="178" t="s">
        <v>1600</v>
      </c>
      <c r="J431" s="27" t="s">
        <v>386</v>
      </c>
      <c r="K431" s="27">
        <v>797</v>
      </c>
      <c r="L431" s="179">
        <v>5708</v>
      </c>
      <c r="M431" s="180" t="s">
        <v>404</v>
      </c>
      <c r="N431" s="181" t="s">
        <v>386</v>
      </c>
      <c r="O431" s="182" t="s">
        <v>1601</v>
      </c>
    </row>
    <row r="432" spans="2:15">
      <c r="B432" s="174" t="s">
        <v>2186</v>
      </c>
      <c r="C432" s="175" t="s">
        <v>385</v>
      </c>
      <c r="D432" s="176" t="s">
        <v>386</v>
      </c>
      <c r="E432" s="177" t="s">
        <v>2187</v>
      </c>
      <c r="F432" s="175">
        <f t="shared" si="13"/>
        <v>6</v>
      </c>
      <c r="G432" s="175" t="str">
        <f t="shared" si="14"/>
        <v>Lima</v>
      </c>
      <c r="H432" s="175"/>
      <c r="I432" s="178" t="s">
        <v>1755</v>
      </c>
      <c r="J432" s="27" t="s">
        <v>386</v>
      </c>
      <c r="K432" s="27">
        <v>886</v>
      </c>
      <c r="L432" s="179">
        <v>5708</v>
      </c>
      <c r="M432" s="180" t="s">
        <v>1752</v>
      </c>
      <c r="N432" s="181" t="s">
        <v>386</v>
      </c>
      <c r="O432" s="182" t="s">
        <v>1753</v>
      </c>
    </row>
    <row r="433" spans="2:15">
      <c r="B433" s="174" t="s">
        <v>69</v>
      </c>
      <c r="C433" s="175" t="s">
        <v>2363</v>
      </c>
      <c r="D433" s="176" t="s">
        <v>2364</v>
      </c>
      <c r="E433" s="177" t="s">
        <v>70</v>
      </c>
      <c r="F433" s="175">
        <f t="shared" si="13"/>
        <v>14</v>
      </c>
      <c r="G433" s="175" t="str">
        <f t="shared" si="14"/>
        <v>Indianapolis</v>
      </c>
      <c r="H433" s="175"/>
      <c r="I433" s="178" t="s">
        <v>2365</v>
      </c>
      <c r="J433" s="27" t="s">
        <v>2364</v>
      </c>
      <c r="K433" s="27">
        <v>1014</v>
      </c>
      <c r="L433" s="179">
        <v>5615</v>
      </c>
      <c r="M433" s="178" t="s">
        <v>2366</v>
      </c>
      <c r="N433" s="27" t="s">
        <v>2364</v>
      </c>
      <c r="O433" s="182" t="s">
        <v>2367</v>
      </c>
    </row>
    <row r="434" spans="2:15">
      <c r="B434" s="174" t="s">
        <v>71</v>
      </c>
      <c r="C434" s="175" t="s">
        <v>2363</v>
      </c>
      <c r="D434" s="176" t="s">
        <v>2364</v>
      </c>
      <c r="E434" s="177" t="s">
        <v>70</v>
      </c>
      <c r="F434" s="175">
        <f t="shared" si="13"/>
        <v>14</v>
      </c>
      <c r="G434" s="175" t="str">
        <f t="shared" si="14"/>
        <v>Indianapolis</v>
      </c>
      <c r="H434" s="175"/>
      <c r="I434" s="178" t="s">
        <v>2365</v>
      </c>
      <c r="J434" s="27" t="s">
        <v>2364</v>
      </c>
      <c r="K434" s="27">
        <v>1014</v>
      </c>
      <c r="L434" s="179">
        <v>5615</v>
      </c>
      <c r="M434" s="178" t="s">
        <v>2366</v>
      </c>
      <c r="N434" s="27" t="s">
        <v>2364</v>
      </c>
      <c r="O434" s="182" t="s">
        <v>2367</v>
      </c>
    </row>
    <row r="435" spans="2:15">
      <c r="B435" s="174" t="s">
        <v>72</v>
      </c>
      <c r="C435" s="175" t="s">
        <v>2363</v>
      </c>
      <c r="D435" s="176" t="s">
        <v>2364</v>
      </c>
      <c r="E435" s="177" t="s">
        <v>70</v>
      </c>
      <c r="F435" s="175">
        <f t="shared" si="13"/>
        <v>14</v>
      </c>
      <c r="G435" s="175" t="str">
        <f t="shared" si="14"/>
        <v>Indianapolis</v>
      </c>
      <c r="H435" s="175"/>
      <c r="I435" s="178" t="s">
        <v>2365</v>
      </c>
      <c r="J435" s="27" t="s">
        <v>2364</v>
      </c>
      <c r="K435" s="27">
        <v>1014</v>
      </c>
      <c r="L435" s="179">
        <v>5615</v>
      </c>
      <c r="M435" s="178" t="s">
        <v>2366</v>
      </c>
      <c r="N435" s="27" t="s">
        <v>2364</v>
      </c>
      <c r="O435" s="182" t="s">
        <v>2367</v>
      </c>
    </row>
    <row r="436" spans="2:15">
      <c r="B436" s="174" t="s">
        <v>2068</v>
      </c>
      <c r="C436" s="175" t="s">
        <v>2363</v>
      </c>
      <c r="D436" s="176" t="s">
        <v>2364</v>
      </c>
      <c r="E436" s="177" t="s">
        <v>2069</v>
      </c>
      <c r="F436" s="175">
        <f t="shared" si="13"/>
        <v>6</v>
      </c>
      <c r="G436" s="175" t="str">
        <f t="shared" si="14"/>
        <v>Gary</v>
      </c>
      <c r="H436" s="175"/>
      <c r="I436" s="178" t="s">
        <v>2031</v>
      </c>
      <c r="J436" s="27" t="s">
        <v>2364</v>
      </c>
      <c r="K436" s="27">
        <v>728</v>
      </c>
      <c r="L436" s="179">
        <v>6331</v>
      </c>
      <c r="M436" s="178" t="s">
        <v>2070</v>
      </c>
      <c r="N436" s="27" t="s">
        <v>2364</v>
      </c>
      <c r="O436" s="182" t="s">
        <v>2071</v>
      </c>
    </row>
    <row r="437" spans="2:15">
      <c r="B437" s="174" t="s">
        <v>2072</v>
      </c>
      <c r="C437" s="175" t="s">
        <v>2363</v>
      </c>
      <c r="D437" s="176" t="s">
        <v>2364</v>
      </c>
      <c r="E437" s="177" t="s">
        <v>2069</v>
      </c>
      <c r="F437" s="175">
        <f t="shared" si="13"/>
        <v>6</v>
      </c>
      <c r="G437" s="175" t="str">
        <f t="shared" si="14"/>
        <v>Gary</v>
      </c>
      <c r="H437" s="175"/>
      <c r="I437" s="178" t="s">
        <v>2473</v>
      </c>
      <c r="J437" s="27" t="s">
        <v>1709</v>
      </c>
      <c r="K437" s="27">
        <v>752</v>
      </c>
      <c r="L437" s="179">
        <v>6536</v>
      </c>
      <c r="M437" s="178" t="s">
        <v>2474</v>
      </c>
      <c r="N437" s="27" t="s">
        <v>1709</v>
      </c>
      <c r="O437" s="182" t="s">
        <v>2475</v>
      </c>
    </row>
    <row r="438" spans="2:15">
      <c r="B438" s="174" t="s">
        <v>2342</v>
      </c>
      <c r="C438" s="175" t="s">
        <v>2363</v>
      </c>
      <c r="D438" s="176" t="s">
        <v>2364</v>
      </c>
      <c r="E438" s="177" t="s">
        <v>2343</v>
      </c>
      <c r="F438" s="175">
        <f t="shared" si="13"/>
        <v>12</v>
      </c>
      <c r="G438" s="175" t="str">
        <f t="shared" si="14"/>
        <v>South Bend</v>
      </c>
      <c r="H438" s="175"/>
      <c r="I438" s="178" t="s">
        <v>2035</v>
      </c>
      <c r="J438" s="27" t="s">
        <v>2364</v>
      </c>
      <c r="K438" s="27">
        <v>824</v>
      </c>
      <c r="L438" s="179">
        <v>6273</v>
      </c>
      <c r="M438" s="178" t="s">
        <v>2070</v>
      </c>
      <c r="N438" s="27" t="s">
        <v>2364</v>
      </c>
      <c r="O438" s="182" t="s">
        <v>2071</v>
      </c>
    </row>
    <row r="439" spans="2:15">
      <c r="B439" s="174" t="s">
        <v>2344</v>
      </c>
      <c r="C439" s="175" t="s">
        <v>2363</v>
      </c>
      <c r="D439" s="176" t="s">
        <v>2364</v>
      </c>
      <c r="E439" s="177" t="s">
        <v>2343</v>
      </c>
      <c r="F439" s="175">
        <f t="shared" si="13"/>
        <v>12</v>
      </c>
      <c r="G439" s="175" t="str">
        <f t="shared" si="14"/>
        <v>South Bend</v>
      </c>
      <c r="H439" s="175"/>
      <c r="I439" s="178" t="s">
        <v>2031</v>
      </c>
      <c r="J439" s="27" t="s">
        <v>2364</v>
      </c>
      <c r="K439" s="27">
        <v>728</v>
      </c>
      <c r="L439" s="179">
        <v>6331</v>
      </c>
      <c r="M439" s="178" t="s">
        <v>2070</v>
      </c>
      <c r="N439" s="27" t="s">
        <v>2364</v>
      </c>
      <c r="O439" s="182" t="s">
        <v>2071</v>
      </c>
    </row>
    <row r="440" spans="2:15">
      <c r="B440" s="174" t="s">
        <v>2029</v>
      </c>
      <c r="C440" s="175" t="s">
        <v>2363</v>
      </c>
      <c r="D440" s="176" t="s">
        <v>2364</v>
      </c>
      <c r="E440" s="177" t="s">
        <v>2030</v>
      </c>
      <c r="F440" s="175">
        <f t="shared" si="13"/>
        <v>12</v>
      </c>
      <c r="G440" s="175" t="str">
        <f t="shared" si="14"/>
        <v>Fort Wayne</v>
      </c>
      <c r="H440" s="175"/>
      <c r="I440" s="178" t="s">
        <v>2031</v>
      </c>
      <c r="J440" s="27" t="s">
        <v>2364</v>
      </c>
      <c r="K440" s="27">
        <v>728</v>
      </c>
      <c r="L440" s="179">
        <v>6331</v>
      </c>
      <c r="M440" s="178" t="s">
        <v>2032</v>
      </c>
      <c r="N440" s="27" t="s">
        <v>2364</v>
      </c>
      <c r="O440" s="182" t="s">
        <v>2033</v>
      </c>
    </row>
    <row r="441" spans="2:15">
      <c r="B441" s="174" t="s">
        <v>2034</v>
      </c>
      <c r="C441" s="175" t="s">
        <v>2363</v>
      </c>
      <c r="D441" s="176" t="s">
        <v>2364</v>
      </c>
      <c r="E441" s="177" t="s">
        <v>2030</v>
      </c>
      <c r="F441" s="175">
        <f t="shared" si="13"/>
        <v>12</v>
      </c>
      <c r="G441" s="175" t="str">
        <f t="shared" si="14"/>
        <v>Fort Wayne</v>
      </c>
      <c r="H441" s="175"/>
      <c r="I441" s="178" t="s">
        <v>2035</v>
      </c>
      <c r="J441" s="27" t="s">
        <v>2364</v>
      </c>
      <c r="K441" s="27">
        <v>824</v>
      </c>
      <c r="L441" s="179">
        <v>6273</v>
      </c>
      <c r="M441" s="178" t="s">
        <v>2032</v>
      </c>
      <c r="N441" s="27" t="s">
        <v>2364</v>
      </c>
      <c r="O441" s="182" t="s">
        <v>2033</v>
      </c>
    </row>
    <row r="442" spans="2:15">
      <c r="B442" s="174" t="s">
        <v>948</v>
      </c>
      <c r="C442" s="175" t="s">
        <v>2363</v>
      </c>
      <c r="D442" s="176" t="s">
        <v>2364</v>
      </c>
      <c r="E442" s="177" t="s">
        <v>949</v>
      </c>
      <c r="F442" s="175">
        <f t="shared" si="13"/>
        <v>8</v>
      </c>
      <c r="G442" s="175" t="str">
        <f t="shared" si="14"/>
        <v>Kokomo</v>
      </c>
      <c r="H442" s="175"/>
      <c r="I442" s="178" t="s">
        <v>2031</v>
      </c>
      <c r="J442" s="27" t="s">
        <v>2364</v>
      </c>
      <c r="K442" s="27">
        <v>728</v>
      </c>
      <c r="L442" s="179">
        <v>6331</v>
      </c>
      <c r="M442" s="178" t="s">
        <v>2070</v>
      </c>
      <c r="N442" s="27" t="s">
        <v>2364</v>
      </c>
      <c r="O442" s="182" t="s">
        <v>2071</v>
      </c>
    </row>
    <row r="443" spans="2:15">
      <c r="B443" s="174" t="s">
        <v>2166</v>
      </c>
      <c r="C443" s="175" t="s">
        <v>2363</v>
      </c>
      <c r="D443" s="176" t="s">
        <v>2364</v>
      </c>
      <c r="E443" s="177" t="s">
        <v>2167</v>
      </c>
      <c r="F443" s="175">
        <f t="shared" si="13"/>
        <v>14</v>
      </c>
      <c r="G443" s="175" t="str">
        <f t="shared" si="14"/>
        <v>Lawrenceburg</v>
      </c>
      <c r="H443" s="175"/>
      <c r="I443" s="178" t="s">
        <v>2488</v>
      </c>
      <c r="J443" s="27" t="s">
        <v>517</v>
      </c>
      <c r="K443" s="27">
        <v>996</v>
      </c>
      <c r="L443" s="179">
        <v>5248</v>
      </c>
      <c r="M443" s="180" t="s">
        <v>2489</v>
      </c>
      <c r="N443" s="181" t="s">
        <v>386</v>
      </c>
      <c r="O443" s="182" t="s">
        <v>2490</v>
      </c>
    </row>
    <row r="444" spans="2:15">
      <c r="B444" s="174" t="s">
        <v>1117</v>
      </c>
      <c r="C444" s="175" t="s">
        <v>2363</v>
      </c>
      <c r="D444" s="176" t="s">
        <v>2364</v>
      </c>
      <c r="E444" s="177" t="s">
        <v>1118</v>
      </c>
      <c r="F444" s="175">
        <f t="shared" si="13"/>
        <v>12</v>
      </c>
      <c r="G444" s="175" t="str">
        <f t="shared" si="14"/>
        <v>New Albany</v>
      </c>
      <c r="H444" s="175"/>
      <c r="I444" s="178" t="s">
        <v>616</v>
      </c>
      <c r="J444" s="27" t="s">
        <v>517</v>
      </c>
      <c r="K444" s="27">
        <v>1288</v>
      </c>
      <c r="L444" s="179">
        <v>4514</v>
      </c>
      <c r="M444" s="180" t="s">
        <v>617</v>
      </c>
      <c r="N444" s="181" t="s">
        <v>517</v>
      </c>
      <c r="O444" s="182" t="s">
        <v>618</v>
      </c>
    </row>
    <row r="445" spans="2:15">
      <c r="B445" s="174" t="s">
        <v>582</v>
      </c>
      <c r="C445" s="175" t="s">
        <v>2363</v>
      </c>
      <c r="D445" s="176" t="s">
        <v>2364</v>
      </c>
      <c r="E445" s="177" t="s">
        <v>579</v>
      </c>
      <c r="F445" s="175">
        <f t="shared" si="13"/>
        <v>10</v>
      </c>
      <c r="G445" s="175" t="str">
        <f t="shared" si="14"/>
        <v>Columbus</v>
      </c>
      <c r="H445" s="175"/>
      <c r="I445" s="178" t="s">
        <v>2365</v>
      </c>
      <c r="J445" s="27" t="s">
        <v>2364</v>
      </c>
      <c r="K445" s="27">
        <v>1014</v>
      </c>
      <c r="L445" s="179">
        <v>5615</v>
      </c>
      <c r="M445" s="178" t="s">
        <v>2366</v>
      </c>
      <c r="N445" s="27" t="s">
        <v>2364</v>
      </c>
      <c r="O445" s="182" t="s">
        <v>2367</v>
      </c>
    </row>
    <row r="446" spans="2:15">
      <c r="B446" s="174" t="s">
        <v>1105</v>
      </c>
      <c r="C446" s="175" t="s">
        <v>2363</v>
      </c>
      <c r="D446" s="176" t="s">
        <v>2364</v>
      </c>
      <c r="E446" s="177" t="s">
        <v>1106</v>
      </c>
      <c r="F446" s="175">
        <f t="shared" si="13"/>
        <v>8</v>
      </c>
      <c r="G446" s="175" t="str">
        <f t="shared" si="14"/>
        <v>Muncie</v>
      </c>
      <c r="H446" s="175"/>
      <c r="I446" s="178" t="s">
        <v>1755</v>
      </c>
      <c r="J446" s="27" t="s">
        <v>386</v>
      </c>
      <c r="K446" s="27">
        <v>886</v>
      </c>
      <c r="L446" s="179">
        <v>5708</v>
      </c>
      <c r="M446" s="180" t="s">
        <v>1752</v>
      </c>
      <c r="N446" s="181" t="s">
        <v>386</v>
      </c>
      <c r="O446" s="182" t="s">
        <v>1753</v>
      </c>
    </row>
    <row r="447" spans="2:15">
      <c r="B447" s="174" t="s">
        <v>2362</v>
      </c>
      <c r="C447" s="175" t="s">
        <v>2363</v>
      </c>
      <c r="D447" s="176" t="s">
        <v>2364</v>
      </c>
      <c r="E447" s="177" t="s">
        <v>1710</v>
      </c>
      <c r="F447" s="175">
        <f t="shared" si="13"/>
        <v>13</v>
      </c>
      <c r="G447" s="175" t="str">
        <f t="shared" si="14"/>
        <v>Bloomington</v>
      </c>
      <c r="H447" s="175"/>
      <c r="I447" s="178" t="s">
        <v>2365</v>
      </c>
      <c r="J447" s="27" t="s">
        <v>2364</v>
      </c>
      <c r="K447" s="27">
        <v>1014</v>
      </c>
      <c r="L447" s="179">
        <v>5615</v>
      </c>
      <c r="M447" s="178" t="s">
        <v>2366</v>
      </c>
      <c r="N447" s="27" t="s">
        <v>2364</v>
      </c>
      <c r="O447" s="182" t="s">
        <v>2367</v>
      </c>
    </row>
    <row r="448" spans="2:15">
      <c r="B448" s="174" t="s">
        <v>1880</v>
      </c>
      <c r="C448" s="175" t="s">
        <v>2363</v>
      </c>
      <c r="D448" s="176" t="s">
        <v>2364</v>
      </c>
      <c r="E448" s="177" t="s">
        <v>547</v>
      </c>
      <c r="F448" s="175">
        <f t="shared" si="13"/>
        <v>12</v>
      </c>
      <c r="G448" s="175" t="str">
        <f t="shared" si="14"/>
        <v>Washington</v>
      </c>
      <c r="H448" s="175"/>
      <c r="I448" s="178" t="s">
        <v>1446</v>
      </c>
      <c r="J448" s="27" t="s">
        <v>2364</v>
      </c>
      <c r="K448" s="27">
        <v>1376</v>
      </c>
      <c r="L448" s="179">
        <v>4708</v>
      </c>
      <c r="M448" s="178" t="s">
        <v>1447</v>
      </c>
      <c r="N448" s="27" t="s">
        <v>2364</v>
      </c>
      <c r="O448" s="182" t="s">
        <v>1448</v>
      </c>
    </row>
    <row r="449" spans="2:15">
      <c r="B449" s="174" t="s">
        <v>543</v>
      </c>
      <c r="C449" s="175" t="s">
        <v>2363</v>
      </c>
      <c r="D449" s="176" t="s">
        <v>2364</v>
      </c>
      <c r="E449" s="177" t="s">
        <v>2501</v>
      </c>
      <c r="F449" s="175">
        <f t="shared" si="13"/>
        <v>12</v>
      </c>
      <c r="G449" s="175" t="str">
        <f t="shared" si="14"/>
        <v>Evansville</v>
      </c>
      <c r="H449" s="175"/>
      <c r="I449" s="178" t="s">
        <v>1446</v>
      </c>
      <c r="J449" s="27" t="s">
        <v>2364</v>
      </c>
      <c r="K449" s="27">
        <v>1376</v>
      </c>
      <c r="L449" s="179">
        <v>4708</v>
      </c>
      <c r="M449" s="178" t="s">
        <v>1447</v>
      </c>
      <c r="N449" s="27" t="s">
        <v>2364</v>
      </c>
      <c r="O449" s="182" t="s">
        <v>1448</v>
      </c>
    </row>
    <row r="450" spans="2:15">
      <c r="B450" s="174" t="s">
        <v>2502</v>
      </c>
      <c r="C450" s="175" t="s">
        <v>2363</v>
      </c>
      <c r="D450" s="176" t="s">
        <v>2364</v>
      </c>
      <c r="E450" s="177" t="s">
        <v>2501</v>
      </c>
      <c r="F450" s="175">
        <f t="shared" si="13"/>
        <v>12</v>
      </c>
      <c r="G450" s="175" t="str">
        <f t="shared" si="14"/>
        <v>Evansville</v>
      </c>
      <c r="H450" s="175"/>
      <c r="I450" s="178" t="s">
        <v>1446</v>
      </c>
      <c r="J450" s="27" t="s">
        <v>2364</v>
      </c>
      <c r="K450" s="27">
        <v>1376</v>
      </c>
      <c r="L450" s="179">
        <v>4708</v>
      </c>
      <c r="M450" s="178" t="s">
        <v>1447</v>
      </c>
      <c r="N450" s="27" t="s">
        <v>2364</v>
      </c>
      <c r="O450" s="182" t="s">
        <v>1448</v>
      </c>
    </row>
    <row r="451" spans="2:15">
      <c r="B451" s="174" t="s">
        <v>826</v>
      </c>
      <c r="C451" s="175" t="s">
        <v>2363</v>
      </c>
      <c r="D451" s="176" t="s">
        <v>2364</v>
      </c>
      <c r="E451" s="177" t="s">
        <v>827</v>
      </c>
      <c r="F451" s="175">
        <f t="shared" si="13"/>
        <v>13</v>
      </c>
      <c r="G451" s="175" t="str">
        <f t="shared" si="14"/>
        <v>Terre Haute</v>
      </c>
      <c r="H451" s="175"/>
      <c r="I451" s="178" t="s">
        <v>2365</v>
      </c>
      <c r="J451" s="27" t="s">
        <v>2364</v>
      </c>
      <c r="K451" s="27">
        <v>1014</v>
      </c>
      <c r="L451" s="179">
        <v>5615</v>
      </c>
      <c r="M451" s="178" t="s">
        <v>2366</v>
      </c>
      <c r="N451" s="27" t="s">
        <v>2364</v>
      </c>
      <c r="O451" s="182" t="s">
        <v>2367</v>
      </c>
    </row>
    <row r="452" spans="2:15">
      <c r="B452" s="174" t="s">
        <v>957</v>
      </c>
      <c r="C452" s="175" t="s">
        <v>2363</v>
      </c>
      <c r="D452" s="176" t="s">
        <v>2364</v>
      </c>
      <c r="E452" s="177" t="s">
        <v>958</v>
      </c>
      <c r="F452" s="175">
        <f t="shared" si="13"/>
        <v>11</v>
      </c>
      <c r="G452" s="175" t="str">
        <f t="shared" si="14"/>
        <v>Lafayette</v>
      </c>
      <c r="H452" s="175"/>
      <c r="I452" s="178" t="s">
        <v>2031</v>
      </c>
      <c r="J452" s="27" t="s">
        <v>2364</v>
      </c>
      <c r="K452" s="27">
        <v>728</v>
      </c>
      <c r="L452" s="179">
        <v>6331</v>
      </c>
      <c r="M452" s="178" t="s">
        <v>2070</v>
      </c>
      <c r="N452" s="27" t="s">
        <v>2364</v>
      </c>
      <c r="O452" s="182" t="s">
        <v>2071</v>
      </c>
    </row>
    <row r="453" spans="2:15">
      <c r="B453" s="174" t="s">
        <v>320</v>
      </c>
      <c r="C453" s="175" t="s">
        <v>480</v>
      </c>
      <c r="D453" s="176" t="s">
        <v>481</v>
      </c>
      <c r="E453" s="177" t="s">
        <v>321</v>
      </c>
      <c r="F453" s="175">
        <f t="shared" si="13"/>
        <v>11</v>
      </c>
      <c r="G453" s="175" t="str">
        <f t="shared" si="14"/>
        <v>Royal Oak</v>
      </c>
      <c r="H453" s="175"/>
      <c r="I453" s="178" t="s">
        <v>483</v>
      </c>
      <c r="J453" s="27" t="s">
        <v>481</v>
      </c>
      <c r="K453" s="27">
        <v>626</v>
      </c>
      <c r="L453" s="179">
        <v>6569</v>
      </c>
      <c r="M453" s="178" t="s">
        <v>484</v>
      </c>
      <c r="N453" s="27" t="s">
        <v>481</v>
      </c>
      <c r="O453" s="182" t="s">
        <v>485</v>
      </c>
    </row>
    <row r="454" spans="2:15">
      <c r="B454" s="174" t="s">
        <v>479</v>
      </c>
      <c r="C454" s="175" t="s">
        <v>480</v>
      </c>
      <c r="D454" s="176" t="s">
        <v>481</v>
      </c>
      <c r="E454" s="177" t="s">
        <v>482</v>
      </c>
      <c r="F454" s="175">
        <f t="shared" si="13"/>
        <v>11</v>
      </c>
      <c r="G454" s="175" t="str">
        <f t="shared" si="14"/>
        <v>Ann Arbor</v>
      </c>
      <c r="H454" s="175"/>
      <c r="I454" s="178" t="s">
        <v>483</v>
      </c>
      <c r="J454" s="27" t="s">
        <v>481</v>
      </c>
      <c r="K454" s="27">
        <v>626</v>
      </c>
      <c r="L454" s="179">
        <v>6569</v>
      </c>
      <c r="M454" s="178" t="s">
        <v>484</v>
      </c>
      <c r="N454" s="27" t="s">
        <v>481</v>
      </c>
      <c r="O454" s="182" t="s">
        <v>485</v>
      </c>
    </row>
    <row r="455" spans="2:15">
      <c r="B455" s="174" t="s">
        <v>1778</v>
      </c>
      <c r="C455" s="175" t="s">
        <v>480</v>
      </c>
      <c r="D455" s="176" t="s">
        <v>481</v>
      </c>
      <c r="E455" s="177" t="s">
        <v>1779</v>
      </c>
      <c r="F455" s="175">
        <f t="shared" si="13"/>
        <v>9</v>
      </c>
      <c r="G455" s="175" t="str">
        <f t="shared" si="14"/>
        <v>Detroit</v>
      </c>
      <c r="H455" s="175"/>
      <c r="I455" s="178" t="s">
        <v>483</v>
      </c>
      <c r="J455" s="27" t="s">
        <v>481</v>
      </c>
      <c r="K455" s="27">
        <v>626</v>
      </c>
      <c r="L455" s="179">
        <v>6569</v>
      </c>
      <c r="M455" s="178" t="s">
        <v>484</v>
      </c>
      <c r="N455" s="27" t="s">
        <v>481</v>
      </c>
      <c r="O455" s="182" t="s">
        <v>485</v>
      </c>
    </row>
    <row r="456" spans="2:15">
      <c r="B456" s="174" t="s">
        <v>1780</v>
      </c>
      <c r="C456" s="175" t="s">
        <v>480</v>
      </c>
      <c r="D456" s="176" t="s">
        <v>481</v>
      </c>
      <c r="E456" s="177" t="s">
        <v>1779</v>
      </c>
      <c r="F456" s="175">
        <f t="shared" si="13"/>
        <v>9</v>
      </c>
      <c r="G456" s="175" t="str">
        <f t="shared" si="14"/>
        <v>Detroit</v>
      </c>
      <c r="H456" s="175"/>
      <c r="I456" s="178" t="s">
        <v>483</v>
      </c>
      <c r="J456" s="27" t="s">
        <v>481</v>
      </c>
      <c r="K456" s="27">
        <v>626</v>
      </c>
      <c r="L456" s="179">
        <v>6569</v>
      </c>
      <c r="M456" s="178" t="s">
        <v>484</v>
      </c>
      <c r="N456" s="27" t="s">
        <v>481</v>
      </c>
      <c r="O456" s="182" t="s">
        <v>485</v>
      </c>
    </row>
    <row r="457" spans="2:15">
      <c r="B457" s="174" t="s">
        <v>1995</v>
      </c>
      <c r="C457" s="175" t="s">
        <v>480</v>
      </c>
      <c r="D457" s="176" t="s">
        <v>481</v>
      </c>
      <c r="E457" s="177" t="s">
        <v>1996</v>
      </c>
      <c r="F457" s="175">
        <f t="shared" si="13"/>
        <v>7</v>
      </c>
      <c r="G457" s="175" t="str">
        <f t="shared" si="14"/>
        <v>Flint</v>
      </c>
      <c r="H457" s="175"/>
      <c r="I457" s="178" t="s">
        <v>1997</v>
      </c>
      <c r="J457" s="27" t="s">
        <v>481</v>
      </c>
      <c r="K457" s="27">
        <v>490</v>
      </c>
      <c r="L457" s="179">
        <v>7101</v>
      </c>
      <c r="M457" s="180" t="s">
        <v>1998</v>
      </c>
      <c r="N457" s="181" t="s">
        <v>481</v>
      </c>
      <c r="O457" s="182" t="s">
        <v>1999</v>
      </c>
    </row>
    <row r="458" spans="2:15">
      <c r="B458" s="174" t="s">
        <v>2000</v>
      </c>
      <c r="C458" s="175" t="s">
        <v>480</v>
      </c>
      <c r="D458" s="176" t="s">
        <v>481</v>
      </c>
      <c r="E458" s="177" t="s">
        <v>1996</v>
      </c>
      <c r="F458" s="175">
        <f t="shared" ref="F458:F521" si="15">LEN(E458)</f>
        <v>7</v>
      </c>
      <c r="G458" s="175" t="str">
        <f t="shared" ref="G458:G521" si="16">MID(E458,2,F458-2)</f>
        <v>Flint</v>
      </c>
      <c r="H458" s="175"/>
      <c r="I458" s="178" t="s">
        <v>2001</v>
      </c>
      <c r="J458" s="27" t="s">
        <v>481</v>
      </c>
      <c r="K458" s="27">
        <v>483</v>
      </c>
      <c r="L458" s="179">
        <v>6979</v>
      </c>
      <c r="M458" s="180" t="s">
        <v>1998</v>
      </c>
      <c r="N458" s="181" t="s">
        <v>481</v>
      </c>
      <c r="O458" s="182" t="s">
        <v>1999</v>
      </c>
    </row>
    <row r="459" spans="2:15">
      <c r="B459" s="174" t="s">
        <v>332</v>
      </c>
      <c r="C459" s="175" t="s">
        <v>480</v>
      </c>
      <c r="D459" s="176" t="s">
        <v>481</v>
      </c>
      <c r="E459" s="177" t="s">
        <v>333</v>
      </c>
      <c r="F459" s="175">
        <f t="shared" si="15"/>
        <v>9</v>
      </c>
      <c r="G459" s="175" t="str">
        <f t="shared" si="16"/>
        <v>Saginaw</v>
      </c>
      <c r="H459" s="175"/>
      <c r="I459" s="178" t="s">
        <v>1997</v>
      </c>
      <c r="J459" s="27" t="s">
        <v>481</v>
      </c>
      <c r="K459" s="27">
        <v>490</v>
      </c>
      <c r="L459" s="179">
        <v>7101</v>
      </c>
      <c r="M459" s="180" t="s">
        <v>976</v>
      </c>
      <c r="N459" s="181" t="s">
        <v>481</v>
      </c>
      <c r="O459" s="182" t="s">
        <v>977</v>
      </c>
    </row>
    <row r="460" spans="2:15">
      <c r="B460" s="174" t="s">
        <v>334</v>
      </c>
      <c r="C460" s="175" t="s">
        <v>480</v>
      </c>
      <c r="D460" s="176" t="s">
        <v>481</v>
      </c>
      <c r="E460" s="177" t="s">
        <v>333</v>
      </c>
      <c r="F460" s="175">
        <f t="shared" si="15"/>
        <v>9</v>
      </c>
      <c r="G460" s="175" t="str">
        <f t="shared" si="16"/>
        <v>Saginaw</v>
      </c>
      <c r="H460" s="175"/>
      <c r="I460" s="178" t="s">
        <v>2001</v>
      </c>
      <c r="J460" s="27" t="s">
        <v>481</v>
      </c>
      <c r="K460" s="27">
        <v>483</v>
      </c>
      <c r="L460" s="179">
        <v>6979</v>
      </c>
      <c r="M460" s="180" t="s">
        <v>1998</v>
      </c>
      <c r="N460" s="181" t="s">
        <v>481</v>
      </c>
      <c r="O460" s="182" t="s">
        <v>1999</v>
      </c>
    </row>
    <row r="461" spans="2:15">
      <c r="B461" s="174" t="s">
        <v>974</v>
      </c>
      <c r="C461" s="175" t="s">
        <v>480</v>
      </c>
      <c r="D461" s="176" t="s">
        <v>481</v>
      </c>
      <c r="E461" s="177" t="s">
        <v>975</v>
      </c>
      <c r="F461" s="175">
        <f t="shared" si="15"/>
        <v>9</v>
      </c>
      <c r="G461" s="175" t="str">
        <f t="shared" si="16"/>
        <v>Lansing</v>
      </c>
      <c r="H461" s="175"/>
      <c r="I461" s="178" t="s">
        <v>2001</v>
      </c>
      <c r="J461" s="27" t="s">
        <v>481</v>
      </c>
      <c r="K461" s="27">
        <v>483</v>
      </c>
      <c r="L461" s="179">
        <v>6979</v>
      </c>
      <c r="M461" s="180" t="s">
        <v>976</v>
      </c>
      <c r="N461" s="181" t="s">
        <v>481</v>
      </c>
      <c r="O461" s="182" t="s">
        <v>977</v>
      </c>
    </row>
    <row r="462" spans="2:15">
      <c r="B462" s="174" t="s">
        <v>978</v>
      </c>
      <c r="C462" s="175" t="s">
        <v>480</v>
      </c>
      <c r="D462" s="176" t="s">
        <v>481</v>
      </c>
      <c r="E462" s="177" t="s">
        <v>975</v>
      </c>
      <c r="F462" s="175">
        <f t="shared" si="15"/>
        <v>9</v>
      </c>
      <c r="G462" s="175" t="str">
        <f t="shared" si="16"/>
        <v>Lansing</v>
      </c>
      <c r="H462" s="175"/>
      <c r="I462" s="178" t="s">
        <v>1997</v>
      </c>
      <c r="J462" s="27" t="s">
        <v>481</v>
      </c>
      <c r="K462" s="27">
        <v>490</v>
      </c>
      <c r="L462" s="179">
        <v>7101</v>
      </c>
      <c r="M462" s="180" t="s">
        <v>976</v>
      </c>
      <c r="N462" s="181" t="s">
        <v>481</v>
      </c>
      <c r="O462" s="182" t="s">
        <v>977</v>
      </c>
    </row>
    <row r="463" spans="2:15">
      <c r="B463" s="174" t="s">
        <v>120</v>
      </c>
      <c r="C463" s="175" t="s">
        <v>480</v>
      </c>
      <c r="D463" s="176" t="s">
        <v>481</v>
      </c>
      <c r="E463" s="177" t="s">
        <v>121</v>
      </c>
      <c r="F463" s="175">
        <f t="shared" si="15"/>
        <v>11</v>
      </c>
      <c r="G463" s="175" t="str">
        <f t="shared" si="16"/>
        <v>Kalamazoo</v>
      </c>
      <c r="H463" s="175"/>
      <c r="I463" s="178" t="s">
        <v>2031</v>
      </c>
      <c r="J463" s="27" t="s">
        <v>2364</v>
      </c>
      <c r="K463" s="27">
        <v>728</v>
      </c>
      <c r="L463" s="179">
        <v>6331</v>
      </c>
      <c r="M463" s="178" t="s">
        <v>2070</v>
      </c>
      <c r="N463" s="27" t="s">
        <v>2364</v>
      </c>
      <c r="O463" s="182" t="s">
        <v>2071</v>
      </c>
    </row>
    <row r="464" spans="2:15">
      <c r="B464" s="174" t="s">
        <v>122</v>
      </c>
      <c r="C464" s="175" t="s">
        <v>480</v>
      </c>
      <c r="D464" s="176" t="s">
        <v>481</v>
      </c>
      <c r="E464" s="177" t="s">
        <v>121</v>
      </c>
      <c r="F464" s="175">
        <f t="shared" si="15"/>
        <v>11</v>
      </c>
      <c r="G464" s="175" t="str">
        <f t="shared" si="16"/>
        <v>Kalamazoo</v>
      </c>
      <c r="H464" s="175"/>
      <c r="I464" s="178" t="s">
        <v>2031</v>
      </c>
      <c r="J464" s="27" t="s">
        <v>2364</v>
      </c>
      <c r="K464" s="27">
        <v>728</v>
      </c>
      <c r="L464" s="179">
        <v>6331</v>
      </c>
      <c r="M464" s="178" t="s">
        <v>2070</v>
      </c>
      <c r="N464" s="27" t="s">
        <v>2364</v>
      </c>
      <c r="O464" s="182" t="s">
        <v>2071</v>
      </c>
    </row>
    <row r="465" spans="2:15">
      <c r="B465" s="174" t="s">
        <v>82</v>
      </c>
      <c r="C465" s="175" t="s">
        <v>480</v>
      </c>
      <c r="D465" s="176" t="s">
        <v>481</v>
      </c>
      <c r="E465" s="177" t="s">
        <v>83</v>
      </c>
      <c r="F465" s="175">
        <f t="shared" si="15"/>
        <v>9</v>
      </c>
      <c r="G465" s="175" t="str">
        <f t="shared" si="16"/>
        <v>Jackson</v>
      </c>
      <c r="H465" s="175"/>
      <c r="I465" s="178" t="s">
        <v>620</v>
      </c>
      <c r="J465" s="27" t="s">
        <v>386</v>
      </c>
      <c r="K465" s="27">
        <v>610</v>
      </c>
      <c r="L465" s="179">
        <v>6579</v>
      </c>
      <c r="M465" s="180" t="s">
        <v>621</v>
      </c>
      <c r="N465" s="181" t="s">
        <v>386</v>
      </c>
      <c r="O465" s="182" t="s">
        <v>622</v>
      </c>
    </row>
    <row r="466" spans="2:15">
      <c r="B466" s="174" t="s">
        <v>2098</v>
      </c>
      <c r="C466" s="175" t="s">
        <v>480</v>
      </c>
      <c r="D466" s="176" t="s">
        <v>481</v>
      </c>
      <c r="E466" s="177" t="s">
        <v>2099</v>
      </c>
      <c r="F466" s="175">
        <f t="shared" si="15"/>
        <v>14</v>
      </c>
      <c r="G466" s="175" t="str">
        <f t="shared" si="16"/>
        <v>Grand Rapids</v>
      </c>
      <c r="H466" s="175"/>
      <c r="I466" s="178" t="s">
        <v>2100</v>
      </c>
      <c r="J466" s="27" t="s">
        <v>481</v>
      </c>
      <c r="K466" s="27">
        <v>431</v>
      </c>
      <c r="L466" s="179">
        <v>6924</v>
      </c>
      <c r="M466" s="180" t="s">
        <v>2101</v>
      </c>
      <c r="N466" s="181" t="s">
        <v>481</v>
      </c>
      <c r="O466" s="182" t="s">
        <v>2102</v>
      </c>
    </row>
    <row r="467" spans="2:15">
      <c r="B467" s="174" t="s">
        <v>1107</v>
      </c>
      <c r="C467" s="175" t="s">
        <v>480</v>
      </c>
      <c r="D467" s="176" t="s">
        <v>481</v>
      </c>
      <c r="E467" s="177" t="s">
        <v>1108</v>
      </c>
      <c r="F467" s="175">
        <f t="shared" si="15"/>
        <v>10</v>
      </c>
      <c r="G467" s="175" t="str">
        <f t="shared" si="16"/>
        <v>Muskegon</v>
      </c>
      <c r="H467" s="175"/>
      <c r="I467" s="178" t="s">
        <v>2100</v>
      </c>
      <c r="J467" s="27" t="s">
        <v>481</v>
      </c>
      <c r="K467" s="27">
        <v>431</v>
      </c>
      <c r="L467" s="179">
        <v>6924</v>
      </c>
      <c r="M467" s="180" t="s">
        <v>2101</v>
      </c>
      <c r="N467" s="181" t="s">
        <v>481</v>
      </c>
      <c r="O467" s="182" t="s">
        <v>2102</v>
      </c>
    </row>
    <row r="468" spans="2:15">
      <c r="B468" s="174" t="s">
        <v>2103</v>
      </c>
      <c r="C468" s="175" t="s">
        <v>480</v>
      </c>
      <c r="D468" s="176" t="s">
        <v>481</v>
      </c>
      <c r="E468" s="177" t="s">
        <v>2099</v>
      </c>
      <c r="F468" s="175">
        <f t="shared" si="15"/>
        <v>14</v>
      </c>
      <c r="G468" s="175" t="str">
        <f t="shared" si="16"/>
        <v>Grand Rapids</v>
      </c>
      <c r="H468" s="175"/>
      <c r="I468" s="178" t="s">
        <v>2104</v>
      </c>
      <c r="J468" s="27" t="s">
        <v>481</v>
      </c>
      <c r="K468" s="27">
        <v>534</v>
      </c>
      <c r="L468" s="179">
        <v>6973</v>
      </c>
      <c r="M468" s="180" t="s">
        <v>2101</v>
      </c>
      <c r="N468" s="181" t="s">
        <v>481</v>
      </c>
      <c r="O468" s="182" t="s">
        <v>2102</v>
      </c>
    </row>
    <row r="469" spans="2:15">
      <c r="B469" s="174" t="s">
        <v>846</v>
      </c>
      <c r="C469" s="175" t="s">
        <v>480</v>
      </c>
      <c r="D469" s="176" t="s">
        <v>481</v>
      </c>
      <c r="E469" s="177" t="s">
        <v>1820</v>
      </c>
      <c r="F469" s="175">
        <f t="shared" si="15"/>
        <v>15</v>
      </c>
      <c r="G469" s="175" t="str">
        <f t="shared" si="16"/>
        <v>Traverse City</v>
      </c>
      <c r="H469" s="175"/>
      <c r="I469" s="178" t="s">
        <v>1821</v>
      </c>
      <c r="J469" s="27" t="s">
        <v>481</v>
      </c>
      <c r="K469" s="27">
        <v>231</v>
      </c>
      <c r="L469" s="179">
        <v>8284</v>
      </c>
      <c r="M469" s="180" t="s">
        <v>763</v>
      </c>
      <c r="N469" s="181" t="s">
        <v>481</v>
      </c>
      <c r="O469" s="182" t="s">
        <v>764</v>
      </c>
    </row>
    <row r="470" spans="2:15">
      <c r="B470" s="174" t="s">
        <v>2228</v>
      </c>
      <c r="C470" s="175" t="s">
        <v>480</v>
      </c>
      <c r="D470" s="176" t="s">
        <v>481</v>
      </c>
      <c r="E470" s="177" t="s">
        <v>2229</v>
      </c>
      <c r="F470" s="175">
        <f t="shared" si="15"/>
        <v>15</v>
      </c>
      <c r="G470" s="175" t="str">
        <f t="shared" si="16"/>
        <v>Mackinaw City</v>
      </c>
      <c r="H470" s="175"/>
      <c r="I470" s="178" t="s">
        <v>2230</v>
      </c>
      <c r="J470" s="27" t="s">
        <v>481</v>
      </c>
      <c r="K470" s="27">
        <v>131</v>
      </c>
      <c r="L470" s="179">
        <v>9316</v>
      </c>
      <c r="M470" s="180" t="s">
        <v>763</v>
      </c>
      <c r="N470" s="181" t="s">
        <v>481</v>
      </c>
      <c r="O470" s="182" t="s">
        <v>764</v>
      </c>
    </row>
    <row r="471" spans="2:15">
      <c r="B471" s="174" t="s">
        <v>76</v>
      </c>
      <c r="C471" s="175" t="s">
        <v>480</v>
      </c>
      <c r="D471" s="176" t="s">
        <v>481</v>
      </c>
      <c r="E471" s="177" t="s">
        <v>77</v>
      </c>
      <c r="F471" s="175">
        <f t="shared" si="15"/>
        <v>15</v>
      </c>
      <c r="G471" s="175" t="str">
        <f t="shared" si="16"/>
        <v>Iron Mountain</v>
      </c>
      <c r="H471" s="175"/>
      <c r="I471" s="178" t="s">
        <v>78</v>
      </c>
      <c r="J471" s="27" t="s">
        <v>481</v>
      </c>
      <c r="K471" s="27">
        <v>155</v>
      </c>
      <c r="L471" s="179">
        <v>9567</v>
      </c>
      <c r="M471" s="180" t="s">
        <v>763</v>
      </c>
      <c r="N471" s="181" t="s">
        <v>481</v>
      </c>
      <c r="O471" s="182" t="s">
        <v>764</v>
      </c>
    </row>
    <row r="472" spans="2:15">
      <c r="B472" s="174" t="s">
        <v>760</v>
      </c>
      <c r="C472" s="175" t="s">
        <v>480</v>
      </c>
      <c r="D472" s="176" t="s">
        <v>481</v>
      </c>
      <c r="E472" s="177" t="s">
        <v>761</v>
      </c>
      <c r="F472" s="175">
        <f t="shared" si="15"/>
        <v>10</v>
      </c>
      <c r="G472" s="175" t="str">
        <f t="shared" si="16"/>
        <v>Houghton</v>
      </c>
      <c r="H472" s="175"/>
      <c r="I472" s="178" t="s">
        <v>762</v>
      </c>
      <c r="J472" s="27" t="s">
        <v>481</v>
      </c>
      <c r="K472" s="27">
        <v>256</v>
      </c>
      <c r="L472" s="179">
        <v>8218</v>
      </c>
      <c r="M472" s="180" t="s">
        <v>763</v>
      </c>
      <c r="N472" s="181" t="s">
        <v>481</v>
      </c>
      <c r="O472" s="182" t="s">
        <v>764</v>
      </c>
    </row>
    <row r="473" spans="2:15">
      <c r="B473" s="174" t="s">
        <v>1770</v>
      </c>
      <c r="C473" s="175" t="s">
        <v>1394</v>
      </c>
      <c r="D473" s="176" t="s">
        <v>1395</v>
      </c>
      <c r="E473" s="177" t="s">
        <v>1771</v>
      </c>
      <c r="F473" s="175">
        <f t="shared" si="15"/>
        <v>12</v>
      </c>
      <c r="G473" s="175" t="str">
        <f t="shared" si="16"/>
        <v>Des Moines</v>
      </c>
      <c r="H473" s="175"/>
      <c r="I473" s="178" t="s">
        <v>2421</v>
      </c>
      <c r="J473" s="27" t="s">
        <v>1395</v>
      </c>
      <c r="K473" s="27">
        <v>1036</v>
      </c>
      <c r="L473" s="179">
        <v>6497</v>
      </c>
      <c r="M473" s="180" t="s">
        <v>1398</v>
      </c>
      <c r="N473" s="181" t="s">
        <v>1395</v>
      </c>
      <c r="O473" s="182" t="s">
        <v>1399</v>
      </c>
    </row>
    <row r="474" spans="2:15">
      <c r="B474" s="174" t="s">
        <v>1772</v>
      </c>
      <c r="C474" s="175" t="s">
        <v>1394</v>
      </c>
      <c r="D474" s="176" t="s">
        <v>1395</v>
      </c>
      <c r="E474" s="177" t="s">
        <v>1771</v>
      </c>
      <c r="F474" s="175">
        <f t="shared" si="15"/>
        <v>12</v>
      </c>
      <c r="G474" s="175" t="str">
        <f t="shared" si="16"/>
        <v>Des Moines</v>
      </c>
      <c r="H474" s="175"/>
      <c r="I474" s="178" t="s">
        <v>2421</v>
      </c>
      <c r="J474" s="27" t="s">
        <v>1395</v>
      </c>
      <c r="K474" s="27">
        <v>1036</v>
      </c>
      <c r="L474" s="179">
        <v>6497</v>
      </c>
      <c r="M474" s="180" t="s">
        <v>1398</v>
      </c>
      <c r="N474" s="181" t="s">
        <v>1395</v>
      </c>
      <c r="O474" s="182" t="s">
        <v>1399</v>
      </c>
    </row>
    <row r="475" spans="2:15">
      <c r="B475" s="174" t="s">
        <v>1773</v>
      </c>
      <c r="C475" s="175" t="s">
        <v>1394</v>
      </c>
      <c r="D475" s="176" t="s">
        <v>1395</v>
      </c>
      <c r="E475" s="177" t="s">
        <v>1771</v>
      </c>
      <c r="F475" s="175">
        <f t="shared" si="15"/>
        <v>12</v>
      </c>
      <c r="G475" s="175" t="str">
        <f t="shared" si="16"/>
        <v>Des Moines</v>
      </c>
      <c r="H475" s="175"/>
      <c r="I475" s="178" t="s">
        <v>2421</v>
      </c>
      <c r="J475" s="27" t="s">
        <v>1395</v>
      </c>
      <c r="K475" s="27">
        <v>1036</v>
      </c>
      <c r="L475" s="179">
        <v>6497</v>
      </c>
      <c r="M475" s="180" t="s">
        <v>1398</v>
      </c>
      <c r="N475" s="181" t="s">
        <v>1395</v>
      </c>
      <c r="O475" s="182" t="s">
        <v>1399</v>
      </c>
    </row>
    <row r="476" spans="2:15">
      <c r="B476" s="174" t="s">
        <v>1774</v>
      </c>
      <c r="C476" s="175" t="s">
        <v>1394</v>
      </c>
      <c r="D476" s="176" t="s">
        <v>1395</v>
      </c>
      <c r="E476" s="177" t="s">
        <v>1771</v>
      </c>
      <c r="F476" s="175">
        <f t="shared" si="15"/>
        <v>12</v>
      </c>
      <c r="G476" s="175" t="str">
        <f t="shared" si="16"/>
        <v>Des Moines</v>
      </c>
      <c r="H476" s="175"/>
      <c r="I476" s="178" t="s">
        <v>2421</v>
      </c>
      <c r="J476" s="27" t="s">
        <v>1395</v>
      </c>
      <c r="K476" s="27">
        <v>1036</v>
      </c>
      <c r="L476" s="179">
        <v>6497</v>
      </c>
      <c r="M476" s="180" t="s">
        <v>1398</v>
      </c>
      <c r="N476" s="181" t="s">
        <v>1395</v>
      </c>
      <c r="O476" s="182" t="s">
        <v>1399</v>
      </c>
    </row>
    <row r="477" spans="2:15">
      <c r="B477" s="174" t="s">
        <v>1182</v>
      </c>
      <c r="C477" s="175" t="s">
        <v>1394</v>
      </c>
      <c r="D477" s="176" t="s">
        <v>1395</v>
      </c>
      <c r="E477" s="177" t="s">
        <v>1183</v>
      </c>
      <c r="F477" s="175">
        <f t="shared" si="15"/>
        <v>12</v>
      </c>
      <c r="G477" s="175" t="str">
        <f t="shared" si="16"/>
        <v>Mason City</v>
      </c>
      <c r="H477" s="175"/>
      <c r="I477" s="178" t="s">
        <v>2424</v>
      </c>
      <c r="J477" s="27" t="s">
        <v>1395</v>
      </c>
      <c r="K477" s="27">
        <v>702</v>
      </c>
      <c r="L477" s="179">
        <v>7406</v>
      </c>
      <c r="M477" s="180" t="s">
        <v>1398</v>
      </c>
      <c r="N477" s="181" t="s">
        <v>1395</v>
      </c>
      <c r="O477" s="182" t="s">
        <v>1399</v>
      </c>
    </row>
    <row r="478" spans="2:15">
      <c r="B478" s="174" t="s">
        <v>2008</v>
      </c>
      <c r="C478" s="175" t="s">
        <v>1394</v>
      </c>
      <c r="D478" s="176" t="s">
        <v>1395</v>
      </c>
      <c r="E478" s="177" t="s">
        <v>2009</v>
      </c>
      <c r="F478" s="175">
        <f t="shared" si="15"/>
        <v>12</v>
      </c>
      <c r="G478" s="175" t="str">
        <f t="shared" si="16"/>
        <v>Fort Dodge</v>
      </c>
      <c r="H478" s="175"/>
      <c r="I478" s="178" t="s">
        <v>1458</v>
      </c>
      <c r="J478" s="27" t="s">
        <v>1395</v>
      </c>
      <c r="K478" s="27">
        <v>907</v>
      </c>
      <c r="L478" s="179">
        <v>6893</v>
      </c>
      <c r="M478" s="178" t="s">
        <v>1459</v>
      </c>
      <c r="N478" s="27" t="s">
        <v>1395</v>
      </c>
      <c r="O478" s="182" t="s">
        <v>1460</v>
      </c>
    </row>
    <row r="479" spans="2:15">
      <c r="B479" s="174" t="s">
        <v>1884</v>
      </c>
      <c r="C479" s="175" t="s">
        <v>1394</v>
      </c>
      <c r="D479" s="176" t="s">
        <v>1395</v>
      </c>
      <c r="E479" s="177" t="s">
        <v>1885</v>
      </c>
      <c r="F479" s="175">
        <f t="shared" si="15"/>
        <v>10</v>
      </c>
      <c r="G479" s="175" t="str">
        <f t="shared" si="16"/>
        <v>Waterloo</v>
      </c>
      <c r="H479" s="175"/>
      <c r="I479" s="178" t="s">
        <v>2424</v>
      </c>
      <c r="J479" s="27" t="s">
        <v>1395</v>
      </c>
      <c r="K479" s="27">
        <v>702</v>
      </c>
      <c r="L479" s="179">
        <v>7406</v>
      </c>
      <c r="M479" s="180" t="s">
        <v>1398</v>
      </c>
      <c r="N479" s="181" t="s">
        <v>1395</v>
      </c>
      <c r="O479" s="182" t="s">
        <v>1399</v>
      </c>
    </row>
    <row r="480" spans="2:15">
      <c r="B480" s="174" t="s">
        <v>1886</v>
      </c>
      <c r="C480" s="175" t="s">
        <v>1394</v>
      </c>
      <c r="D480" s="176" t="s">
        <v>1395</v>
      </c>
      <c r="E480" s="177" t="s">
        <v>1885</v>
      </c>
      <c r="F480" s="175">
        <f t="shared" si="15"/>
        <v>10</v>
      </c>
      <c r="G480" s="175" t="str">
        <f t="shared" si="16"/>
        <v>Waterloo</v>
      </c>
      <c r="H480" s="175"/>
      <c r="I480" s="178" t="s">
        <v>2424</v>
      </c>
      <c r="J480" s="27" t="s">
        <v>1395</v>
      </c>
      <c r="K480" s="27">
        <v>702</v>
      </c>
      <c r="L480" s="179">
        <v>7406</v>
      </c>
      <c r="M480" s="180" t="s">
        <v>1398</v>
      </c>
      <c r="N480" s="181" t="s">
        <v>1395</v>
      </c>
      <c r="O480" s="182" t="s">
        <v>1399</v>
      </c>
    </row>
    <row r="481" spans="2:15">
      <c r="B481" s="174" t="s">
        <v>1733</v>
      </c>
      <c r="C481" s="175" t="s">
        <v>1394</v>
      </c>
      <c r="D481" s="176" t="s">
        <v>1395</v>
      </c>
      <c r="E481" s="177" t="s">
        <v>1734</v>
      </c>
      <c r="F481" s="175">
        <f t="shared" si="15"/>
        <v>9</v>
      </c>
      <c r="G481" s="175" t="str">
        <f t="shared" si="16"/>
        <v>Creston</v>
      </c>
      <c r="H481" s="175"/>
      <c r="I481" s="178" t="s">
        <v>2421</v>
      </c>
      <c r="J481" s="27" t="s">
        <v>1395</v>
      </c>
      <c r="K481" s="27">
        <v>1036</v>
      </c>
      <c r="L481" s="179">
        <v>6497</v>
      </c>
      <c r="M481" s="180" t="s">
        <v>1398</v>
      </c>
      <c r="N481" s="181" t="s">
        <v>1395</v>
      </c>
      <c r="O481" s="182" t="s">
        <v>1399</v>
      </c>
    </row>
    <row r="482" spans="2:15">
      <c r="B482" s="174" t="s">
        <v>2328</v>
      </c>
      <c r="C482" s="175" t="s">
        <v>1394</v>
      </c>
      <c r="D482" s="176" t="s">
        <v>1395</v>
      </c>
      <c r="E482" s="177" t="s">
        <v>2329</v>
      </c>
      <c r="F482" s="175">
        <f t="shared" si="15"/>
        <v>12</v>
      </c>
      <c r="G482" s="175" t="str">
        <f t="shared" si="16"/>
        <v>Sioux City</v>
      </c>
      <c r="H482" s="175"/>
      <c r="I482" s="178" t="s">
        <v>1458</v>
      </c>
      <c r="J482" s="27" t="s">
        <v>1395</v>
      </c>
      <c r="K482" s="27">
        <v>907</v>
      </c>
      <c r="L482" s="179">
        <v>6893</v>
      </c>
      <c r="M482" s="178" t="s">
        <v>1459</v>
      </c>
      <c r="N482" s="27" t="s">
        <v>1395</v>
      </c>
      <c r="O482" s="182" t="s">
        <v>1460</v>
      </c>
    </row>
    <row r="483" spans="2:15">
      <c r="B483" s="174" t="s">
        <v>2330</v>
      </c>
      <c r="C483" s="175" t="s">
        <v>1394</v>
      </c>
      <c r="D483" s="176" t="s">
        <v>1395</v>
      </c>
      <c r="E483" s="177" t="s">
        <v>2329</v>
      </c>
      <c r="F483" s="175">
        <f t="shared" si="15"/>
        <v>12</v>
      </c>
      <c r="G483" s="175" t="str">
        <f t="shared" si="16"/>
        <v>Sioux City</v>
      </c>
      <c r="H483" s="175"/>
      <c r="I483" s="178" t="s">
        <v>1458</v>
      </c>
      <c r="J483" s="27" t="s">
        <v>1395</v>
      </c>
      <c r="K483" s="27">
        <v>907</v>
      </c>
      <c r="L483" s="179">
        <v>6893</v>
      </c>
      <c r="M483" s="178" t="s">
        <v>1459</v>
      </c>
      <c r="N483" s="27" t="s">
        <v>1395</v>
      </c>
      <c r="O483" s="182" t="s">
        <v>1460</v>
      </c>
    </row>
    <row r="484" spans="2:15">
      <c r="B484" s="174" t="s">
        <v>1349</v>
      </c>
      <c r="C484" s="175" t="s">
        <v>1394</v>
      </c>
      <c r="D484" s="176" t="s">
        <v>1395</v>
      </c>
      <c r="E484" s="177" t="s">
        <v>1350</v>
      </c>
      <c r="F484" s="175">
        <f t="shared" si="15"/>
        <v>9</v>
      </c>
      <c r="G484" s="175" t="str">
        <f t="shared" si="16"/>
        <v>Sheldon</v>
      </c>
      <c r="H484" s="175"/>
      <c r="I484" s="178" t="s">
        <v>1351</v>
      </c>
      <c r="J484" s="27" t="s">
        <v>247</v>
      </c>
      <c r="K484" s="27">
        <v>744</v>
      </c>
      <c r="L484" s="179">
        <v>7809</v>
      </c>
      <c r="M484" s="180" t="s">
        <v>1352</v>
      </c>
      <c r="N484" s="181" t="s">
        <v>247</v>
      </c>
      <c r="O484" s="182" t="s">
        <v>1353</v>
      </c>
    </row>
    <row r="485" spans="2:15">
      <c r="B485" s="174" t="s">
        <v>1294</v>
      </c>
      <c r="C485" s="175" t="s">
        <v>1394</v>
      </c>
      <c r="D485" s="176" t="s">
        <v>1395</v>
      </c>
      <c r="E485" s="177" t="s">
        <v>1295</v>
      </c>
      <c r="F485" s="175">
        <f t="shared" si="15"/>
        <v>9</v>
      </c>
      <c r="G485" s="175" t="str">
        <f t="shared" si="16"/>
        <v>Spencer</v>
      </c>
      <c r="H485" s="175"/>
      <c r="I485" s="178" t="s">
        <v>1351</v>
      </c>
      <c r="J485" s="27" t="s">
        <v>247</v>
      </c>
      <c r="K485" s="27">
        <v>744</v>
      </c>
      <c r="L485" s="179">
        <v>7809</v>
      </c>
      <c r="M485" s="180" t="s">
        <v>1352</v>
      </c>
      <c r="N485" s="181" t="s">
        <v>247</v>
      </c>
      <c r="O485" s="182" t="s">
        <v>1353</v>
      </c>
    </row>
    <row r="486" spans="2:15">
      <c r="B486" s="174" t="s">
        <v>1456</v>
      </c>
      <c r="C486" s="175" t="s">
        <v>1394</v>
      </c>
      <c r="D486" s="176" t="s">
        <v>1395</v>
      </c>
      <c r="E486" s="177" t="s">
        <v>1457</v>
      </c>
      <c r="F486" s="175">
        <f t="shared" si="15"/>
        <v>9</v>
      </c>
      <c r="G486" s="175" t="str">
        <f t="shared" si="16"/>
        <v>Carroll</v>
      </c>
      <c r="H486" s="175"/>
      <c r="I486" s="178" t="s">
        <v>1458</v>
      </c>
      <c r="J486" s="27" t="s">
        <v>1395</v>
      </c>
      <c r="K486" s="27">
        <v>907</v>
      </c>
      <c r="L486" s="179">
        <v>6893</v>
      </c>
      <c r="M486" s="178" t="s">
        <v>1459</v>
      </c>
      <c r="N486" s="27" t="s">
        <v>1395</v>
      </c>
      <c r="O486" s="182" t="s">
        <v>1460</v>
      </c>
    </row>
    <row r="487" spans="2:15">
      <c r="B487" s="174" t="s">
        <v>1726</v>
      </c>
      <c r="C487" s="175" t="s">
        <v>1394</v>
      </c>
      <c r="D487" s="176" t="s">
        <v>1395</v>
      </c>
      <c r="E487" s="177" t="s">
        <v>1727</v>
      </c>
      <c r="F487" s="175">
        <f t="shared" si="15"/>
        <v>16</v>
      </c>
      <c r="G487" s="175" t="str">
        <f t="shared" si="16"/>
        <v>Council Bluffs</v>
      </c>
      <c r="H487" s="175"/>
      <c r="I487" s="178" t="s">
        <v>1728</v>
      </c>
      <c r="J487" s="27" t="s">
        <v>448</v>
      </c>
      <c r="K487" s="27">
        <v>1037</v>
      </c>
      <c r="L487" s="179">
        <v>6413</v>
      </c>
      <c r="M487" s="180" t="s">
        <v>1729</v>
      </c>
      <c r="N487" s="181" t="s">
        <v>448</v>
      </c>
      <c r="O487" s="182" t="s">
        <v>1730</v>
      </c>
    </row>
    <row r="488" spans="2:15">
      <c r="B488" s="174" t="s">
        <v>1354</v>
      </c>
      <c r="C488" s="175" t="s">
        <v>1394</v>
      </c>
      <c r="D488" s="176" t="s">
        <v>1395</v>
      </c>
      <c r="E488" s="177" t="s">
        <v>1355</v>
      </c>
      <c r="F488" s="175">
        <f t="shared" si="15"/>
        <v>12</v>
      </c>
      <c r="G488" s="175" t="str">
        <f t="shared" si="16"/>
        <v>Shenandoah</v>
      </c>
      <c r="H488" s="175"/>
      <c r="I488" s="178" t="s">
        <v>1728</v>
      </c>
      <c r="J488" s="27" t="s">
        <v>448</v>
      </c>
      <c r="K488" s="27">
        <v>1037</v>
      </c>
      <c r="L488" s="179">
        <v>6413</v>
      </c>
      <c r="M488" s="180" t="s">
        <v>1729</v>
      </c>
      <c r="N488" s="181" t="s">
        <v>448</v>
      </c>
      <c r="O488" s="182" t="s">
        <v>1730</v>
      </c>
    </row>
    <row r="489" spans="2:15">
      <c r="B489" s="174" t="s">
        <v>1805</v>
      </c>
      <c r="C489" s="175" t="s">
        <v>1394</v>
      </c>
      <c r="D489" s="176" t="s">
        <v>1395</v>
      </c>
      <c r="E489" s="177" t="s">
        <v>1806</v>
      </c>
      <c r="F489" s="175">
        <f t="shared" si="15"/>
        <v>9</v>
      </c>
      <c r="G489" s="175" t="str">
        <f t="shared" si="16"/>
        <v>Dubuque</v>
      </c>
      <c r="H489" s="175"/>
      <c r="I489" s="178" t="s">
        <v>1807</v>
      </c>
      <c r="J489" s="27" t="s">
        <v>1395</v>
      </c>
      <c r="K489" s="27">
        <v>593</v>
      </c>
      <c r="L489" s="179">
        <v>7327</v>
      </c>
      <c r="M489" s="180" t="s">
        <v>1398</v>
      </c>
      <c r="N489" s="181" t="s">
        <v>1395</v>
      </c>
      <c r="O489" s="182" t="s">
        <v>1399</v>
      </c>
    </row>
    <row r="490" spans="2:15">
      <c r="B490" s="174" t="s">
        <v>1760</v>
      </c>
      <c r="C490" s="175" t="s">
        <v>1394</v>
      </c>
      <c r="D490" s="176" t="s">
        <v>1395</v>
      </c>
      <c r="E490" s="177" t="s">
        <v>1761</v>
      </c>
      <c r="F490" s="175">
        <f t="shared" si="15"/>
        <v>9</v>
      </c>
      <c r="G490" s="175" t="str">
        <f t="shared" si="16"/>
        <v>Decorah</v>
      </c>
      <c r="H490" s="175"/>
      <c r="I490" s="178" t="s">
        <v>1762</v>
      </c>
      <c r="J490" s="27" t="s">
        <v>1763</v>
      </c>
      <c r="K490" s="27">
        <v>692</v>
      </c>
      <c r="L490" s="179">
        <v>7491</v>
      </c>
      <c r="M490" s="180" t="s">
        <v>1398</v>
      </c>
      <c r="N490" s="181" t="s">
        <v>1395</v>
      </c>
      <c r="O490" s="182" t="s">
        <v>1399</v>
      </c>
    </row>
    <row r="491" spans="2:15">
      <c r="B491" s="174" t="s">
        <v>2419</v>
      </c>
      <c r="C491" s="175" t="s">
        <v>1394</v>
      </c>
      <c r="D491" s="176" t="s">
        <v>1395</v>
      </c>
      <c r="E491" s="177" t="s">
        <v>2420</v>
      </c>
      <c r="F491" s="175">
        <f t="shared" si="15"/>
        <v>14</v>
      </c>
      <c r="G491" s="175" t="str">
        <f t="shared" si="16"/>
        <v>Cedar Rapids</v>
      </c>
      <c r="H491" s="175"/>
      <c r="I491" s="178" t="s">
        <v>2421</v>
      </c>
      <c r="J491" s="27" t="s">
        <v>1395</v>
      </c>
      <c r="K491" s="27">
        <v>1036</v>
      </c>
      <c r="L491" s="179">
        <v>6497</v>
      </c>
      <c r="M491" s="180" t="s">
        <v>1398</v>
      </c>
      <c r="N491" s="181" t="s">
        <v>1395</v>
      </c>
      <c r="O491" s="182" t="s">
        <v>1399</v>
      </c>
    </row>
    <row r="492" spans="2:15">
      <c r="B492" s="174" t="s">
        <v>2422</v>
      </c>
      <c r="C492" s="175" t="s">
        <v>1394</v>
      </c>
      <c r="D492" s="176" t="s">
        <v>1395</v>
      </c>
      <c r="E492" s="177" t="s">
        <v>2420</v>
      </c>
      <c r="F492" s="175">
        <f t="shared" si="15"/>
        <v>14</v>
      </c>
      <c r="G492" s="175" t="str">
        <f t="shared" si="16"/>
        <v>Cedar Rapids</v>
      </c>
      <c r="H492" s="175"/>
      <c r="I492" s="178" t="s">
        <v>2421</v>
      </c>
      <c r="J492" s="27" t="s">
        <v>1395</v>
      </c>
      <c r="K492" s="27">
        <v>1036</v>
      </c>
      <c r="L492" s="179">
        <v>6497</v>
      </c>
      <c r="M492" s="180" t="s">
        <v>1398</v>
      </c>
      <c r="N492" s="181" t="s">
        <v>1395</v>
      </c>
      <c r="O492" s="182" t="s">
        <v>1399</v>
      </c>
    </row>
    <row r="493" spans="2:15">
      <c r="B493" s="174" t="s">
        <v>2423</v>
      </c>
      <c r="C493" s="175" t="s">
        <v>1394</v>
      </c>
      <c r="D493" s="176" t="s">
        <v>1395</v>
      </c>
      <c r="E493" s="177" t="s">
        <v>2420</v>
      </c>
      <c r="F493" s="175">
        <f t="shared" si="15"/>
        <v>14</v>
      </c>
      <c r="G493" s="175" t="str">
        <f t="shared" si="16"/>
        <v>Cedar Rapids</v>
      </c>
      <c r="H493" s="175"/>
      <c r="I493" s="178" t="s">
        <v>2424</v>
      </c>
      <c r="J493" s="27" t="s">
        <v>1395</v>
      </c>
      <c r="K493" s="27">
        <v>702</v>
      </c>
      <c r="L493" s="179">
        <v>7406</v>
      </c>
      <c r="M493" s="180" t="s">
        <v>1398</v>
      </c>
      <c r="N493" s="181" t="s">
        <v>1395</v>
      </c>
      <c r="O493" s="182" t="s">
        <v>1399</v>
      </c>
    </row>
    <row r="494" spans="2:15">
      <c r="B494" s="174" t="s">
        <v>1531</v>
      </c>
      <c r="C494" s="175" t="s">
        <v>1394</v>
      </c>
      <c r="D494" s="176" t="s">
        <v>1395</v>
      </c>
      <c r="E494" s="177" t="s">
        <v>1532</v>
      </c>
      <c r="F494" s="175">
        <f t="shared" si="15"/>
        <v>9</v>
      </c>
      <c r="G494" s="175" t="str">
        <f t="shared" si="16"/>
        <v>Ottumwa</v>
      </c>
      <c r="H494" s="175"/>
      <c r="I494" s="178" t="s">
        <v>1397</v>
      </c>
      <c r="J494" s="27" t="s">
        <v>1709</v>
      </c>
      <c r="K494" s="27">
        <v>911</v>
      </c>
      <c r="L494" s="179">
        <v>6474</v>
      </c>
      <c r="M494" s="180" t="s">
        <v>1398</v>
      </c>
      <c r="N494" s="181" t="s">
        <v>1395</v>
      </c>
      <c r="O494" s="182" t="s">
        <v>1399</v>
      </c>
    </row>
    <row r="495" spans="2:15">
      <c r="B495" s="174" t="s">
        <v>1393</v>
      </c>
      <c r="C495" s="175" t="s">
        <v>1394</v>
      </c>
      <c r="D495" s="176" t="s">
        <v>1395</v>
      </c>
      <c r="E495" s="177" t="s">
        <v>1396</v>
      </c>
      <c r="F495" s="175">
        <f t="shared" si="15"/>
        <v>12</v>
      </c>
      <c r="G495" s="175" t="str">
        <f t="shared" si="16"/>
        <v>Burlington</v>
      </c>
      <c r="H495" s="175"/>
      <c r="I495" s="178" t="s">
        <v>1397</v>
      </c>
      <c r="J495" s="27" t="s">
        <v>1709</v>
      </c>
      <c r="K495" s="27">
        <v>911</v>
      </c>
      <c r="L495" s="179">
        <v>6474</v>
      </c>
      <c r="M495" s="180" t="s">
        <v>1398</v>
      </c>
      <c r="N495" s="181" t="s">
        <v>1395</v>
      </c>
      <c r="O495" s="182" t="s">
        <v>1399</v>
      </c>
    </row>
    <row r="496" spans="2:15">
      <c r="B496" s="174" t="s">
        <v>1747</v>
      </c>
      <c r="C496" s="175" t="s">
        <v>1394</v>
      </c>
      <c r="D496" s="176" t="s">
        <v>1395</v>
      </c>
      <c r="E496" s="177" t="s">
        <v>1748</v>
      </c>
      <c r="F496" s="175">
        <f t="shared" si="15"/>
        <v>11</v>
      </c>
      <c r="G496" s="175" t="str">
        <f t="shared" si="16"/>
        <v>Davenport</v>
      </c>
      <c r="H496" s="175"/>
      <c r="I496" s="178" t="s">
        <v>1397</v>
      </c>
      <c r="J496" s="27" t="s">
        <v>1709</v>
      </c>
      <c r="K496" s="27">
        <v>911</v>
      </c>
      <c r="L496" s="179">
        <v>6474</v>
      </c>
      <c r="M496" s="180" t="s">
        <v>1398</v>
      </c>
      <c r="N496" s="181" t="s">
        <v>1395</v>
      </c>
      <c r="O496" s="182" t="s">
        <v>1399</v>
      </c>
    </row>
    <row r="497" spans="2:15">
      <c r="B497" s="174" t="s">
        <v>1749</v>
      </c>
      <c r="C497" s="175" t="s">
        <v>1394</v>
      </c>
      <c r="D497" s="176" t="s">
        <v>1395</v>
      </c>
      <c r="E497" s="177" t="s">
        <v>1748</v>
      </c>
      <c r="F497" s="175">
        <f t="shared" si="15"/>
        <v>11</v>
      </c>
      <c r="G497" s="175" t="str">
        <f t="shared" si="16"/>
        <v>Davenport</v>
      </c>
      <c r="H497" s="175"/>
      <c r="I497" s="178" t="s">
        <v>1397</v>
      </c>
      <c r="J497" s="27" t="s">
        <v>1709</v>
      </c>
      <c r="K497" s="27">
        <v>911</v>
      </c>
      <c r="L497" s="179">
        <v>6474</v>
      </c>
      <c r="M497" s="180" t="s">
        <v>1398</v>
      </c>
      <c r="N497" s="181" t="s">
        <v>1395</v>
      </c>
      <c r="O497" s="182" t="s">
        <v>1399</v>
      </c>
    </row>
    <row r="498" spans="2:15">
      <c r="B498" s="174" t="s">
        <v>158</v>
      </c>
      <c r="C498" s="175" t="s">
        <v>33</v>
      </c>
      <c r="D498" s="176" t="s">
        <v>1763</v>
      </c>
      <c r="E498" s="177" t="s">
        <v>159</v>
      </c>
      <c r="F498" s="175">
        <f t="shared" si="15"/>
        <v>11</v>
      </c>
      <c r="G498" s="175" t="str">
        <f t="shared" si="16"/>
        <v>Milwaukee</v>
      </c>
      <c r="H498" s="175"/>
      <c r="I498" s="178" t="s">
        <v>952</v>
      </c>
      <c r="J498" s="27" t="s">
        <v>1763</v>
      </c>
      <c r="K498" s="27">
        <v>485</v>
      </c>
      <c r="L498" s="179">
        <v>7673</v>
      </c>
      <c r="M498" s="180" t="s">
        <v>160</v>
      </c>
      <c r="N498" s="181" t="s">
        <v>1763</v>
      </c>
      <c r="O498" s="182" t="s">
        <v>161</v>
      </c>
    </row>
    <row r="499" spans="2:15">
      <c r="B499" s="174" t="s">
        <v>162</v>
      </c>
      <c r="C499" s="175" t="s">
        <v>33</v>
      </c>
      <c r="D499" s="176" t="s">
        <v>1763</v>
      </c>
      <c r="E499" s="177" t="s">
        <v>159</v>
      </c>
      <c r="F499" s="175">
        <f t="shared" si="15"/>
        <v>11</v>
      </c>
      <c r="G499" s="175" t="str">
        <f t="shared" si="16"/>
        <v>Milwaukee</v>
      </c>
      <c r="H499" s="175"/>
      <c r="I499" s="178" t="s">
        <v>952</v>
      </c>
      <c r="J499" s="27" t="s">
        <v>1763</v>
      </c>
      <c r="K499" s="27">
        <v>485</v>
      </c>
      <c r="L499" s="179">
        <v>7673</v>
      </c>
      <c r="M499" s="180" t="s">
        <v>160</v>
      </c>
      <c r="N499" s="181" t="s">
        <v>1763</v>
      </c>
      <c r="O499" s="182" t="s">
        <v>161</v>
      </c>
    </row>
    <row r="500" spans="2:15">
      <c r="B500" s="174" t="s">
        <v>163</v>
      </c>
      <c r="C500" s="175" t="s">
        <v>33</v>
      </c>
      <c r="D500" s="176" t="s">
        <v>1763</v>
      </c>
      <c r="E500" s="177" t="s">
        <v>159</v>
      </c>
      <c r="F500" s="175">
        <f t="shared" si="15"/>
        <v>11</v>
      </c>
      <c r="G500" s="175" t="str">
        <f t="shared" si="16"/>
        <v>Milwaukee</v>
      </c>
      <c r="H500" s="175"/>
      <c r="I500" s="178" t="s">
        <v>164</v>
      </c>
      <c r="J500" s="27" t="s">
        <v>1763</v>
      </c>
      <c r="K500" s="27">
        <v>479</v>
      </c>
      <c r="L500" s="179">
        <v>7324</v>
      </c>
      <c r="M500" s="180" t="s">
        <v>160</v>
      </c>
      <c r="N500" s="181" t="s">
        <v>1763</v>
      </c>
      <c r="O500" s="182" t="s">
        <v>161</v>
      </c>
    </row>
    <row r="501" spans="2:15">
      <c r="B501" s="174" t="s">
        <v>165</v>
      </c>
      <c r="C501" s="175" t="s">
        <v>33</v>
      </c>
      <c r="D501" s="176" t="s">
        <v>1763</v>
      </c>
      <c r="E501" s="177" t="s">
        <v>159</v>
      </c>
      <c r="F501" s="175">
        <f t="shared" si="15"/>
        <v>11</v>
      </c>
      <c r="G501" s="175" t="str">
        <f t="shared" si="16"/>
        <v>Milwaukee</v>
      </c>
      <c r="H501" s="175"/>
      <c r="I501" s="178" t="s">
        <v>164</v>
      </c>
      <c r="J501" s="27" t="s">
        <v>1763</v>
      </c>
      <c r="K501" s="27">
        <v>479</v>
      </c>
      <c r="L501" s="179">
        <v>7324</v>
      </c>
      <c r="M501" s="180" t="s">
        <v>160</v>
      </c>
      <c r="N501" s="181" t="s">
        <v>1763</v>
      </c>
      <c r="O501" s="182" t="s">
        <v>161</v>
      </c>
    </row>
    <row r="502" spans="2:15">
      <c r="B502" s="174" t="s">
        <v>2597</v>
      </c>
      <c r="C502" s="175" t="s">
        <v>33</v>
      </c>
      <c r="D502" s="176" t="s">
        <v>1763</v>
      </c>
      <c r="E502" s="177" t="s">
        <v>2598</v>
      </c>
      <c r="F502" s="175">
        <f t="shared" si="15"/>
        <v>8</v>
      </c>
      <c r="G502" s="175" t="str">
        <f t="shared" si="16"/>
        <v>Racine</v>
      </c>
      <c r="H502" s="175"/>
      <c r="I502" s="178" t="s">
        <v>164</v>
      </c>
      <c r="J502" s="27" t="s">
        <v>1763</v>
      </c>
      <c r="K502" s="27">
        <v>479</v>
      </c>
      <c r="L502" s="179">
        <v>7324</v>
      </c>
      <c r="M502" s="180" t="s">
        <v>160</v>
      </c>
      <c r="N502" s="181" t="s">
        <v>1763</v>
      </c>
      <c r="O502" s="182" t="s">
        <v>161</v>
      </c>
    </row>
    <row r="503" spans="2:15">
      <c r="B503" s="174" t="s">
        <v>2237</v>
      </c>
      <c r="C503" s="175" t="s">
        <v>33</v>
      </c>
      <c r="D503" s="176" t="s">
        <v>1763</v>
      </c>
      <c r="E503" s="177" t="s">
        <v>2238</v>
      </c>
      <c r="F503" s="175">
        <f t="shared" si="15"/>
        <v>9</v>
      </c>
      <c r="G503" s="175" t="str">
        <f t="shared" si="16"/>
        <v>Madison</v>
      </c>
      <c r="H503" s="175"/>
      <c r="I503" s="178" t="s">
        <v>1762</v>
      </c>
      <c r="J503" s="27" t="s">
        <v>1763</v>
      </c>
      <c r="K503" s="27">
        <v>692</v>
      </c>
      <c r="L503" s="179">
        <v>7491</v>
      </c>
      <c r="M503" s="180" t="s">
        <v>953</v>
      </c>
      <c r="N503" s="181" t="s">
        <v>1763</v>
      </c>
      <c r="O503" s="182" t="s">
        <v>954</v>
      </c>
    </row>
    <row r="504" spans="2:15">
      <c r="B504" s="174" t="s">
        <v>2239</v>
      </c>
      <c r="C504" s="175" t="s">
        <v>33</v>
      </c>
      <c r="D504" s="176" t="s">
        <v>1763</v>
      </c>
      <c r="E504" s="177" t="s">
        <v>2238</v>
      </c>
      <c r="F504" s="175">
        <f t="shared" si="15"/>
        <v>9</v>
      </c>
      <c r="G504" s="175" t="str">
        <f t="shared" si="16"/>
        <v>Madison</v>
      </c>
      <c r="H504" s="175"/>
      <c r="I504" s="178" t="s">
        <v>1762</v>
      </c>
      <c r="J504" s="27" t="s">
        <v>1763</v>
      </c>
      <c r="K504" s="27">
        <v>692</v>
      </c>
      <c r="L504" s="179">
        <v>7491</v>
      </c>
      <c r="M504" s="180" t="s">
        <v>953</v>
      </c>
      <c r="N504" s="181" t="s">
        <v>1763</v>
      </c>
      <c r="O504" s="182" t="s">
        <v>954</v>
      </c>
    </row>
    <row r="505" spans="2:15">
      <c r="B505" s="174" t="s">
        <v>2240</v>
      </c>
      <c r="C505" s="175" t="s">
        <v>33</v>
      </c>
      <c r="D505" s="176" t="s">
        <v>1763</v>
      </c>
      <c r="E505" s="177" t="s">
        <v>2238</v>
      </c>
      <c r="F505" s="175">
        <f t="shared" si="15"/>
        <v>9</v>
      </c>
      <c r="G505" s="175" t="str">
        <f t="shared" si="16"/>
        <v>Madison</v>
      </c>
      <c r="H505" s="175"/>
      <c r="I505" s="178" t="s">
        <v>952</v>
      </c>
      <c r="J505" s="27" t="s">
        <v>1763</v>
      </c>
      <c r="K505" s="27">
        <v>485</v>
      </c>
      <c r="L505" s="179">
        <v>7673</v>
      </c>
      <c r="M505" s="180" t="s">
        <v>953</v>
      </c>
      <c r="N505" s="181" t="s">
        <v>1763</v>
      </c>
      <c r="O505" s="182" t="s">
        <v>954</v>
      </c>
    </row>
    <row r="506" spans="2:15">
      <c r="B506" s="174" t="s">
        <v>2547</v>
      </c>
      <c r="C506" s="175" t="s">
        <v>33</v>
      </c>
      <c r="D506" s="176" t="s">
        <v>1763</v>
      </c>
      <c r="E506" s="177" t="s">
        <v>2548</v>
      </c>
      <c r="F506" s="175">
        <f t="shared" si="15"/>
        <v>13</v>
      </c>
      <c r="G506" s="175" t="str">
        <f t="shared" si="16"/>
        <v>Platteville</v>
      </c>
      <c r="H506" s="175"/>
      <c r="I506" s="178" t="s">
        <v>2424</v>
      </c>
      <c r="J506" s="27" t="s">
        <v>1395</v>
      </c>
      <c r="K506" s="27">
        <v>702</v>
      </c>
      <c r="L506" s="179">
        <v>7406</v>
      </c>
      <c r="M506" s="180" t="s">
        <v>953</v>
      </c>
      <c r="N506" s="181" t="s">
        <v>1763</v>
      </c>
      <c r="O506" s="182" t="s">
        <v>954</v>
      </c>
    </row>
    <row r="507" spans="2:15">
      <c r="B507" s="174" t="s">
        <v>2562</v>
      </c>
      <c r="C507" s="175" t="s">
        <v>33</v>
      </c>
      <c r="D507" s="176" t="s">
        <v>1763</v>
      </c>
      <c r="E507" s="177" t="s">
        <v>2563</v>
      </c>
      <c r="F507" s="175">
        <f t="shared" si="15"/>
        <v>9</v>
      </c>
      <c r="G507" s="175" t="str">
        <f t="shared" si="16"/>
        <v>Portage</v>
      </c>
      <c r="H507" s="175"/>
      <c r="I507" s="178" t="s">
        <v>952</v>
      </c>
      <c r="J507" s="27" t="s">
        <v>1763</v>
      </c>
      <c r="K507" s="27">
        <v>485</v>
      </c>
      <c r="L507" s="179">
        <v>7673</v>
      </c>
      <c r="M507" s="180" t="s">
        <v>953</v>
      </c>
      <c r="N507" s="181" t="s">
        <v>1763</v>
      </c>
      <c r="O507" s="182" t="s">
        <v>954</v>
      </c>
    </row>
    <row r="508" spans="2:15">
      <c r="B508" s="174" t="s">
        <v>283</v>
      </c>
      <c r="C508" s="175" t="s">
        <v>33</v>
      </c>
      <c r="D508" s="176" t="s">
        <v>1763</v>
      </c>
      <c r="E508" s="177" t="s">
        <v>284</v>
      </c>
      <c r="F508" s="175">
        <f t="shared" si="15"/>
        <v>13</v>
      </c>
      <c r="G508" s="175" t="str">
        <f t="shared" si="16"/>
        <v>River Falls</v>
      </c>
      <c r="H508" s="175"/>
      <c r="I508" s="178" t="s">
        <v>35</v>
      </c>
      <c r="J508" s="27" t="s">
        <v>1688</v>
      </c>
      <c r="K508" s="27">
        <v>682</v>
      </c>
      <c r="L508" s="179">
        <v>7981</v>
      </c>
      <c r="M508" s="178" t="s">
        <v>638</v>
      </c>
      <c r="N508" s="27" t="s">
        <v>1688</v>
      </c>
      <c r="O508" s="182" t="s">
        <v>639</v>
      </c>
    </row>
    <row r="509" spans="2:15">
      <c r="B509" s="174" t="s">
        <v>2114</v>
      </c>
      <c r="C509" s="175" t="s">
        <v>33</v>
      </c>
      <c r="D509" s="176" t="s">
        <v>1763</v>
      </c>
      <c r="E509" s="177" t="s">
        <v>2115</v>
      </c>
      <c r="F509" s="175">
        <f t="shared" si="15"/>
        <v>11</v>
      </c>
      <c r="G509" s="175" t="str">
        <f t="shared" si="16"/>
        <v>Green Bay</v>
      </c>
      <c r="H509" s="175"/>
      <c r="I509" s="178" t="s">
        <v>2116</v>
      </c>
      <c r="J509" s="27" t="s">
        <v>1763</v>
      </c>
      <c r="K509" s="27">
        <v>381</v>
      </c>
      <c r="L509" s="179">
        <v>8089</v>
      </c>
      <c r="M509" s="180" t="s">
        <v>2117</v>
      </c>
      <c r="N509" s="181" t="s">
        <v>1763</v>
      </c>
      <c r="O509" s="182" t="s">
        <v>2118</v>
      </c>
    </row>
    <row r="510" spans="2:15">
      <c r="B510" s="174" t="s">
        <v>2119</v>
      </c>
      <c r="C510" s="175" t="s">
        <v>33</v>
      </c>
      <c r="D510" s="176" t="s">
        <v>1763</v>
      </c>
      <c r="E510" s="177" t="s">
        <v>2115</v>
      </c>
      <c r="F510" s="175">
        <f t="shared" si="15"/>
        <v>11</v>
      </c>
      <c r="G510" s="175" t="str">
        <f t="shared" si="16"/>
        <v>Green Bay</v>
      </c>
      <c r="H510" s="175"/>
      <c r="I510" s="178" t="s">
        <v>2116</v>
      </c>
      <c r="J510" s="27" t="s">
        <v>1763</v>
      </c>
      <c r="K510" s="27">
        <v>381</v>
      </c>
      <c r="L510" s="179">
        <v>8089</v>
      </c>
      <c r="M510" s="180" t="s">
        <v>2117</v>
      </c>
      <c r="N510" s="181" t="s">
        <v>1763</v>
      </c>
      <c r="O510" s="182" t="s">
        <v>2118</v>
      </c>
    </row>
    <row r="511" spans="2:15">
      <c r="B511" s="174" t="s">
        <v>2120</v>
      </c>
      <c r="C511" s="175" t="s">
        <v>33</v>
      </c>
      <c r="D511" s="176" t="s">
        <v>1763</v>
      </c>
      <c r="E511" s="177" t="s">
        <v>2115</v>
      </c>
      <c r="F511" s="175">
        <f t="shared" si="15"/>
        <v>11</v>
      </c>
      <c r="G511" s="175" t="str">
        <f t="shared" si="16"/>
        <v>Green Bay</v>
      </c>
      <c r="H511" s="175"/>
      <c r="I511" s="178" t="s">
        <v>2116</v>
      </c>
      <c r="J511" s="27" t="s">
        <v>1763</v>
      </c>
      <c r="K511" s="27">
        <v>381</v>
      </c>
      <c r="L511" s="179">
        <v>8089</v>
      </c>
      <c r="M511" s="180" t="s">
        <v>2117</v>
      </c>
      <c r="N511" s="181" t="s">
        <v>1763</v>
      </c>
      <c r="O511" s="182" t="s">
        <v>2118</v>
      </c>
    </row>
    <row r="512" spans="2:15">
      <c r="B512" s="174" t="s">
        <v>1892</v>
      </c>
      <c r="C512" s="175" t="s">
        <v>33</v>
      </c>
      <c r="D512" s="176" t="s">
        <v>1763</v>
      </c>
      <c r="E512" s="177" t="s">
        <v>1893</v>
      </c>
      <c r="F512" s="175">
        <f t="shared" si="15"/>
        <v>8</v>
      </c>
      <c r="G512" s="175" t="str">
        <f t="shared" si="16"/>
        <v>Wausau</v>
      </c>
      <c r="H512" s="175"/>
      <c r="I512" s="178" t="s">
        <v>2116</v>
      </c>
      <c r="J512" s="27" t="s">
        <v>1763</v>
      </c>
      <c r="K512" s="27">
        <v>381</v>
      </c>
      <c r="L512" s="179">
        <v>8089</v>
      </c>
      <c r="M512" s="180" t="s">
        <v>2117</v>
      </c>
      <c r="N512" s="181" t="s">
        <v>1763</v>
      </c>
      <c r="O512" s="182" t="s">
        <v>2118</v>
      </c>
    </row>
    <row r="513" spans="2:15">
      <c r="B513" s="174" t="s">
        <v>2618</v>
      </c>
      <c r="C513" s="175" t="s">
        <v>33</v>
      </c>
      <c r="D513" s="176" t="s">
        <v>1763</v>
      </c>
      <c r="E513" s="177" t="s">
        <v>2619</v>
      </c>
      <c r="F513" s="175">
        <f t="shared" si="15"/>
        <v>13</v>
      </c>
      <c r="G513" s="175" t="str">
        <f t="shared" si="16"/>
        <v>Rhinelander</v>
      </c>
      <c r="H513" s="175"/>
      <c r="I513" s="178" t="s">
        <v>762</v>
      </c>
      <c r="J513" s="27" t="s">
        <v>481</v>
      </c>
      <c r="K513" s="27">
        <v>256</v>
      </c>
      <c r="L513" s="179">
        <v>8218</v>
      </c>
      <c r="M513" s="180" t="s">
        <v>2117</v>
      </c>
      <c r="N513" s="181" t="s">
        <v>1763</v>
      </c>
      <c r="O513" s="182" t="s">
        <v>2118</v>
      </c>
    </row>
    <row r="514" spans="2:15">
      <c r="B514" s="174" t="s">
        <v>950</v>
      </c>
      <c r="C514" s="175" t="s">
        <v>33</v>
      </c>
      <c r="D514" s="176" t="s">
        <v>1763</v>
      </c>
      <c r="E514" s="177" t="s">
        <v>951</v>
      </c>
      <c r="F514" s="175">
        <f t="shared" si="15"/>
        <v>11</v>
      </c>
      <c r="G514" s="175" t="str">
        <f t="shared" si="16"/>
        <v>La Crosse</v>
      </c>
      <c r="H514" s="175"/>
      <c r="I514" s="178" t="s">
        <v>952</v>
      </c>
      <c r="J514" s="27" t="s">
        <v>1763</v>
      </c>
      <c r="K514" s="27">
        <v>485</v>
      </c>
      <c r="L514" s="179">
        <v>7673</v>
      </c>
      <c r="M514" s="180" t="s">
        <v>953</v>
      </c>
      <c r="N514" s="181" t="s">
        <v>1763</v>
      </c>
      <c r="O514" s="182" t="s">
        <v>954</v>
      </c>
    </row>
    <row r="515" spans="2:15">
      <c r="B515" s="174" t="s">
        <v>528</v>
      </c>
      <c r="C515" s="175" t="s">
        <v>33</v>
      </c>
      <c r="D515" s="176" t="s">
        <v>1763</v>
      </c>
      <c r="E515" s="177" t="s">
        <v>34</v>
      </c>
      <c r="F515" s="175">
        <f t="shared" si="15"/>
        <v>12</v>
      </c>
      <c r="G515" s="175" t="str">
        <f t="shared" si="16"/>
        <v>Eau Claire</v>
      </c>
      <c r="H515" s="175"/>
      <c r="I515" s="178" t="s">
        <v>35</v>
      </c>
      <c r="J515" s="27" t="s">
        <v>1688</v>
      </c>
      <c r="K515" s="27">
        <v>682</v>
      </c>
      <c r="L515" s="179">
        <v>7981</v>
      </c>
      <c r="M515" s="178" t="s">
        <v>638</v>
      </c>
      <c r="N515" s="27" t="s">
        <v>1688</v>
      </c>
      <c r="O515" s="182" t="s">
        <v>639</v>
      </c>
    </row>
    <row r="516" spans="2:15">
      <c r="B516" s="174" t="s">
        <v>1300</v>
      </c>
      <c r="C516" s="175" t="s">
        <v>33</v>
      </c>
      <c r="D516" s="176" t="s">
        <v>1763</v>
      </c>
      <c r="E516" s="177" t="s">
        <v>1301</v>
      </c>
      <c r="F516" s="175">
        <f t="shared" si="15"/>
        <v>9</v>
      </c>
      <c r="G516" s="175" t="str">
        <f t="shared" si="16"/>
        <v>Spooner</v>
      </c>
      <c r="H516" s="175"/>
      <c r="I516" s="178" t="s">
        <v>637</v>
      </c>
      <c r="J516" s="27" t="s">
        <v>1688</v>
      </c>
      <c r="K516" s="27">
        <v>415</v>
      </c>
      <c r="L516" s="179">
        <v>8928</v>
      </c>
      <c r="M516" s="180" t="s">
        <v>953</v>
      </c>
      <c r="N516" s="181" t="s">
        <v>1763</v>
      </c>
      <c r="O516" s="182" t="s">
        <v>954</v>
      </c>
    </row>
    <row r="517" spans="2:15">
      <c r="B517" s="174" t="s">
        <v>1529</v>
      </c>
      <c r="C517" s="175" t="s">
        <v>33</v>
      </c>
      <c r="D517" s="176" t="s">
        <v>1763</v>
      </c>
      <c r="E517" s="177" t="s">
        <v>1530</v>
      </c>
      <c r="F517" s="175">
        <f t="shared" si="15"/>
        <v>9</v>
      </c>
      <c r="G517" s="175" t="str">
        <f t="shared" si="16"/>
        <v>Oshkosh</v>
      </c>
      <c r="H517" s="175"/>
      <c r="I517" s="178" t="s">
        <v>1762</v>
      </c>
      <c r="J517" s="27" t="s">
        <v>1763</v>
      </c>
      <c r="K517" s="27">
        <v>692</v>
      </c>
      <c r="L517" s="179">
        <v>7491</v>
      </c>
      <c r="M517" s="180" t="s">
        <v>953</v>
      </c>
      <c r="N517" s="181" t="s">
        <v>1763</v>
      </c>
      <c r="O517" s="182" t="s">
        <v>954</v>
      </c>
    </row>
    <row r="518" spans="2:15">
      <c r="B518" s="174" t="s">
        <v>346</v>
      </c>
      <c r="C518" s="175" t="s">
        <v>1687</v>
      </c>
      <c r="D518" s="176" t="s">
        <v>1688</v>
      </c>
      <c r="E518" s="177" t="s">
        <v>347</v>
      </c>
      <c r="F518" s="175">
        <f t="shared" si="15"/>
        <v>12</v>
      </c>
      <c r="G518" s="175" t="str">
        <f t="shared" si="16"/>
        <v>Saint Paul</v>
      </c>
      <c r="H518" s="175"/>
      <c r="I518" s="178" t="s">
        <v>35</v>
      </c>
      <c r="J518" s="27" t="s">
        <v>1688</v>
      </c>
      <c r="K518" s="27">
        <v>682</v>
      </c>
      <c r="L518" s="179">
        <v>7981</v>
      </c>
      <c r="M518" s="178" t="s">
        <v>638</v>
      </c>
      <c r="N518" s="27" t="s">
        <v>1688</v>
      </c>
      <c r="O518" s="182" t="s">
        <v>639</v>
      </c>
    </row>
    <row r="519" spans="2:15">
      <c r="B519" s="174" t="s">
        <v>348</v>
      </c>
      <c r="C519" s="175" t="s">
        <v>1687</v>
      </c>
      <c r="D519" s="176" t="s">
        <v>1688</v>
      </c>
      <c r="E519" s="177" t="s">
        <v>347</v>
      </c>
      <c r="F519" s="175">
        <f t="shared" si="15"/>
        <v>12</v>
      </c>
      <c r="G519" s="175" t="str">
        <f t="shared" si="16"/>
        <v>Saint Paul</v>
      </c>
      <c r="H519" s="175"/>
      <c r="I519" s="178" t="s">
        <v>35</v>
      </c>
      <c r="J519" s="27" t="s">
        <v>1688</v>
      </c>
      <c r="K519" s="27">
        <v>682</v>
      </c>
      <c r="L519" s="179">
        <v>7981</v>
      </c>
      <c r="M519" s="178" t="s">
        <v>638</v>
      </c>
      <c r="N519" s="27" t="s">
        <v>1688</v>
      </c>
      <c r="O519" s="182" t="s">
        <v>639</v>
      </c>
    </row>
    <row r="520" spans="2:15">
      <c r="B520" s="174" t="s">
        <v>166</v>
      </c>
      <c r="C520" s="175" t="s">
        <v>1687</v>
      </c>
      <c r="D520" s="176" t="s">
        <v>1688</v>
      </c>
      <c r="E520" s="177" t="s">
        <v>167</v>
      </c>
      <c r="F520" s="175">
        <f t="shared" si="15"/>
        <v>13</v>
      </c>
      <c r="G520" s="175" t="str">
        <f t="shared" si="16"/>
        <v>Minneapolis</v>
      </c>
      <c r="H520" s="175"/>
      <c r="I520" s="178" t="s">
        <v>35</v>
      </c>
      <c r="J520" s="27" t="s">
        <v>1688</v>
      </c>
      <c r="K520" s="27">
        <v>682</v>
      </c>
      <c r="L520" s="179">
        <v>7981</v>
      </c>
      <c r="M520" s="178" t="s">
        <v>638</v>
      </c>
      <c r="N520" s="27" t="s">
        <v>1688</v>
      </c>
      <c r="O520" s="182" t="s">
        <v>639</v>
      </c>
    </row>
    <row r="521" spans="2:15">
      <c r="B521" s="174" t="s">
        <v>168</v>
      </c>
      <c r="C521" s="175" t="s">
        <v>1687</v>
      </c>
      <c r="D521" s="176" t="s">
        <v>1688</v>
      </c>
      <c r="E521" s="177" t="s">
        <v>167</v>
      </c>
      <c r="F521" s="175">
        <f t="shared" si="15"/>
        <v>13</v>
      </c>
      <c r="G521" s="175" t="str">
        <f t="shared" si="16"/>
        <v>Minneapolis</v>
      </c>
      <c r="H521" s="175"/>
      <c r="I521" s="178" t="s">
        <v>35</v>
      </c>
      <c r="J521" s="27" t="s">
        <v>1688</v>
      </c>
      <c r="K521" s="27">
        <v>682</v>
      </c>
      <c r="L521" s="179">
        <v>7981</v>
      </c>
      <c r="M521" s="178" t="s">
        <v>638</v>
      </c>
      <c r="N521" s="27" t="s">
        <v>1688</v>
      </c>
      <c r="O521" s="182" t="s">
        <v>639</v>
      </c>
    </row>
    <row r="522" spans="2:15">
      <c r="B522" s="174" t="s">
        <v>1808</v>
      </c>
      <c r="C522" s="175" t="s">
        <v>1687</v>
      </c>
      <c r="D522" s="176" t="s">
        <v>1688</v>
      </c>
      <c r="E522" s="177" t="s">
        <v>1809</v>
      </c>
      <c r="F522" s="175">
        <f t="shared" ref="F522:F585" si="17">LEN(E522)</f>
        <v>8</v>
      </c>
      <c r="G522" s="175" t="str">
        <f t="shared" ref="G522:G585" si="18">MID(E522,2,F522-2)</f>
        <v>Duluth</v>
      </c>
      <c r="H522" s="175"/>
      <c r="I522" s="178" t="s">
        <v>1810</v>
      </c>
      <c r="J522" s="27" t="s">
        <v>1688</v>
      </c>
      <c r="K522" s="27">
        <v>180</v>
      </c>
      <c r="L522" s="179">
        <v>9818</v>
      </c>
      <c r="M522" s="180" t="s">
        <v>1691</v>
      </c>
      <c r="N522" s="181" t="s">
        <v>1688</v>
      </c>
      <c r="O522" s="182" t="s">
        <v>1692</v>
      </c>
    </row>
    <row r="523" spans="2:15">
      <c r="B523" s="174" t="s">
        <v>1811</v>
      </c>
      <c r="C523" s="175" t="s">
        <v>1687</v>
      </c>
      <c r="D523" s="176" t="s">
        <v>1688</v>
      </c>
      <c r="E523" s="177" t="s">
        <v>1809</v>
      </c>
      <c r="F523" s="175">
        <f t="shared" si="17"/>
        <v>8</v>
      </c>
      <c r="G523" s="175" t="str">
        <f t="shared" si="18"/>
        <v>Duluth</v>
      </c>
      <c r="H523" s="175"/>
      <c r="I523" s="178" t="s">
        <v>1810</v>
      </c>
      <c r="J523" s="27" t="s">
        <v>1688</v>
      </c>
      <c r="K523" s="27">
        <v>180</v>
      </c>
      <c r="L523" s="179">
        <v>9818</v>
      </c>
      <c r="M523" s="180" t="s">
        <v>1691</v>
      </c>
      <c r="N523" s="181" t="s">
        <v>1688</v>
      </c>
      <c r="O523" s="182" t="s">
        <v>1692</v>
      </c>
    </row>
    <row r="524" spans="2:15">
      <c r="B524" s="174" t="s">
        <v>1812</v>
      </c>
      <c r="C524" s="175" t="s">
        <v>1687</v>
      </c>
      <c r="D524" s="176" t="s">
        <v>1688</v>
      </c>
      <c r="E524" s="177" t="s">
        <v>1809</v>
      </c>
      <c r="F524" s="175">
        <f t="shared" si="17"/>
        <v>8</v>
      </c>
      <c r="G524" s="175" t="str">
        <f t="shared" si="18"/>
        <v>Duluth</v>
      </c>
      <c r="H524" s="175"/>
      <c r="I524" s="178" t="s">
        <v>1810</v>
      </c>
      <c r="J524" s="27" t="s">
        <v>1688</v>
      </c>
      <c r="K524" s="27">
        <v>180</v>
      </c>
      <c r="L524" s="179">
        <v>9818</v>
      </c>
      <c r="M524" s="180" t="s">
        <v>1691</v>
      </c>
      <c r="N524" s="181" t="s">
        <v>1688</v>
      </c>
      <c r="O524" s="182" t="s">
        <v>1692</v>
      </c>
    </row>
    <row r="525" spans="2:15">
      <c r="B525" s="174" t="s">
        <v>294</v>
      </c>
      <c r="C525" s="175" t="s">
        <v>1687</v>
      </c>
      <c r="D525" s="176" t="s">
        <v>1688</v>
      </c>
      <c r="E525" s="177" t="s">
        <v>295</v>
      </c>
      <c r="F525" s="175">
        <f t="shared" si="17"/>
        <v>11</v>
      </c>
      <c r="G525" s="175" t="str">
        <f t="shared" si="18"/>
        <v>Rochester</v>
      </c>
      <c r="H525" s="175"/>
      <c r="I525" s="178" t="s">
        <v>1171</v>
      </c>
      <c r="J525" s="27" t="s">
        <v>1688</v>
      </c>
      <c r="K525" s="27">
        <v>472</v>
      </c>
      <c r="L525" s="179">
        <v>8250</v>
      </c>
      <c r="M525" s="178" t="s">
        <v>638</v>
      </c>
      <c r="N525" s="27" t="s">
        <v>1688</v>
      </c>
      <c r="O525" s="182" t="s">
        <v>639</v>
      </c>
    </row>
    <row r="526" spans="2:15">
      <c r="B526" s="174" t="s">
        <v>1169</v>
      </c>
      <c r="C526" s="175" t="s">
        <v>1687</v>
      </c>
      <c r="D526" s="176" t="s">
        <v>1688</v>
      </c>
      <c r="E526" s="177" t="s">
        <v>1170</v>
      </c>
      <c r="F526" s="175">
        <f t="shared" si="17"/>
        <v>9</v>
      </c>
      <c r="G526" s="175" t="str">
        <f t="shared" si="18"/>
        <v>Mankato</v>
      </c>
      <c r="H526" s="175"/>
      <c r="I526" s="178" t="s">
        <v>1171</v>
      </c>
      <c r="J526" s="27" t="s">
        <v>1688</v>
      </c>
      <c r="K526" s="27">
        <v>472</v>
      </c>
      <c r="L526" s="179">
        <v>8250</v>
      </c>
      <c r="M526" s="178" t="s">
        <v>638</v>
      </c>
      <c r="N526" s="27" t="s">
        <v>1688</v>
      </c>
      <c r="O526" s="182" t="s">
        <v>639</v>
      </c>
    </row>
    <row r="527" spans="2:15">
      <c r="B527" s="174" t="s">
        <v>694</v>
      </c>
      <c r="C527" s="175" t="s">
        <v>1687</v>
      </c>
      <c r="D527" s="176" t="s">
        <v>1688</v>
      </c>
      <c r="E527" s="177" t="s">
        <v>695</v>
      </c>
      <c r="F527" s="175">
        <f t="shared" si="17"/>
        <v>8</v>
      </c>
      <c r="G527" s="175" t="str">
        <f t="shared" si="18"/>
        <v>Windom</v>
      </c>
      <c r="H527" s="175"/>
      <c r="I527" s="178" t="s">
        <v>1351</v>
      </c>
      <c r="J527" s="27" t="s">
        <v>247</v>
      </c>
      <c r="K527" s="27">
        <v>744</v>
      </c>
      <c r="L527" s="179">
        <v>7809</v>
      </c>
      <c r="M527" s="180" t="s">
        <v>1352</v>
      </c>
      <c r="N527" s="181" t="s">
        <v>247</v>
      </c>
      <c r="O527" s="182" t="s">
        <v>1353</v>
      </c>
    </row>
    <row r="528" spans="2:15">
      <c r="B528" s="174" t="s">
        <v>685</v>
      </c>
      <c r="C528" s="175" t="s">
        <v>1687</v>
      </c>
      <c r="D528" s="176" t="s">
        <v>1688</v>
      </c>
      <c r="E528" s="177" t="s">
        <v>686</v>
      </c>
      <c r="F528" s="175">
        <f t="shared" si="17"/>
        <v>9</v>
      </c>
      <c r="G528" s="175" t="str">
        <f t="shared" si="18"/>
        <v>Willmar</v>
      </c>
      <c r="H528" s="175"/>
      <c r="I528" s="178" t="s">
        <v>687</v>
      </c>
      <c r="J528" s="27" t="s">
        <v>247</v>
      </c>
      <c r="K528" s="27">
        <v>743</v>
      </c>
      <c r="L528" s="179">
        <v>7923</v>
      </c>
      <c r="M528" s="178" t="s">
        <v>638</v>
      </c>
      <c r="N528" s="27" t="s">
        <v>1688</v>
      </c>
      <c r="O528" s="182" t="s">
        <v>639</v>
      </c>
    </row>
    <row r="529" spans="2:15">
      <c r="B529" s="174" t="s">
        <v>337</v>
      </c>
      <c r="C529" s="175" t="s">
        <v>1687</v>
      </c>
      <c r="D529" s="176" t="s">
        <v>1688</v>
      </c>
      <c r="E529" s="177" t="s">
        <v>338</v>
      </c>
      <c r="F529" s="175">
        <f t="shared" si="17"/>
        <v>13</v>
      </c>
      <c r="G529" s="175" t="str">
        <f t="shared" si="18"/>
        <v>Saint Cloud</v>
      </c>
      <c r="H529" s="175"/>
      <c r="I529" s="178" t="s">
        <v>637</v>
      </c>
      <c r="J529" s="27" t="s">
        <v>1688</v>
      </c>
      <c r="K529" s="27">
        <v>415</v>
      </c>
      <c r="L529" s="179">
        <v>8928</v>
      </c>
      <c r="M529" s="178" t="s">
        <v>638</v>
      </c>
      <c r="N529" s="27" t="s">
        <v>1688</v>
      </c>
      <c r="O529" s="182" t="s">
        <v>639</v>
      </c>
    </row>
    <row r="530" spans="2:15">
      <c r="B530" s="174" t="s">
        <v>635</v>
      </c>
      <c r="C530" s="175" t="s">
        <v>1687</v>
      </c>
      <c r="D530" s="176" t="s">
        <v>1688</v>
      </c>
      <c r="E530" s="177" t="s">
        <v>636</v>
      </c>
      <c r="F530" s="175">
        <f t="shared" si="17"/>
        <v>10</v>
      </c>
      <c r="G530" s="175" t="str">
        <f t="shared" si="18"/>
        <v>Brainerd</v>
      </c>
      <c r="H530" s="175"/>
      <c r="I530" s="178" t="s">
        <v>637</v>
      </c>
      <c r="J530" s="27" t="s">
        <v>1688</v>
      </c>
      <c r="K530" s="27">
        <v>415</v>
      </c>
      <c r="L530" s="179">
        <v>8928</v>
      </c>
      <c r="M530" s="178" t="s">
        <v>638</v>
      </c>
      <c r="N530" s="27" t="s">
        <v>1688</v>
      </c>
      <c r="O530" s="182" t="s">
        <v>639</v>
      </c>
    </row>
    <row r="531" spans="2:15">
      <c r="B531" s="174" t="s">
        <v>1775</v>
      </c>
      <c r="C531" s="175" t="s">
        <v>1687</v>
      </c>
      <c r="D531" s="176" t="s">
        <v>1688</v>
      </c>
      <c r="E531" s="177" t="s">
        <v>1776</v>
      </c>
      <c r="F531" s="175">
        <f t="shared" si="17"/>
        <v>15</v>
      </c>
      <c r="G531" s="175" t="str">
        <f t="shared" si="18"/>
        <v>Detroit Lakes</v>
      </c>
      <c r="H531" s="175"/>
      <c r="I531" s="178" t="s">
        <v>1777</v>
      </c>
      <c r="J531" s="27" t="s">
        <v>251</v>
      </c>
      <c r="K531" s="27">
        <v>537</v>
      </c>
      <c r="L531" s="179">
        <v>9254</v>
      </c>
      <c r="M531" s="180" t="s">
        <v>250</v>
      </c>
      <c r="N531" s="181" t="s">
        <v>251</v>
      </c>
      <c r="O531" s="182" t="s">
        <v>252</v>
      </c>
    </row>
    <row r="532" spans="2:15">
      <c r="B532" s="174" t="s">
        <v>1686</v>
      </c>
      <c r="C532" s="175" t="s">
        <v>1687</v>
      </c>
      <c r="D532" s="176" t="s">
        <v>1688</v>
      </c>
      <c r="E532" s="177" t="s">
        <v>1689</v>
      </c>
      <c r="F532" s="175">
        <f t="shared" si="17"/>
        <v>9</v>
      </c>
      <c r="G532" s="175" t="str">
        <f t="shared" si="18"/>
        <v>Bemidji</v>
      </c>
      <c r="H532" s="175"/>
      <c r="I532" s="178" t="s">
        <v>1690</v>
      </c>
      <c r="J532" s="27" t="s">
        <v>1688</v>
      </c>
      <c r="K532" s="27">
        <v>249</v>
      </c>
      <c r="L532" s="179">
        <v>10487</v>
      </c>
      <c r="M532" s="180" t="s">
        <v>1691</v>
      </c>
      <c r="N532" s="181" t="s">
        <v>1688</v>
      </c>
      <c r="O532" s="182" t="s">
        <v>1692</v>
      </c>
    </row>
    <row r="533" spans="2:15">
      <c r="B533" s="174" t="s">
        <v>832</v>
      </c>
      <c r="C533" s="175" t="s">
        <v>1687</v>
      </c>
      <c r="D533" s="176" t="s">
        <v>1688</v>
      </c>
      <c r="E533" s="177" t="s">
        <v>833</v>
      </c>
      <c r="F533" s="175">
        <f t="shared" si="17"/>
        <v>19</v>
      </c>
      <c r="G533" s="175" t="str">
        <f t="shared" si="18"/>
        <v>Thief River Falls</v>
      </c>
      <c r="H533" s="175"/>
      <c r="I533" s="178" t="s">
        <v>1777</v>
      </c>
      <c r="J533" s="27" t="s">
        <v>251</v>
      </c>
      <c r="K533" s="27">
        <v>537</v>
      </c>
      <c r="L533" s="179">
        <v>9254</v>
      </c>
      <c r="M533" s="180" t="s">
        <v>250</v>
      </c>
      <c r="N533" s="181" t="s">
        <v>251</v>
      </c>
      <c r="O533" s="182" t="s">
        <v>252</v>
      </c>
    </row>
    <row r="534" spans="2:15">
      <c r="B534" s="174" t="s">
        <v>2331</v>
      </c>
      <c r="C534" s="175" t="s">
        <v>246</v>
      </c>
      <c r="D534" s="176" t="s">
        <v>247</v>
      </c>
      <c r="E534" s="177" t="s">
        <v>2332</v>
      </c>
      <c r="F534" s="175">
        <f t="shared" si="17"/>
        <v>13</v>
      </c>
      <c r="G534" s="175" t="str">
        <f t="shared" si="18"/>
        <v>Sioux Falls</v>
      </c>
      <c r="H534" s="175"/>
      <c r="I534" s="178" t="s">
        <v>1351</v>
      </c>
      <c r="J534" s="27" t="s">
        <v>247</v>
      </c>
      <c r="K534" s="27">
        <v>744</v>
      </c>
      <c r="L534" s="179">
        <v>7809</v>
      </c>
      <c r="M534" s="180" t="s">
        <v>1352</v>
      </c>
      <c r="N534" s="181" t="s">
        <v>247</v>
      </c>
      <c r="O534" s="182" t="s">
        <v>1353</v>
      </c>
    </row>
    <row r="535" spans="2:15">
      <c r="B535" s="174" t="s">
        <v>2333</v>
      </c>
      <c r="C535" s="175" t="s">
        <v>246</v>
      </c>
      <c r="D535" s="176" t="s">
        <v>247</v>
      </c>
      <c r="E535" s="177" t="s">
        <v>2332</v>
      </c>
      <c r="F535" s="175">
        <f t="shared" si="17"/>
        <v>13</v>
      </c>
      <c r="G535" s="175" t="str">
        <f t="shared" si="18"/>
        <v>Sioux Falls</v>
      </c>
      <c r="H535" s="175"/>
      <c r="I535" s="178" t="s">
        <v>1351</v>
      </c>
      <c r="J535" s="27" t="s">
        <v>247</v>
      </c>
      <c r="K535" s="27">
        <v>744</v>
      </c>
      <c r="L535" s="179">
        <v>7809</v>
      </c>
      <c r="M535" s="180" t="s">
        <v>1352</v>
      </c>
      <c r="N535" s="181" t="s">
        <v>247</v>
      </c>
      <c r="O535" s="182" t="s">
        <v>1353</v>
      </c>
    </row>
    <row r="536" spans="2:15">
      <c r="B536" s="174" t="s">
        <v>1889</v>
      </c>
      <c r="C536" s="175" t="s">
        <v>246</v>
      </c>
      <c r="D536" s="176" t="s">
        <v>247</v>
      </c>
      <c r="E536" s="177" t="s">
        <v>1888</v>
      </c>
      <c r="F536" s="175">
        <f t="shared" si="17"/>
        <v>11</v>
      </c>
      <c r="G536" s="175" t="str">
        <f t="shared" si="18"/>
        <v>Watertown</v>
      </c>
      <c r="H536" s="175"/>
      <c r="I536" s="178" t="s">
        <v>1777</v>
      </c>
      <c r="J536" s="27" t="s">
        <v>251</v>
      </c>
      <c r="K536" s="27">
        <v>537</v>
      </c>
      <c r="L536" s="179">
        <v>9254</v>
      </c>
      <c r="M536" s="180" t="s">
        <v>250</v>
      </c>
      <c r="N536" s="181" t="s">
        <v>251</v>
      </c>
      <c r="O536" s="182" t="s">
        <v>252</v>
      </c>
    </row>
    <row r="537" spans="2:15">
      <c r="B537" s="174" t="s">
        <v>176</v>
      </c>
      <c r="C537" s="175" t="s">
        <v>246</v>
      </c>
      <c r="D537" s="176" t="s">
        <v>247</v>
      </c>
      <c r="E537" s="177" t="s">
        <v>177</v>
      </c>
      <c r="F537" s="175">
        <f t="shared" si="17"/>
        <v>10</v>
      </c>
      <c r="G537" s="175" t="str">
        <f t="shared" si="18"/>
        <v>Mitchell</v>
      </c>
      <c r="H537" s="175"/>
      <c r="I537" s="178" t="s">
        <v>450</v>
      </c>
      <c r="J537" s="27" t="s">
        <v>247</v>
      </c>
      <c r="K537" s="27">
        <v>611</v>
      </c>
      <c r="L537" s="179">
        <v>7301</v>
      </c>
      <c r="M537" s="180" t="s">
        <v>451</v>
      </c>
      <c r="N537" s="181" t="s">
        <v>247</v>
      </c>
      <c r="O537" s="182" t="s">
        <v>452</v>
      </c>
    </row>
    <row r="538" spans="2:15">
      <c r="B538" s="174" t="s">
        <v>245</v>
      </c>
      <c r="C538" s="175" t="s">
        <v>246</v>
      </c>
      <c r="D538" s="176" t="s">
        <v>247</v>
      </c>
      <c r="E538" s="177" t="s">
        <v>248</v>
      </c>
      <c r="F538" s="175">
        <f t="shared" si="17"/>
        <v>10</v>
      </c>
      <c r="G538" s="175" t="str">
        <f t="shared" si="18"/>
        <v>Aberdeen</v>
      </c>
      <c r="H538" s="175"/>
      <c r="I538" s="178" t="s">
        <v>249</v>
      </c>
      <c r="J538" s="27" t="s">
        <v>247</v>
      </c>
      <c r="K538" s="27">
        <v>633</v>
      </c>
      <c r="L538" s="179">
        <v>8446</v>
      </c>
      <c r="M538" s="180" t="s">
        <v>250</v>
      </c>
      <c r="N538" s="181" t="s">
        <v>251</v>
      </c>
      <c r="O538" s="182" t="s">
        <v>252</v>
      </c>
    </row>
    <row r="539" spans="2:15">
      <c r="B539" s="174" t="s">
        <v>2533</v>
      </c>
      <c r="C539" s="175" t="s">
        <v>246</v>
      </c>
      <c r="D539" s="176" t="s">
        <v>247</v>
      </c>
      <c r="E539" s="177" t="s">
        <v>2534</v>
      </c>
      <c r="F539" s="175">
        <f t="shared" si="17"/>
        <v>8</v>
      </c>
      <c r="G539" s="175" t="str">
        <f t="shared" si="18"/>
        <v>Pierre</v>
      </c>
      <c r="H539" s="175"/>
      <c r="I539" s="178" t="s">
        <v>450</v>
      </c>
      <c r="J539" s="27" t="s">
        <v>247</v>
      </c>
      <c r="K539" s="27">
        <v>611</v>
      </c>
      <c r="L539" s="179">
        <v>7301</v>
      </c>
      <c r="M539" s="180" t="s">
        <v>451</v>
      </c>
      <c r="N539" s="181" t="s">
        <v>247</v>
      </c>
      <c r="O539" s="182" t="s">
        <v>452</v>
      </c>
    </row>
    <row r="540" spans="2:15">
      <c r="B540" s="174" t="s">
        <v>181</v>
      </c>
      <c r="C540" s="175" t="s">
        <v>246</v>
      </c>
      <c r="D540" s="176" t="s">
        <v>247</v>
      </c>
      <c r="E540" s="177" t="s">
        <v>182</v>
      </c>
      <c r="F540" s="175">
        <f t="shared" si="17"/>
        <v>10</v>
      </c>
      <c r="G540" s="175" t="str">
        <f t="shared" si="18"/>
        <v>Mobridge</v>
      </c>
      <c r="H540" s="175"/>
      <c r="I540" s="178" t="s">
        <v>1704</v>
      </c>
      <c r="J540" s="27" t="s">
        <v>251</v>
      </c>
      <c r="K540" s="27">
        <v>488</v>
      </c>
      <c r="L540" s="179">
        <v>8968</v>
      </c>
      <c r="M540" s="180" t="s">
        <v>1705</v>
      </c>
      <c r="N540" s="181" t="s">
        <v>251</v>
      </c>
      <c r="O540" s="182" t="s">
        <v>1706</v>
      </c>
    </row>
    <row r="541" spans="2:15">
      <c r="B541" s="174" t="s">
        <v>2602</v>
      </c>
      <c r="C541" s="175" t="s">
        <v>246</v>
      </c>
      <c r="D541" s="176" t="s">
        <v>247</v>
      </c>
      <c r="E541" s="177" t="s">
        <v>2603</v>
      </c>
      <c r="F541" s="175">
        <f t="shared" si="17"/>
        <v>12</v>
      </c>
      <c r="G541" s="175" t="str">
        <f t="shared" si="18"/>
        <v>Rapid City</v>
      </c>
      <c r="H541" s="175"/>
      <c r="I541" s="178" t="s">
        <v>450</v>
      </c>
      <c r="J541" s="27" t="s">
        <v>247</v>
      </c>
      <c r="K541" s="27">
        <v>611</v>
      </c>
      <c r="L541" s="179">
        <v>7301</v>
      </c>
      <c r="M541" s="180" t="s">
        <v>451</v>
      </c>
      <c r="N541" s="181" t="s">
        <v>247</v>
      </c>
      <c r="O541" s="182" t="s">
        <v>452</v>
      </c>
    </row>
    <row r="542" spans="2:15">
      <c r="B542" s="174" t="s">
        <v>1976</v>
      </c>
      <c r="C542" s="175" t="s">
        <v>1506</v>
      </c>
      <c r="D542" s="176" t="s">
        <v>251</v>
      </c>
      <c r="E542" s="177" t="s">
        <v>1977</v>
      </c>
      <c r="F542" s="175">
        <f t="shared" si="17"/>
        <v>7</v>
      </c>
      <c r="G542" s="175" t="str">
        <f t="shared" si="18"/>
        <v>Fargo</v>
      </c>
      <c r="H542" s="175"/>
      <c r="I542" s="178" t="s">
        <v>1777</v>
      </c>
      <c r="J542" s="27" t="s">
        <v>251</v>
      </c>
      <c r="K542" s="27">
        <v>537</v>
      </c>
      <c r="L542" s="179">
        <v>9254</v>
      </c>
      <c r="M542" s="180" t="s">
        <v>250</v>
      </c>
      <c r="N542" s="181" t="s">
        <v>251</v>
      </c>
      <c r="O542" s="182" t="s">
        <v>252</v>
      </c>
    </row>
    <row r="543" spans="2:15">
      <c r="B543" s="174" t="s">
        <v>1978</v>
      </c>
      <c r="C543" s="175" t="s">
        <v>1506</v>
      </c>
      <c r="D543" s="176" t="s">
        <v>251</v>
      </c>
      <c r="E543" s="177" t="s">
        <v>1977</v>
      </c>
      <c r="F543" s="175">
        <f t="shared" si="17"/>
        <v>7</v>
      </c>
      <c r="G543" s="175" t="str">
        <f t="shared" si="18"/>
        <v>Fargo</v>
      </c>
      <c r="H543" s="175"/>
      <c r="I543" s="178" t="s">
        <v>1777</v>
      </c>
      <c r="J543" s="27" t="s">
        <v>251</v>
      </c>
      <c r="K543" s="27">
        <v>537</v>
      </c>
      <c r="L543" s="179">
        <v>9254</v>
      </c>
      <c r="M543" s="180" t="s">
        <v>250</v>
      </c>
      <c r="N543" s="181" t="s">
        <v>251</v>
      </c>
      <c r="O543" s="182" t="s">
        <v>252</v>
      </c>
    </row>
    <row r="544" spans="2:15">
      <c r="B544" s="174" t="s">
        <v>2092</v>
      </c>
      <c r="C544" s="175" t="s">
        <v>1506</v>
      </c>
      <c r="D544" s="176" t="s">
        <v>251</v>
      </c>
      <c r="E544" s="177" t="s">
        <v>2093</v>
      </c>
      <c r="F544" s="175">
        <f t="shared" si="17"/>
        <v>13</v>
      </c>
      <c r="G544" s="175" t="str">
        <f t="shared" si="18"/>
        <v>Grand Forks</v>
      </c>
      <c r="H544" s="175"/>
      <c r="I544" s="178" t="s">
        <v>1777</v>
      </c>
      <c r="J544" s="27" t="s">
        <v>251</v>
      </c>
      <c r="K544" s="27">
        <v>537</v>
      </c>
      <c r="L544" s="179">
        <v>9254</v>
      </c>
      <c r="M544" s="180" t="s">
        <v>250</v>
      </c>
      <c r="N544" s="181" t="s">
        <v>251</v>
      </c>
      <c r="O544" s="182" t="s">
        <v>252</v>
      </c>
    </row>
    <row r="545" spans="2:15">
      <c r="B545" s="174" t="s">
        <v>1781</v>
      </c>
      <c r="C545" s="175" t="s">
        <v>1506</v>
      </c>
      <c r="D545" s="176" t="s">
        <v>251</v>
      </c>
      <c r="E545" s="177" t="s">
        <v>1782</v>
      </c>
      <c r="F545" s="175">
        <f t="shared" si="17"/>
        <v>13</v>
      </c>
      <c r="G545" s="175" t="str">
        <f t="shared" si="18"/>
        <v>Devils Lake</v>
      </c>
      <c r="H545" s="175"/>
      <c r="I545" s="178" t="s">
        <v>1777</v>
      </c>
      <c r="J545" s="27" t="s">
        <v>251</v>
      </c>
      <c r="K545" s="27">
        <v>537</v>
      </c>
      <c r="L545" s="179">
        <v>9254</v>
      </c>
      <c r="M545" s="180" t="s">
        <v>250</v>
      </c>
      <c r="N545" s="181" t="s">
        <v>251</v>
      </c>
      <c r="O545" s="182" t="s">
        <v>252</v>
      </c>
    </row>
    <row r="546" spans="2:15">
      <c r="B546" s="174" t="s">
        <v>97</v>
      </c>
      <c r="C546" s="175" t="s">
        <v>1506</v>
      </c>
      <c r="D546" s="176" t="s">
        <v>251</v>
      </c>
      <c r="E546" s="177" t="s">
        <v>98</v>
      </c>
      <c r="F546" s="175">
        <f t="shared" si="17"/>
        <v>11</v>
      </c>
      <c r="G546" s="175" t="str">
        <f t="shared" si="18"/>
        <v>Jamestown</v>
      </c>
      <c r="H546" s="175"/>
      <c r="I546" s="178" t="s">
        <v>1704</v>
      </c>
      <c r="J546" s="27" t="s">
        <v>251</v>
      </c>
      <c r="K546" s="27">
        <v>488</v>
      </c>
      <c r="L546" s="179">
        <v>8968</v>
      </c>
      <c r="M546" s="180" t="s">
        <v>1705</v>
      </c>
      <c r="N546" s="181" t="s">
        <v>251</v>
      </c>
      <c r="O546" s="182" t="s">
        <v>1706</v>
      </c>
    </row>
    <row r="547" spans="2:15">
      <c r="B547" s="174" t="s">
        <v>1505</v>
      </c>
      <c r="C547" s="175" t="s">
        <v>1506</v>
      </c>
      <c r="D547" s="176" t="s">
        <v>251</v>
      </c>
      <c r="E547" s="177" t="s">
        <v>1507</v>
      </c>
      <c r="F547" s="175">
        <f t="shared" si="17"/>
        <v>10</v>
      </c>
      <c r="G547" s="175" t="str">
        <f t="shared" si="18"/>
        <v>Bismarck</v>
      </c>
      <c r="H547" s="175"/>
      <c r="I547" s="178" t="s">
        <v>1704</v>
      </c>
      <c r="J547" s="27" t="s">
        <v>251</v>
      </c>
      <c r="K547" s="27">
        <v>488</v>
      </c>
      <c r="L547" s="179">
        <v>8968</v>
      </c>
      <c r="M547" s="180" t="s">
        <v>1705</v>
      </c>
      <c r="N547" s="181" t="s">
        <v>251</v>
      </c>
      <c r="O547" s="182" t="s">
        <v>1706</v>
      </c>
    </row>
    <row r="548" spans="2:15">
      <c r="B548" s="174" t="s">
        <v>1783</v>
      </c>
      <c r="C548" s="175" t="s">
        <v>1506</v>
      </c>
      <c r="D548" s="176" t="s">
        <v>251</v>
      </c>
      <c r="E548" s="177" t="s">
        <v>1784</v>
      </c>
      <c r="F548" s="175">
        <f t="shared" si="17"/>
        <v>11</v>
      </c>
      <c r="G548" s="175" t="str">
        <f t="shared" si="18"/>
        <v>Dickinson</v>
      </c>
      <c r="H548" s="175"/>
      <c r="I548" s="178" t="s">
        <v>1704</v>
      </c>
      <c r="J548" s="27" t="s">
        <v>251</v>
      </c>
      <c r="K548" s="27">
        <v>488</v>
      </c>
      <c r="L548" s="179">
        <v>8968</v>
      </c>
      <c r="M548" s="180" t="s">
        <v>1705</v>
      </c>
      <c r="N548" s="181" t="s">
        <v>251</v>
      </c>
      <c r="O548" s="182" t="s">
        <v>1706</v>
      </c>
    </row>
    <row r="549" spans="2:15">
      <c r="B549" s="174" t="s">
        <v>171</v>
      </c>
      <c r="C549" s="175" t="s">
        <v>1506</v>
      </c>
      <c r="D549" s="176" t="s">
        <v>251</v>
      </c>
      <c r="E549" s="177" t="s">
        <v>172</v>
      </c>
      <c r="F549" s="175">
        <f t="shared" si="17"/>
        <v>7</v>
      </c>
      <c r="G549" s="175" t="str">
        <f t="shared" si="18"/>
        <v>Minot</v>
      </c>
      <c r="H549" s="175"/>
      <c r="I549" s="178" t="s">
        <v>173</v>
      </c>
      <c r="J549" s="27" t="s">
        <v>251</v>
      </c>
      <c r="K549" s="27">
        <v>548</v>
      </c>
      <c r="L549" s="179">
        <v>9090</v>
      </c>
      <c r="M549" s="180" t="s">
        <v>1705</v>
      </c>
      <c r="N549" s="181" t="s">
        <v>251</v>
      </c>
      <c r="O549" s="182" t="s">
        <v>1706</v>
      </c>
    </row>
    <row r="550" spans="2:15">
      <c r="B550" s="174" t="s">
        <v>683</v>
      </c>
      <c r="C550" s="175" t="s">
        <v>1506</v>
      </c>
      <c r="D550" s="176" t="s">
        <v>251</v>
      </c>
      <c r="E550" s="177" t="s">
        <v>684</v>
      </c>
      <c r="F550" s="175">
        <f t="shared" si="17"/>
        <v>11</v>
      </c>
      <c r="G550" s="175" t="str">
        <f t="shared" si="18"/>
        <v>Williston</v>
      </c>
      <c r="H550" s="175"/>
      <c r="I550" s="178" t="s">
        <v>173</v>
      </c>
      <c r="J550" s="27" t="s">
        <v>251</v>
      </c>
      <c r="K550" s="27">
        <v>548</v>
      </c>
      <c r="L550" s="179">
        <v>9090</v>
      </c>
      <c r="M550" s="180" t="s">
        <v>1705</v>
      </c>
      <c r="N550" s="181" t="s">
        <v>251</v>
      </c>
      <c r="O550" s="182" t="s">
        <v>1706</v>
      </c>
    </row>
    <row r="551" spans="2:15">
      <c r="B551" s="174" t="s">
        <v>1486</v>
      </c>
      <c r="C551" s="175" t="s">
        <v>1487</v>
      </c>
      <c r="D551" s="176" t="s">
        <v>1488</v>
      </c>
      <c r="E551" s="177" t="s">
        <v>1489</v>
      </c>
      <c r="F551" s="175">
        <f t="shared" si="17"/>
        <v>10</v>
      </c>
      <c r="G551" s="175" t="str">
        <f t="shared" si="18"/>
        <v>Billings</v>
      </c>
      <c r="H551" s="175"/>
      <c r="I551" s="178" t="s">
        <v>1490</v>
      </c>
      <c r="J551" s="27" t="s">
        <v>1488</v>
      </c>
      <c r="K551" s="27">
        <v>652</v>
      </c>
      <c r="L551" s="179">
        <v>7164</v>
      </c>
      <c r="M551" s="180" t="s">
        <v>1491</v>
      </c>
      <c r="N551" s="181" t="s">
        <v>1488</v>
      </c>
      <c r="O551" s="182" t="s">
        <v>1492</v>
      </c>
    </row>
    <row r="552" spans="2:15">
      <c r="B552" s="174" t="s">
        <v>1493</v>
      </c>
      <c r="C552" s="175" t="s">
        <v>1487</v>
      </c>
      <c r="D552" s="176" t="s">
        <v>1488</v>
      </c>
      <c r="E552" s="177" t="s">
        <v>1489</v>
      </c>
      <c r="F552" s="175">
        <f t="shared" si="17"/>
        <v>10</v>
      </c>
      <c r="G552" s="175" t="str">
        <f t="shared" si="18"/>
        <v>Billings</v>
      </c>
      <c r="H552" s="175"/>
      <c r="I552" s="178" t="s">
        <v>1490</v>
      </c>
      <c r="J552" s="27" t="s">
        <v>1488</v>
      </c>
      <c r="K552" s="27">
        <v>652</v>
      </c>
      <c r="L552" s="179">
        <v>7164</v>
      </c>
      <c r="M552" s="180" t="s">
        <v>1491</v>
      </c>
      <c r="N552" s="181" t="s">
        <v>1488</v>
      </c>
      <c r="O552" s="182" t="s">
        <v>1492</v>
      </c>
    </row>
    <row r="553" spans="2:15">
      <c r="B553" s="174" t="s">
        <v>703</v>
      </c>
      <c r="C553" s="175" t="s">
        <v>1487</v>
      </c>
      <c r="D553" s="176" t="s">
        <v>1488</v>
      </c>
      <c r="E553" s="177" t="s">
        <v>704</v>
      </c>
      <c r="F553" s="175">
        <f t="shared" si="17"/>
        <v>12</v>
      </c>
      <c r="G553" s="175" t="str">
        <f t="shared" si="18"/>
        <v>Wolf Point</v>
      </c>
      <c r="H553" s="175"/>
      <c r="I553" s="178" t="s">
        <v>157</v>
      </c>
      <c r="J553" s="27" t="s">
        <v>1488</v>
      </c>
      <c r="K553" s="27">
        <v>558</v>
      </c>
      <c r="L553" s="179">
        <v>8745</v>
      </c>
      <c r="M553" s="180" t="s">
        <v>2108</v>
      </c>
      <c r="N553" s="181" t="s">
        <v>1488</v>
      </c>
      <c r="O553" s="182" t="s">
        <v>2109</v>
      </c>
    </row>
    <row r="554" spans="2:15">
      <c r="B554" s="174" t="s">
        <v>155</v>
      </c>
      <c r="C554" s="175" t="s">
        <v>1487</v>
      </c>
      <c r="D554" s="176" t="s">
        <v>1488</v>
      </c>
      <c r="E554" s="177" t="s">
        <v>156</v>
      </c>
      <c r="F554" s="175">
        <f t="shared" si="17"/>
        <v>12</v>
      </c>
      <c r="G554" s="175" t="str">
        <f t="shared" si="18"/>
        <v>Miles City</v>
      </c>
      <c r="H554" s="175"/>
      <c r="I554" s="178" t="s">
        <v>157</v>
      </c>
      <c r="J554" s="27" t="s">
        <v>1488</v>
      </c>
      <c r="K554" s="27">
        <v>558</v>
      </c>
      <c r="L554" s="179">
        <v>8745</v>
      </c>
      <c r="M554" s="180" t="s">
        <v>2108</v>
      </c>
      <c r="N554" s="181" t="s">
        <v>1488</v>
      </c>
      <c r="O554" s="182" t="s">
        <v>2109</v>
      </c>
    </row>
    <row r="555" spans="2:15">
      <c r="B555" s="174" t="s">
        <v>2105</v>
      </c>
      <c r="C555" s="175" t="s">
        <v>1487</v>
      </c>
      <c r="D555" s="176" t="s">
        <v>1488</v>
      </c>
      <c r="E555" s="177" t="s">
        <v>2106</v>
      </c>
      <c r="F555" s="175">
        <f t="shared" si="17"/>
        <v>13</v>
      </c>
      <c r="G555" s="175" t="str">
        <f t="shared" si="18"/>
        <v>Great Falls</v>
      </c>
      <c r="H555" s="175"/>
      <c r="I555" s="178" t="s">
        <v>2107</v>
      </c>
      <c r="J555" s="27" t="s">
        <v>1488</v>
      </c>
      <c r="K555" s="27">
        <v>388</v>
      </c>
      <c r="L555" s="179">
        <v>7741</v>
      </c>
      <c r="M555" s="180" t="s">
        <v>2108</v>
      </c>
      <c r="N555" s="181" t="s">
        <v>1488</v>
      </c>
      <c r="O555" s="182" t="s">
        <v>2109</v>
      </c>
    </row>
    <row r="556" spans="2:15">
      <c r="B556" s="174" t="s">
        <v>722</v>
      </c>
      <c r="C556" s="175" t="s">
        <v>1487</v>
      </c>
      <c r="D556" s="176" t="s">
        <v>1488</v>
      </c>
      <c r="E556" s="177" t="s">
        <v>723</v>
      </c>
      <c r="F556" s="175">
        <f t="shared" si="17"/>
        <v>7</v>
      </c>
      <c r="G556" s="175" t="str">
        <f t="shared" si="18"/>
        <v>Havre</v>
      </c>
      <c r="H556" s="175"/>
      <c r="I556" s="178" t="s">
        <v>2107</v>
      </c>
      <c r="J556" s="27" t="s">
        <v>1488</v>
      </c>
      <c r="K556" s="27">
        <v>388</v>
      </c>
      <c r="L556" s="179">
        <v>7741</v>
      </c>
      <c r="M556" s="180" t="s">
        <v>2108</v>
      </c>
      <c r="N556" s="181" t="s">
        <v>1488</v>
      </c>
      <c r="O556" s="182" t="s">
        <v>2109</v>
      </c>
    </row>
    <row r="557" spans="2:15">
      <c r="B557" s="174" t="s">
        <v>732</v>
      </c>
      <c r="C557" s="175" t="s">
        <v>1487</v>
      </c>
      <c r="D557" s="176" t="s">
        <v>1488</v>
      </c>
      <c r="E557" s="177" t="s">
        <v>733</v>
      </c>
      <c r="F557" s="175">
        <f t="shared" si="17"/>
        <v>8</v>
      </c>
      <c r="G557" s="175" t="str">
        <f t="shared" si="18"/>
        <v>Helena</v>
      </c>
      <c r="H557" s="175"/>
      <c r="I557" s="178" t="s">
        <v>734</v>
      </c>
      <c r="J557" s="27" t="s">
        <v>1488</v>
      </c>
      <c r="K557" s="27">
        <v>386</v>
      </c>
      <c r="L557" s="179">
        <v>8031</v>
      </c>
      <c r="M557" s="180" t="s">
        <v>1417</v>
      </c>
      <c r="N557" s="181" t="s">
        <v>1488</v>
      </c>
      <c r="O557" s="182" t="s">
        <v>1418</v>
      </c>
    </row>
    <row r="558" spans="2:15">
      <c r="B558" s="174" t="s">
        <v>1414</v>
      </c>
      <c r="C558" s="175" t="s">
        <v>1487</v>
      </c>
      <c r="D558" s="176" t="s">
        <v>1488</v>
      </c>
      <c r="E558" s="177" t="s">
        <v>1415</v>
      </c>
      <c r="F558" s="175">
        <f t="shared" si="17"/>
        <v>7</v>
      </c>
      <c r="G558" s="175" t="str">
        <f t="shared" si="18"/>
        <v>Butte</v>
      </c>
      <c r="H558" s="175"/>
      <c r="I558" s="178" t="s">
        <v>1416</v>
      </c>
      <c r="J558" s="27" t="s">
        <v>1488</v>
      </c>
      <c r="K558" s="27">
        <v>280</v>
      </c>
      <c r="L558" s="179">
        <v>7792</v>
      </c>
      <c r="M558" s="180" t="s">
        <v>1417</v>
      </c>
      <c r="N558" s="181" t="s">
        <v>1488</v>
      </c>
      <c r="O558" s="182" t="s">
        <v>1418</v>
      </c>
    </row>
    <row r="559" spans="2:15">
      <c r="B559" s="174" t="s">
        <v>174</v>
      </c>
      <c r="C559" s="175" t="s">
        <v>1487</v>
      </c>
      <c r="D559" s="176" t="s">
        <v>1488</v>
      </c>
      <c r="E559" s="177" t="s">
        <v>175</v>
      </c>
      <c r="F559" s="175">
        <f t="shared" si="17"/>
        <v>10</v>
      </c>
      <c r="G559" s="175" t="str">
        <f t="shared" si="18"/>
        <v>Missoula</v>
      </c>
      <c r="H559" s="175"/>
      <c r="I559" s="178" t="s">
        <v>1416</v>
      </c>
      <c r="J559" s="27" t="s">
        <v>1488</v>
      </c>
      <c r="K559" s="27">
        <v>280</v>
      </c>
      <c r="L559" s="179">
        <v>7792</v>
      </c>
      <c r="M559" s="180" t="s">
        <v>1417</v>
      </c>
      <c r="N559" s="181" t="s">
        <v>1488</v>
      </c>
      <c r="O559" s="182" t="s">
        <v>1418</v>
      </c>
    </row>
    <row r="560" spans="2:15">
      <c r="B560" s="174" t="s">
        <v>123</v>
      </c>
      <c r="C560" s="175" t="s">
        <v>1487</v>
      </c>
      <c r="D560" s="176" t="s">
        <v>1488</v>
      </c>
      <c r="E560" s="177" t="s">
        <v>124</v>
      </c>
      <c r="F560" s="175">
        <f t="shared" si="17"/>
        <v>11</v>
      </c>
      <c r="G560" s="175" t="str">
        <f t="shared" si="18"/>
        <v>Kalispell</v>
      </c>
      <c r="H560" s="175"/>
      <c r="I560" s="178" t="s">
        <v>907</v>
      </c>
      <c r="J560" s="27" t="s">
        <v>1488</v>
      </c>
      <c r="K560" s="27">
        <v>149</v>
      </c>
      <c r="L560" s="179">
        <v>8378</v>
      </c>
      <c r="M560" s="180" t="s">
        <v>2108</v>
      </c>
      <c r="N560" s="181" t="s">
        <v>1488</v>
      </c>
      <c r="O560" s="182" t="s">
        <v>2109</v>
      </c>
    </row>
    <row r="561" spans="2:15">
      <c r="B561" s="174" t="s">
        <v>1194</v>
      </c>
      <c r="C561" s="175" t="s">
        <v>1708</v>
      </c>
      <c r="D561" s="176" t="s">
        <v>1709</v>
      </c>
      <c r="E561" s="177" t="s">
        <v>1195</v>
      </c>
      <c r="F561" s="175">
        <f t="shared" si="17"/>
        <v>20</v>
      </c>
      <c r="G561" s="175" t="str">
        <f t="shared" si="18"/>
        <v>North Chicago Sub.</v>
      </c>
      <c r="H561" s="175"/>
      <c r="I561" s="178" t="s">
        <v>1196</v>
      </c>
      <c r="J561" s="27" t="s">
        <v>1709</v>
      </c>
      <c r="K561" s="27">
        <v>702</v>
      </c>
      <c r="L561" s="179">
        <v>6969</v>
      </c>
      <c r="M561" s="178" t="s">
        <v>1197</v>
      </c>
      <c r="N561" s="27" t="s">
        <v>1709</v>
      </c>
      <c r="O561" s="182" t="s">
        <v>1198</v>
      </c>
    </row>
    <row r="562" spans="2:15">
      <c r="B562" s="174" t="s">
        <v>1199</v>
      </c>
      <c r="C562" s="175" t="s">
        <v>1708</v>
      </c>
      <c r="D562" s="176" t="s">
        <v>1709</v>
      </c>
      <c r="E562" s="177" t="s">
        <v>1195</v>
      </c>
      <c r="F562" s="175">
        <f t="shared" si="17"/>
        <v>20</v>
      </c>
      <c r="G562" s="175" t="str">
        <f t="shared" si="18"/>
        <v>North Chicago Sub.</v>
      </c>
      <c r="H562" s="175"/>
      <c r="I562" s="178" t="s">
        <v>1196</v>
      </c>
      <c r="J562" s="27" t="s">
        <v>1709</v>
      </c>
      <c r="K562" s="27">
        <v>702</v>
      </c>
      <c r="L562" s="179">
        <v>6969</v>
      </c>
      <c r="M562" s="178" t="s">
        <v>1197</v>
      </c>
      <c r="N562" s="27" t="s">
        <v>1709</v>
      </c>
      <c r="O562" s="182" t="s">
        <v>1198</v>
      </c>
    </row>
    <row r="563" spans="2:15">
      <c r="B563" s="174" t="s">
        <v>541</v>
      </c>
      <c r="C563" s="175" t="s">
        <v>1708</v>
      </c>
      <c r="D563" s="176" t="s">
        <v>1709</v>
      </c>
      <c r="E563" s="177" t="s">
        <v>542</v>
      </c>
      <c r="F563" s="175">
        <f t="shared" si="17"/>
        <v>10</v>
      </c>
      <c r="G563" s="175" t="str">
        <f t="shared" si="18"/>
        <v>Evanston</v>
      </c>
      <c r="H563" s="175"/>
      <c r="I563" s="178" t="s">
        <v>2473</v>
      </c>
      <c r="J563" s="27" t="s">
        <v>1709</v>
      </c>
      <c r="K563" s="27">
        <v>752</v>
      </c>
      <c r="L563" s="179">
        <v>6536</v>
      </c>
      <c r="M563" s="178" t="s">
        <v>2474</v>
      </c>
      <c r="N563" s="27" t="s">
        <v>1709</v>
      </c>
      <c r="O563" s="182" t="s">
        <v>2475</v>
      </c>
    </row>
    <row r="564" spans="2:15">
      <c r="B564" s="174" t="s">
        <v>1210</v>
      </c>
      <c r="C564" s="175" t="s">
        <v>1708</v>
      </c>
      <c r="D564" s="176" t="s">
        <v>1709</v>
      </c>
      <c r="E564" s="177" t="s">
        <v>1211</v>
      </c>
      <c r="F564" s="175">
        <f t="shared" si="17"/>
        <v>10</v>
      </c>
      <c r="G564" s="175" t="str">
        <f t="shared" si="18"/>
        <v>Oak Park</v>
      </c>
      <c r="H564" s="175"/>
      <c r="I564" s="178" t="s">
        <v>2473</v>
      </c>
      <c r="J564" s="27" t="s">
        <v>1709</v>
      </c>
      <c r="K564" s="27">
        <v>752</v>
      </c>
      <c r="L564" s="179">
        <v>6536</v>
      </c>
      <c r="M564" s="178" t="s">
        <v>2474</v>
      </c>
      <c r="N564" s="27" t="s">
        <v>1709</v>
      </c>
      <c r="O564" s="182" t="s">
        <v>2475</v>
      </c>
    </row>
    <row r="565" spans="2:15">
      <c r="B565" s="174" t="s">
        <v>1703</v>
      </c>
      <c r="C565" s="175" t="s">
        <v>1708</v>
      </c>
      <c r="D565" s="176" t="s">
        <v>1709</v>
      </c>
      <c r="E565" s="177" t="s">
        <v>2348</v>
      </c>
      <c r="F565" s="175">
        <f t="shared" si="17"/>
        <v>20</v>
      </c>
      <c r="G565" s="175" t="str">
        <f t="shared" si="18"/>
        <v>South Chicago Sub.</v>
      </c>
      <c r="H565" s="175"/>
      <c r="I565" s="178" t="s">
        <v>2473</v>
      </c>
      <c r="J565" s="27" t="s">
        <v>1709</v>
      </c>
      <c r="K565" s="27">
        <v>752</v>
      </c>
      <c r="L565" s="179">
        <v>6536</v>
      </c>
      <c r="M565" s="178" t="s">
        <v>2474</v>
      </c>
      <c r="N565" s="27" t="s">
        <v>1709</v>
      </c>
      <c r="O565" s="182" t="s">
        <v>2475</v>
      </c>
    </row>
    <row r="566" spans="2:15">
      <c r="B566" s="174" t="s">
        <v>1280</v>
      </c>
      <c r="C566" s="175" t="s">
        <v>1708</v>
      </c>
      <c r="D566" s="176" t="s">
        <v>1709</v>
      </c>
      <c r="E566" s="177" t="s">
        <v>2348</v>
      </c>
      <c r="F566" s="175">
        <f t="shared" si="17"/>
        <v>20</v>
      </c>
      <c r="G566" s="175" t="str">
        <f t="shared" si="18"/>
        <v>South Chicago Sub.</v>
      </c>
      <c r="H566" s="175"/>
      <c r="I566" s="178" t="s">
        <v>2473</v>
      </c>
      <c r="J566" s="27" t="s">
        <v>1709</v>
      </c>
      <c r="K566" s="27">
        <v>752</v>
      </c>
      <c r="L566" s="179">
        <v>6536</v>
      </c>
      <c r="M566" s="178" t="s">
        <v>2474</v>
      </c>
      <c r="N566" s="27" t="s">
        <v>1709</v>
      </c>
      <c r="O566" s="182" t="s">
        <v>2475</v>
      </c>
    </row>
    <row r="567" spans="2:15">
      <c r="B567" s="174" t="s">
        <v>2471</v>
      </c>
      <c r="C567" s="175" t="s">
        <v>1708</v>
      </c>
      <c r="D567" s="176" t="s">
        <v>1709</v>
      </c>
      <c r="E567" s="177" t="s">
        <v>2472</v>
      </c>
      <c r="F567" s="175">
        <f t="shared" si="17"/>
        <v>9</v>
      </c>
      <c r="G567" s="175" t="str">
        <f t="shared" si="18"/>
        <v>Chicago</v>
      </c>
      <c r="H567" s="175"/>
      <c r="I567" s="178" t="s">
        <v>2473</v>
      </c>
      <c r="J567" s="27" t="s">
        <v>1709</v>
      </c>
      <c r="K567" s="27">
        <v>752</v>
      </c>
      <c r="L567" s="179">
        <v>6536</v>
      </c>
      <c r="M567" s="178" t="s">
        <v>2474</v>
      </c>
      <c r="N567" s="27" t="s">
        <v>1709</v>
      </c>
      <c r="O567" s="182" t="s">
        <v>2475</v>
      </c>
    </row>
    <row r="568" spans="2:15">
      <c r="B568" s="174" t="s">
        <v>2476</v>
      </c>
      <c r="C568" s="175" t="s">
        <v>1708</v>
      </c>
      <c r="D568" s="176" t="s">
        <v>1709</v>
      </c>
      <c r="E568" s="177" t="s">
        <v>2472</v>
      </c>
      <c r="F568" s="175">
        <f t="shared" si="17"/>
        <v>9</v>
      </c>
      <c r="G568" s="175" t="str">
        <f t="shared" si="18"/>
        <v>Chicago</v>
      </c>
      <c r="H568" s="175"/>
      <c r="I568" s="178" t="s">
        <v>2473</v>
      </c>
      <c r="J568" s="27" t="s">
        <v>1709</v>
      </c>
      <c r="K568" s="27">
        <v>752</v>
      </c>
      <c r="L568" s="179">
        <v>6536</v>
      </c>
      <c r="M568" s="178" t="s">
        <v>2474</v>
      </c>
      <c r="N568" s="27" t="s">
        <v>1709</v>
      </c>
      <c r="O568" s="182" t="s">
        <v>2475</v>
      </c>
    </row>
    <row r="569" spans="2:15">
      <c r="B569" s="174" t="s">
        <v>908</v>
      </c>
      <c r="C569" s="175" t="s">
        <v>1708</v>
      </c>
      <c r="D569" s="176" t="s">
        <v>1709</v>
      </c>
      <c r="E569" s="177" t="s">
        <v>909</v>
      </c>
      <c r="F569" s="175">
        <f t="shared" si="17"/>
        <v>10</v>
      </c>
      <c r="G569" s="175" t="str">
        <f t="shared" si="18"/>
        <v>Kankakee</v>
      </c>
      <c r="H569" s="175"/>
      <c r="I569" s="178" t="s">
        <v>910</v>
      </c>
      <c r="J569" s="27" t="s">
        <v>1709</v>
      </c>
      <c r="K569" s="27">
        <v>982</v>
      </c>
      <c r="L569" s="179">
        <v>6148</v>
      </c>
      <c r="M569" s="178" t="s">
        <v>2061</v>
      </c>
      <c r="N569" s="27" t="s">
        <v>1709</v>
      </c>
      <c r="O569" s="182" t="s">
        <v>2062</v>
      </c>
    </row>
    <row r="570" spans="2:15">
      <c r="B570" s="174" t="s">
        <v>305</v>
      </c>
      <c r="C570" s="175" t="s">
        <v>1708</v>
      </c>
      <c r="D570" s="176" t="s">
        <v>1709</v>
      </c>
      <c r="E570" s="177" t="s">
        <v>306</v>
      </c>
      <c r="F570" s="175">
        <f t="shared" si="17"/>
        <v>10</v>
      </c>
      <c r="G570" s="175" t="str">
        <f t="shared" si="18"/>
        <v>Rockford</v>
      </c>
      <c r="H570" s="175"/>
      <c r="I570" s="178" t="s">
        <v>1196</v>
      </c>
      <c r="J570" s="27" t="s">
        <v>1709</v>
      </c>
      <c r="K570" s="27">
        <v>702</v>
      </c>
      <c r="L570" s="179">
        <v>6969</v>
      </c>
      <c r="M570" s="178" t="s">
        <v>1197</v>
      </c>
      <c r="N570" s="27" t="s">
        <v>1709</v>
      </c>
      <c r="O570" s="182" t="s">
        <v>1198</v>
      </c>
    </row>
    <row r="571" spans="2:15">
      <c r="B571" s="174" t="s">
        <v>307</v>
      </c>
      <c r="C571" s="175" t="s">
        <v>1708</v>
      </c>
      <c r="D571" s="176" t="s">
        <v>1709</v>
      </c>
      <c r="E571" s="177" t="s">
        <v>306</v>
      </c>
      <c r="F571" s="175">
        <f t="shared" si="17"/>
        <v>10</v>
      </c>
      <c r="G571" s="175" t="str">
        <f t="shared" si="18"/>
        <v>Rockford</v>
      </c>
      <c r="H571" s="175"/>
      <c r="I571" s="178" t="s">
        <v>1196</v>
      </c>
      <c r="J571" s="27" t="s">
        <v>1709</v>
      </c>
      <c r="K571" s="27">
        <v>702</v>
      </c>
      <c r="L571" s="179">
        <v>6969</v>
      </c>
      <c r="M571" s="178" t="s">
        <v>1197</v>
      </c>
      <c r="N571" s="27" t="s">
        <v>1709</v>
      </c>
      <c r="O571" s="182" t="s">
        <v>1198</v>
      </c>
    </row>
    <row r="572" spans="2:15">
      <c r="B572" s="174" t="s">
        <v>299</v>
      </c>
      <c r="C572" s="175" t="s">
        <v>1708</v>
      </c>
      <c r="D572" s="176" t="s">
        <v>1709</v>
      </c>
      <c r="E572" s="177" t="s">
        <v>300</v>
      </c>
      <c r="F572" s="175">
        <f t="shared" si="17"/>
        <v>13</v>
      </c>
      <c r="G572" s="175" t="str">
        <f t="shared" si="18"/>
        <v>Rock Island</v>
      </c>
      <c r="H572" s="175"/>
      <c r="I572" s="178" t="s">
        <v>1397</v>
      </c>
      <c r="J572" s="27" t="s">
        <v>1709</v>
      </c>
      <c r="K572" s="27">
        <v>911</v>
      </c>
      <c r="L572" s="179">
        <v>6474</v>
      </c>
      <c r="M572" s="178" t="s">
        <v>2061</v>
      </c>
      <c r="N572" s="27" t="s">
        <v>1709</v>
      </c>
      <c r="O572" s="182" t="s">
        <v>2062</v>
      </c>
    </row>
    <row r="573" spans="2:15">
      <c r="B573" s="174" t="s">
        <v>955</v>
      </c>
      <c r="C573" s="175" t="s">
        <v>1708</v>
      </c>
      <c r="D573" s="176" t="s">
        <v>1709</v>
      </c>
      <c r="E573" s="177" t="s">
        <v>956</v>
      </c>
      <c r="F573" s="175">
        <f t="shared" si="17"/>
        <v>10</v>
      </c>
      <c r="G573" s="175" t="str">
        <f t="shared" si="18"/>
        <v>La Salle</v>
      </c>
      <c r="H573" s="175"/>
      <c r="I573" s="178" t="s">
        <v>1397</v>
      </c>
      <c r="J573" s="27" t="s">
        <v>1709</v>
      </c>
      <c r="K573" s="27">
        <v>911</v>
      </c>
      <c r="L573" s="179">
        <v>6474</v>
      </c>
      <c r="M573" s="178" t="s">
        <v>2061</v>
      </c>
      <c r="N573" s="27" t="s">
        <v>1709</v>
      </c>
      <c r="O573" s="182" t="s">
        <v>2062</v>
      </c>
    </row>
    <row r="574" spans="2:15">
      <c r="B574" s="174" t="s">
        <v>2059</v>
      </c>
      <c r="C574" s="175" t="s">
        <v>1708</v>
      </c>
      <c r="D574" s="176" t="s">
        <v>1709</v>
      </c>
      <c r="E574" s="177" t="s">
        <v>2060</v>
      </c>
      <c r="F574" s="175">
        <f t="shared" si="17"/>
        <v>11</v>
      </c>
      <c r="G574" s="175" t="str">
        <f t="shared" si="18"/>
        <v>Galesburg</v>
      </c>
      <c r="H574" s="175"/>
      <c r="I574" s="178" t="s">
        <v>1397</v>
      </c>
      <c r="J574" s="27" t="s">
        <v>1709</v>
      </c>
      <c r="K574" s="27">
        <v>911</v>
      </c>
      <c r="L574" s="179">
        <v>6474</v>
      </c>
      <c r="M574" s="178" t="s">
        <v>2061</v>
      </c>
      <c r="N574" s="27" t="s">
        <v>1709</v>
      </c>
      <c r="O574" s="182" t="s">
        <v>2062</v>
      </c>
    </row>
    <row r="575" spans="2:15">
      <c r="B575" s="174" t="s">
        <v>2518</v>
      </c>
      <c r="C575" s="175" t="s">
        <v>1708</v>
      </c>
      <c r="D575" s="176" t="s">
        <v>1709</v>
      </c>
      <c r="E575" s="177" t="s">
        <v>2519</v>
      </c>
      <c r="F575" s="175">
        <f t="shared" si="17"/>
        <v>8</v>
      </c>
      <c r="G575" s="175" t="str">
        <f t="shared" si="18"/>
        <v>Peoria</v>
      </c>
      <c r="H575" s="175"/>
      <c r="I575" s="178" t="s">
        <v>910</v>
      </c>
      <c r="J575" s="27" t="s">
        <v>1709</v>
      </c>
      <c r="K575" s="27">
        <v>982</v>
      </c>
      <c r="L575" s="179">
        <v>6148</v>
      </c>
      <c r="M575" s="178" t="s">
        <v>2061</v>
      </c>
      <c r="N575" s="27" t="s">
        <v>1709</v>
      </c>
      <c r="O575" s="182" t="s">
        <v>2062</v>
      </c>
    </row>
    <row r="576" spans="2:15">
      <c r="B576" s="174" t="s">
        <v>2520</v>
      </c>
      <c r="C576" s="175" t="s">
        <v>1708</v>
      </c>
      <c r="D576" s="176" t="s">
        <v>1709</v>
      </c>
      <c r="E576" s="177" t="s">
        <v>2519</v>
      </c>
      <c r="F576" s="175">
        <f t="shared" si="17"/>
        <v>8</v>
      </c>
      <c r="G576" s="175" t="str">
        <f t="shared" si="18"/>
        <v>Peoria</v>
      </c>
      <c r="H576" s="175"/>
      <c r="I576" s="178" t="s">
        <v>910</v>
      </c>
      <c r="J576" s="27" t="s">
        <v>1709</v>
      </c>
      <c r="K576" s="27">
        <v>982</v>
      </c>
      <c r="L576" s="179">
        <v>6148</v>
      </c>
      <c r="M576" s="178" t="s">
        <v>2061</v>
      </c>
      <c r="N576" s="27" t="s">
        <v>1709</v>
      </c>
      <c r="O576" s="182" t="s">
        <v>2062</v>
      </c>
    </row>
    <row r="577" spans="2:15">
      <c r="B577" s="174" t="s">
        <v>1707</v>
      </c>
      <c r="C577" s="175" t="s">
        <v>1708</v>
      </c>
      <c r="D577" s="176" t="s">
        <v>1709</v>
      </c>
      <c r="E577" s="177" t="s">
        <v>1710</v>
      </c>
      <c r="F577" s="175">
        <f t="shared" si="17"/>
        <v>13</v>
      </c>
      <c r="G577" s="175" t="str">
        <f t="shared" si="18"/>
        <v>Bloomington</v>
      </c>
      <c r="H577" s="175"/>
      <c r="I577" s="178" t="s">
        <v>1711</v>
      </c>
      <c r="J577" s="27" t="s">
        <v>1709</v>
      </c>
      <c r="K577" s="27">
        <v>1141</v>
      </c>
      <c r="L577" s="179">
        <v>5688</v>
      </c>
      <c r="M577" s="178" t="s">
        <v>1712</v>
      </c>
      <c r="N577" s="27" t="s">
        <v>1709</v>
      </c>
      <c r="O577" s="182" t="s">
        <v>2361</v>
      </c>
    </row>
    <row r="578" spans="2:15">
      <c r="B578" s="174" t="s">
        <v>2432</v>
      </c>
      <c r="C578" s="175" t="s">
        <v>1708</v>
      </c>
      <c r="D578" s="176" t="s">
        <v>1709</v>
      </c>
      <c r="E578" s="177" t="s">
        <v>2433</v>
      </c>
      <c r="F578" s="175">
        <f t="shared" si="17"/>
        <v>18</v>
      </c>
      <c r="G578" s="175" t="str">
        <f t="shared" si="18"/>
        <v>Champaign/Urbana</v>
      </c>
      <c r="H578" s="175"/>
      <c r="I578" s="178" t="s">
        <v>1711</v>
      </c>
      <c r="J578" s="27" t="s">
        <v>1709</v>
      </c>
      <c r="K578" s="27">
        <v>1141</v>
      </c>
      <c r="L578" s="179">
        <v>5688</v>
      </c>
      <c r="M578" s="178" t="s">
        <v>1712</v>
      </c>
      <c r="N578" s="27" t="s">
        <v>1709</v>
      </c>
      <c r="O578" s="182" t="s">
        <v>2361</v>
      </c>
    </row>
    <row r="579" spans="2:15">
      <c r="B579" s="174" t="s">
        <v>2434</v>
      </c>
      <c r="C579" s="175" t="s">
        <v>1708</v>
      </c>
      <c r="D579" s="176" t="s">
        <v>1709</v>
      </c>
      <c r="E579" s="177" t="s">
        <v>2433</v>
      </c>
      <c r="F579" s="175">
        <f t="shared" si="17"/>
        <v>18</v>
      </c>
      <c r="G579" s="175" t="str">
        <f t="shared" si="18"/>
        <v>Champaign/Urbana</v>
      </c>
      <c r="H579" s="175"/>
      <c r="I579" s="178" t="s">
        <v>1711</v>
      </c>
      <c r="J579" s="27" t="s">
        <v>1709</v>
      </c>
      <c r="K579" s="27">
        <v>1141</v>
      </c>
      <c r="L579" s="179">
        <v>5688</v>
      </c>
      <c r="M579" s="178" t="s">
        <v>1712</v>
      </c>
      <c r="N579" s="27" t="s">
        <v>1709</v>
      </c>
      <c r="O579" s="182" t="s">
        <v>2361</v>
      </c>
    </row>
    <row r="580" spans="2:15">
      <c r="B580" s="174" t="s">
        <v>523</v>
      </c>
      <c r="C580" s="175" t="s">
        <v>1708</v>
      </c>
      <c r="D580" s="176" t="s">
        <v>1709</v>
      </c>
      <c r="E580" s="177" t="s">
        <v>524</v>
      </c>
      <c r="F580" s="175">
        <f t="shared" si="17"/>
        <v>18</v>
      </c>
      <c r="G580" s="175" t="str">
        <f t="shared" si="18"/>
        <v>East Saint Louis</v>
      </c>
      <c r="H580" s="175"/>
      <c r="I580" s="178" t="s">
        <v>1441</v>
      </c>
      <c r="J580" s="27" t="s">
        <v>1439</v>
      </c>
      <c r="K580" s="27">
        <v>1534</v>
      </c>
      <c r="L580" s="179">
        <v>4758</v>
      </c>
      <c r="M580" s="178" t="s">
        <v>1442</v>
      </c>
      <c r="N580" s="27" t="s">
        <v>1439</v>
      </c>
      <c r="O580" s="182" t="s">
        <v>1443</v>
      </c>
    </row>
    <row r="581" spans="2:15">
      <c r="B581" s="174" t="s">
        <v>525</v>
      </c>
      <c r="C581" s="175" t="s">
        <v>1708</v>
      </c>
      <c r="D581" s="176" t="s">
        <v>1709</v>
      </c>
      <c r="E581" s="177" t="s">
        <v>524</v>
      </c>
      <c r="F581" s="175">
        <f t="shared" si="17"/>
        <v>18</v>
      </c>
      <c r="G581" s="175" t="str">
        <f t="shared" si="18"/>
        <v>East Saint Louis</v>
      </c>
      <c r="H581" s="175"/>
      <c r="I581" s="178" t="s">
        <v>1441</v>
      </c>
      <c r="J581" s="27" t="s">
        <v>1439</v>
      </c>
      <c r="K581" s="27">
        <v>1534</v>
      </c>
      <c r="L581" s="179">
        <v>4758</v>
      </c>
      <c r="M581" s="178" t="s">
        <v>1442</v>
      </c>
      <c r="N581" s="27" t="s">
        <v>1439</v>
      </c>
      <c r="O581" s="182" t="s">
        <v>1443</v>
      </c>
    </row>
    <row r="582" spans="2:15">
      <c r="B582" s="174" t="s">
        <v>2595</v>
      </c>
      <c r="C582" s="175" t="s">
        <v>1708</v>
      </c>
      <c r="D582" s="176" t="s">
        <v>1709</v>
      </c>
      <c r="E582" s="177" t="s">
        <v>2596</v>
      </c>
      <c r="F582" s="175">
        <f t="shared" si="17"/>
        <v>8</v>
      </c>
      <c r="G582" s="175" t="str">
        <f t="shared" si="18"/>
        <v>Quincy</v>
      </c>
      <c r="H582" s="175"/>
      <c r="I582" s="178" t="s">
        <v>1711</v>
      </c>
      <c r="J582" s="27" t="s">
        <v>1709</v>
      </c>
      <c r="K582" s="27">
        <v>1141</v>
      </c>
      <c r="L582" s="179">
        <v>5688</v>
      </c>
      <c r="M582" s="178" t="s">
        <v>1712</v>
      </c>
      <c r="N582" s="27" t="s">
        <v>1709</v>
      </c>
      <c r="O582" s="182" t="s">
        <v>2361</v>
      </c>
    </row>
    <row r="583" spans="2:15">
      <c r="B583" s="174" t="s">
        <v>36</v>
      </c>
      <c r="C583" s="175" t="s">
        <v>1708</v>
      </c>
      <c r="D583" s="176" t="s">
        <v>1709</v>
      </c>
      <c r="E583" s="177" t="s">
        <v>37</v>
      </c>
      <c r="F583" s="175">
        <f t="shared" si="17"/>
        <v>11</v>
      </c>
      <c r="G583" s="175" t="str">
        <f t="shared" si="18"/>
        <v>Effingham</v>
      </c>
      <c r="H583" s="175"/>
      <c r="I583" s="178" t="s">
        <v>1441</v>
      </c>
      <c r="J583" s="27" t="s">
        <v>1439</v>
      </c>
      <c r="K583" s="27">
        <v>1534</v>
      </c>
      <c r="L583" s="179">
        <v>4758</v>
      </c>
      <c r="M583" s="178" t="s">
        <v>1442</v>
      </c>
      <c r="N583" s="27" t="s">
        <v>1439</v>
      </c>
      <c r="O583" s="182" t="s">
        <v>1443</v>
      </c>
    </row>
    <row r="584" spans="2:15">
      <c r="B584" s="174" t="s">
        <v>1302</v>
      </c>
      <c r="C584" s="175" t="s">
        <v>1708</v>
      </c>
      <c r="D584" s="176" t="s">
        <v>1709</v>
      </c>
      <c r="E584" s="177" t="s">
        <v>1303</v>
      </c>
      <c r="F584" s="175">
        <f t="shared" si="17"/>
        <v>13</v>
      </c>
      <c r="G584" s="175" t="str">
        <f t="shared" si="18"/>
        <v>Springfield</v>
      </c>
      <c r="H584" s="175"/>
      <c r="I584" s="178" t="s">
        <v>1711</v>
      </c>
      <c r="J584" s="27" t="s">
        <v>1709</v>
      </c>
      <c r="K584" s="27">
        <v>1141</v>
      </c>
      <c r="L584" s="179">
        <v>5688</v>
      </c>
      <c r="M584" s="178" t="s">
        <v>1712</v>
      </c>
      <c r="N584" s="27" t="s">
        <v>1709</v>
      </c>
      <c r="O584" s="182" t="s">
        <v>2361</v>
      </c>
    </row>
    <row r="585" spans="2:15">
      <c r="B585" s="174" t="s">
        <v>1304</v>
      </c>
      <c r="C585" s="175" t="s">
        <v>1708</v>
      </c>
      <c r="D585" s="176" t="s">
        <v>1709</v>
      </c>
      <c r="E585" s="177" t="s">
        <v>1303</v>
      </c>
      <c r="F585" s="175">
        <f t="shared" si="17"/>
        <v>13</v>
      </c>
      <c r="G585" s="175" t="str">
        <f t="shared" si="18"/>
        <v>Springfield</v>
      </c>
      <c r="H585" s="175"/>
      <c r="I585" s="178" t="s">
        <v>1711</v>
      </c>
      <c r="J585" s="27" t="s">
        <v>1709</v>
      </c>
      <c r="K585" s="27">
        <v>1141</v>
      </c>
      <c r="L585" s="179">
        <v>5688</v>
      </c>
      <c r="M585" s="178" t="s">
        <v>1712</v>
      </c>
      <c r="N585" s="27" t="s">
        <v>1709</v>
      </c>
      <c r="O585" s="182" t="s">
        <v>2361</v>
      </c>
    </row>
    <row r="586" spans="2:15">
      <c r="B586" s="174" t="s">
        <v>1305</v>
      </c>
      <c r="C586" s="175" t="s">
        <v>1708</v>
      </c>
      <c r="D586" s="176" t="s">
        <v>1709</v>
      </c>
      <c r="E586" s="177" t="s">
        <v>1303</v>
      </c>
      <c r="F586" s="175">
        <f t="shared" ref="F586:F649" si="19">LEN(E586)</f>
        <v>13</v>
      </c>
      <c r="G586" s="175" t="str">
        <f t="shared" ref="G586:G649" si="20">MID(E586,2,F586-2)</f>
        <v>Springfield</v>
      </c>
      <c r="H586" s="175"/>
      <c r="I586" s="178" t="s">
        <v>1711</v>
      </c>
      <c r="J586" s="27" t="s">
        <v>1709</v>
      </c>
      <c r="K586" s="27">
        <v>1141</v>
      </c>
      <c r="L586" s="179">
        <v>5688</v>
      </c>
      <c r="M586" s="178" t="s">
        <v>1712</v>
      </c>
      <c r="N586" s="27" t="s">
        <v>1709</v>
      </c>
      <c r="O586" s="182" t="s">
        <v>2361</v>
      </c>
    </row>
    <row r="587" spans="2:15">
      <c r="B587" s="174" t="s">
        <v>2425</v>
      </c>
      <c r="C587" s="175" t="s">
        <v>1708</v>
      </c>
      <c r="D587" s="176" t="s">
        <v>1709</v>
      </c>
      <c r="E587" s="177" t="s">
        <v>2426</v>
      </c>
      <c r="F587" s="175">
        <f t="shared" si="19"/>
        <v>11</v>
      </c>
      <c r="G587" s="175" t="str">
        <f t="shared" si="20"/>
        <v>Centralia</v>
      </c>
      <c r="H587" s="175"/>
      <c r="I587" s="178" t="s">
        <v>1446</v>
      </c>
      <c r="J587" s="27" t="s">
        <v>2364</v>
      </c>
      <c r="K587" s="27">
        <v>1376</v>
      </c>
      <c r="L587" s="179">
        <v>4708</v>
      </c>
      <c r="M587" s="178" t="s">
        <v>1447</v>
      </c>
      <c r="N587" s="27" t="s">
        <v>2364</v>
      </c>
      <c r="O587" s="182" t="s">
        <v>1448</v>
      </c>
    </row>
    <row r="588" spans="2:15">
      <c r="B588" s="174" t="s">
        <v>1444</v>
      </c>
      <c r="C588" s="175" t="s">
        <v>1708</v>
      </c>
      <c r="D588" s="176" t="s">
        <v>1709</v>
      </c>
      <c r="E588" s="177" t="s">
        <v>1445</v>
      </c>
      <c r="F588" s="175">
        <f t="shared" si="19"/>
        <v>12</v>
      </c>
      <c r="G588" s="175" t="str">
        <f t="shared" si="20"/>
        <v>Carbondale</v>
      </c>
      <c r="H588" s="175"/>
      <c r="I588" s="178" t="s">
        <v>1446</v>
      </c>
      <c r="J588" s="27" t="s">
        <v>2364</v>
      </c>
      <c r="K588" s="27">
        <v>1376</v>
      </c>
      <c r="L588" s="179">
        <v>4708</v>
      </c>
      <c r="M588" s="178" t="s">
        <v>1447</v>
      </c>
      <c r="N588" s="27" t="s">
        <v>2364</v>
      </c>
      <c r="O588" s="182" t="s">
        <v>1448</v>
      </c>
    </row>
    <row r="589" spans="2:15">
      <c r="B589" s="174" t="s">
        <v>342</v>
      </c>
      <c r="C589" s="175" t="s">
        <v>1438</v>
      </c>
      <c r="D589" s="176" t="s">
        <v>1439</v>
      </c>
      <c r="E589" s="177" t="s">
        <v>343</v>
      </c>
      <c r="F589" s="175">
        <f t="shared" si="19"/>
        <v>13</v>
      </c>
      <c r="G589" s="175" t="str">
        <f t="shared" si="20"/>
        <v>Saint Louis</v>
      </c>
      <c r="H589" s="175"/>
      <c r="I589" s="178" t="s">
        <v>1441</v>
      </c>
      <c r="J589" s="27" t="s">
        <v>1439</v>
      </c>
      <c r="K589" s="27">
        <v>1534</v>
      </c>
      <c r="L589" s="179">
        <v>4758</v>
      </c>
      <c r="M589" s="178" t="s">
        <v>1442</v>
      </c>
      <c r="N589" s="27" t="s">
        <v>1439</v>
      </c>
      <c r="O589" s="182" t="s">
        <v>1443</v>
      </c>
    </row>
    <row r="590" spans="2:15">
      <c r="B590" s="174" t="s">
        <v>344</v>
      </c>
      <c r="C590" s="175" t="s">
        <v>1438</v>
      </c>
      <c r="D590" s="176" t="s">
        <v>1439</v>
      </c>
      <c r="E590" s="177" t="s">
        <v>343</v>
      </c>
      <c r="F590" s="175">
        <f t="shared" si="19"/>
        <v>13</v>
      </c>
      <c r="G590" s="175" t="str">
        <f t="shared" si="20"/>
        <v>Saint Louis</v>
      </c>
      <c r="H590" s="175"/>
      <c r="I590" s="178" t="s">
        <v>1441</v>
      </c>
      <c r="J590" s="27" t="s">
        <v>1439</v>
      </c>
      <c r="K590" s="27">
        <v>1534</v>
      </c>
      <c r="L590" s="179">
        <v>4758</v>
      </c>
      <c r="M590" s="178" t="s">
        <v>1442</v>
      </c>
      <c r="N590" s="27" t="s">
        <v>1439</v>
      </c>
      <c r="O590" s="182" t="s">
        <v>1443</v>
      </c>
    </row>
    <row r="591" spans="2:15">
      <c r="B591" s="174" t="s">
        <v>345</v>
      </c>
      <c r="C591" s="175" t="s">
        <v>1438</v>
      </c>
      <c r="D591" s="176" t="s">
        <v>1439</v>
      </c>
      <c r="E591" s="177" t="s">
        <v>343</v>
      </c>
      <c r="F591" s="175">
        <f t="shared" si="19"/>
        <v>13</v>
      </c>
      <c r="G591" s="175" t="str">
        <f t="shared" si="20"/>
        <v>Saint Louis</v>
      </c>
      <c r="H591" s="175"/>
      <c r="I591" s="178" t="s">
        <v>1441</v>
      </c>
      <c r="J591" s="27" t="s">
        <v>1439</v>
      </c>
      <c r="K591" s="27">
        <v>1534</v>
      </c>
      <c r="L591" s="179">
        <v>4758</v>
      </c>
      <c r="M591" s="178" t="s">
        <v>1442</v>
      </c>
      <c r="N591" s="27" t="s">
        <v>1439</v>
      </c>
      <c r="O591" s="182" t="s">
        <v>1443</v>
      </c>
    </row>
    <row r="592" spans="2:15">
      <c r="B592" s="174" t="s">
        <v>335</v>
      </c>
      <c r="C592" s="175" t="s">
        <v>1438</v>
      </c>
      <c r="D592" s="176" t="s">
        <v>1439</v>
      </c>
      <c r="E592" s="177" t="s">
        <v>336</v>
      </c>
      <c r="F592" s="175">
        <f t="shared" si="19"/>
        <v>15</v>
      </c>
      <c r="G592" s="175" t="str">
        <f t="shared" si="20"/>
        <v>Saint Charles</v>
      </c>
      <c r="H592" s="175"/>
      <c r="I592" s="178" t="s">
        <v>1441</v>
      </c>
      <c r="J592" s="27" t="s">
        <v>1439</v>
      </c>
      <c r="K592" s="27">
        <v>1534</v>
      </c>
      <c r="L592" s="179">
        <v>4758</v>
      </c>
      <c r="M592" s="178" t="s">
        <v>1442</v>
      </c>
      <c r="N592" s="27" t="s">
        <v>1439</v>
      </c>
      <c r="O592" s="182" t="s">
        <v>1443</v>
      </c>
    </row>
    <row r="593" spans="2:15">
      <c r="B593" s="174" t="s">
        <v>2152</v>
      </c>
      <c r="C593" s="175" t="s">
        <v>1438</v>
      </c>
      <c r="D593" s="176" t="s">
        <v>1439</v>
      </c>
      <c r="E593" s="177" t="s">
        <v>2153</v>
      </c>
      <c r="F593" s="175">
        <f t="shared" si="19"/>
        <v>10</v>
      </c>
      <c r="G593" s="175" t="str">
        <f t="shared" si="20"/>
        <v>Hannibal</v>
      </c>
      <c r="H593" s="175"/>
      <c r="I593" s="178" t="s">
        <v>1579</v>
      </c>
      <c r="J593" s="27" t="s">
        <v>1439</v>
      </c>
      <c r="K593" s="27">
        <v>1189</v>
      </c>
      <c r="L593" s="179">
        <v>5212</v>
      </c>
      <c r="M593" s="178" t="s">
        <v>1442</v>
      </c>
      <c r="N593" s="27" t="s">
        <v>1439</v>
      </c>
      <c r="O593" s="182" t="s">
        <v>1443</v>
      </c>
    </row>
    <row r="594" spans="2:15">
      <c r="B594" s="174" t="s">
        <v>935</v>
      </c>
      <c r="C594" s="175" t="s">
        <v>1438</v>
      </c>
      <c r="D594" s="176" t="s">
        <v>1439</v>
      </c>
      <c r="E594" s="177" t="s">
        <v>936</v>
      </c>
      <c r="F594" s="175">
        <f t="shared" si="19"/>
        <v>12</v>
      </c>
      <c r="G594" s="175" t="str">
        <f t="shared" si="20"/>
        <v>Kirksville</v>
      </c>
      <c r="H594" s="175"/>
      <c r="I594" s="178" t="s">
        <v>1397</v>
      </c>
      <c r="J594" s="27" t="s">
        <v>1709</v>
      </c>
      <c r="K594" s="27">
        <v>911</v>
      </c>
      <c r="L594" s="179">
        <v>6474</v>
      </c>
      <c r="M594" s="178" t="s">
        <v>2061</v>
      </c>
      <c r="N594" s="27" t="s">
        <v>1709</v>
      </c>
      <c r="O594" s="182" t="s">
        <v>2062</v>
      </c>
    </row>
    <row r="595" spans="2:15">
      <c r="B595" s="174" t="s">
        <v>1993</v>
      </c>
      <c r="C595" s="175" t="s">
        <v>1438</v>
      </c>
      <c r="D595" s="176" t="s">
        <v>1439</v>
      </c>
      <c r="E595" s="177" t="s">
        <v>1994</v>
      </c>
      <c r="F595" s="175">
        <f t="shared" si="19"/>
        <v>12</v>
      </c>
      <c r="G595" s="175" t="str">
        <f t="shared" si="20"/>
        <v>Flat River</v>
      </c>
      <c r="H595" s="175"/>
      <c r="I595" s="178" t="s">
        <v>1441</v>
      </c>
      <c r="J595" s="27" t="s">
        <v>1439</v>
      </c>
      <c r="K595" s="27">
        <v>1534</v>
      </c>
      <c r="L595" s="179">
        <v>4758</v>
      </c>
      <c r="M595" s="178" t="s">
        <v>1442</v>
      </c>
      <c r="N595" s="27" t="s">
        <v>1439</v>
      </c>
      <c r="O595" s="182" t="s">
        <v>1443</v>
      </c>
    </row>
    <row r="596" spans="2:15">
      <c r="B596" s="174" t="s">
        <v>1437</v>
      </c>
      <c r="C596" s="175" t="s">
        <v>1438</v>
      </c>
      <c r="D596" s="176" t="s">
        <v>1439</v>
      </c>
      <c r="E596" s="177" t="s">
        <v>1440</v>
      </c>
      <c r="F596" s="175">
        <f t="shared" si="19"/>
        <v>16</v>
      </c>
      <c r="G596" s="175" t="str">
        <f t="shared" si="20"/>
        <v>Cape Girardeau</v>
      </c>
      <c r="H596" s="175"/>
      <c r="I596" s="178" t="s">
        <v>1441</v>
      </c>
      <c r="J596" s="27" t="s">
        <v>1439</v>
      </c>
      <c r="K596" s="27">
        <v>1534</v>
      </c>
      <c r="L596" s="179">
        <v>4758</v>
      </c>
      <c r="M596" s="178" t="s">
        <v>1442</v>
      </c>
      <c r="N596" s="27" t="s">
        <v>1439</v>
      </c>
      <c r="O596" s="182" t="s">
        <v>1443</v>
      </c>
    </row>
    <row r="597" spans="2:15">
      <c r="B597" s="174" t="s">
        <v>2324</v>
      </c>
      <c r="C597" s="175" t="s">
        <v>1438</v>
      </c>
      <c r="D597" s="176" t="s">
        <v>1439</v>
      </c>
      <c r="E597" s="177" t="s">
        <v>2325</v>
      </c>
      <c r="F597" s="175">
        <f t="shared" si="19"/>
        <v>10</v>
      </c>
      <c r="G597" s="175" t="str">
        <f t="shared" si="20"/>
        <v>Sikeston</v>
      </c>
      <c r="H597" s="175"/>
      <c r="I597" s="178" t="s">
        <v>1446</v>
      </c>
      <c r="J597" s="27" t="s">
        <v>2364</v>
      </c>
      <c r="K597" s="27">
        <v>1376</v>
      </c>
      <c r="L597" s="179">
        <v>4708</v>
      </c>
      <c r="M597" s="178" t="s">
        <v>1447</v>
      </c>
      <c r="N597" s="27" t="s">
        <v>2364</v>
      </c>
      <c r="O597" s="182" t="s">
        <v>1448</v>
      </c>
    </row>
    <row r="598" spans="2:15">
      <c r="B598" s="174" t="s">
        <v>2560</v>
      </c>
      <c r="C598" s="175" t="s">
        <v>1438</v>
      </c>
      <c r="D598" s="176" t="s">
        <v>1439</v>
      </c>
      <c r="E598" s="177" t="s">
        <v>2561</v>
      </c>
      <c r="F598" s="175">
        <f t="shared" si="19"/>
        <v>14</v>
      </c>
      <c r="G598" s="175" t="str">
        <f t="shared" si="20"/>
        <v>Poplar Bluff</v>
      </c>
      <c r="H598" s="175"/>
      <c r="I598" s="178" t="s">
        <v>1985</v>
      </c>
      <c r="J598" s="27" t="s">
        <v>1439</v>
      </c>
      <c r="K598" s="27">
        <v>1320</v>
      </c>
      <c r="L598" s="179">
        <v>4638</v>
      </c>
      <c r="M598" s="180" t="s">
        <v>1712</v>
      </c>
      <c r="N598" s="181" t="s">
        <v>1439</v>
      </c>
      <c r="O598" s="182" t="s">
        <v>1986</v>
      </c>
    </row>
    <row r="599" spans="2:15">
      <c r="B599" s="174" t="s">
        <v>915</v>
      </c>
      <c r="C599" s="175" t="s">
        <v>1438</v>
      </c>
      <c r="D599" s="176" t="s">
        <v>1439</v>
      </c>
      <c r="E599" s="177" t="s">
        <v>912</v>
      </c>
      <c r="F599" s="175">
        <f t="shared" si="19"/>
        <v>13</v>
      </c>
      <c r="G599" s="175" t="str">
        <f t="shared" si="20"/>
        <v>Kansas City</v>
      </c>
      <c r="H599" s="175"/>
      <c r="I599" s="178" t="s">
        <v>2484</v>
      </c>
      <c r="J599" s="27" t="s">
        <v>1439</v>
      </c>
      <c r="K599" s="27">
        <v>1288</v>
      </c>
      <c r="L599" s="179">
        <v>5393</v>
      </c>
      <c r="M599" s="180" t="s">
        <v>2485</v>
      </c>
      <c r="N599" s="181" t="s">
        <v>1439</v>
      </c>
      <c r="O599" s="182" t="s">
        <v>2486</v>
      </c>
    </row>
    <row r="600" spans="2:15">
      <c r="B600" s="174" t="s">
        <v>916</v>
      </c>
      <c r="C600" s="175" t="s">
        <v>1438</v>
      </c>
      <c r="D600" s="176" t="s">
        <v>1439</v>
      </c>
      <c r="E600" s="177" t="s">
        <v>912</v>
      </c>
      <c r="F600" s="175">
        <f t="shared" si="19"/>
        <v>13</v>
      </c>
      <c r="G600" s="175" t="str">
        <f t="shared" si="20"/>
        <v>Kansas City</v>
      </c>
      <c r="H600" s="175"/>
      <c r="I600" s="178" t="s">
        <v>2484</v>
      </c>
      <c r="J600" s="27" t="s">
        <v>1439</v>
      </c>
      <c r="K600" s="27">
        <v>1288</v>
      </c>
      <c r="L600" s="179">
        <v>5393</v>
      </c>
      <c r="M600" s="180" t="s">
        <v>2485</v>
      </c>
      <c r="N600" s="181" t="s">
        <v>1439</v>
      </c>
      <c r="O600" s="182" t="s">
        <v>2486</v>
      </c>
    </row>
    <row r="601" spans="2:15">
      <c r="B601" s="174" t="s">
        <v>339</v>
      </c>
      <c r="C601" s="175" t="s">
        <v>1438</v>
      </c>
      <c r="D601" s="176" t="s">
        <v>1439</v>
      </c>
      <c r="E601" s="177" t="s">
        <v>340</v>
      </c>
      <c r="F601" s="175">
        <f t="shared" si="19"/>
        <v>14</v>
      </c>
      <c r="G601" s="175" t="str">
        <f t="shared" si="20"/>
        <v>Saint Joseph</v>
      </c>
      <c r="H601" s="175"/>
      <c r="I601" s="178" t="s">
        <v>913</v>
      </c>
      <c r="J601" s="27" t="s">
        <v>1568</v>
      </c>
      <c r="K601" s="27">
        <v>1304</v>
      </c>
      <c r="L601" s="179">
        <v>5265</v>
      </c>
      <c r="M601" s="180" t="s">
        <v>601</v>
      </c>
      <c r="N601" s="181" t="s">
        <v>1568</v>
      </c>
      <c r="O601" s="182" t="s">
        <v>602</v>
      </c>
    </row>
    <row r="602" spans="2:15">
      <c r="B602" s="174" t="s">
        <v>341</v>
      </c>
      <c r="C602" s="175" t="s">
        <v>1438</v>
      </c>
      <c r="D602" s="176" t="s">
        <v>1439</v>
      </c>
      <c r="E602" s="177" t="s">
        <v>340</v>
      </c>
      <c r="F602" s="175">
        <f t="shared" si="19"/>
        <v>14</v>
      </c>
      <c r="G602" s="175" t="str">
        <f t="shared" si="20"/>
        <v>Saint Joseph</v>
      </c>
      <c r="H602" s="175"/>
      <c r="I602" s="178" t="s">
        <v>2484</v>
      </c>
      <c r="J602" s="27" t="s">
        <v>1439</v>
      </c>
      <c r="K602" s="27">
        <v>1288</v>
      </c>
      <c r="L602" s="179">
        <v>5393</v>
      </c>
      <c r="M602" s="180" t="s">
        <v>2485</v>
      </c>
      <c r="N602" s="181" t="s">
        <v>1439</v>
      </c>
      <c r="O602" s="182" t="s">
        <v>2486</v>
      </c>
    </row>
    <row r="603" spans="2:15">
      <c r="B603" s="174" t="s">
        <v>2482</v>
      </c>
      <c r="C603" s="175" t="s">
        <v>1438</v>
      </c>
      <c r="D603" s="176" t="s">
        <v>1439</v>
      </c>
      <c r="E603" s="177" t="s">
        <v>2483</v>
      </c>
      <c r="F603" s="175">
        <f t="shared" si="19"/>
        <v>13</v>
      </c>
      <c r="G603" s="175" t="str">
        <f t="shared" si="20"/>
        <v>Chillicothe</v>
      </c>
      <c r="H603" s="175"/>
      <c r="I603" s="178" t="s">
        <v>2484</v>
      </c>
      <c r="J603" s="27" t="s">
        <v>1439</v>
      </c>
      <c r="K603" s="27">
        <v>1288</v>
      </c>
      <c r="L603" s="179">
        <v>5393</v>
      </c>
      <c r="M603" s="180" t="s">
        <v>2485</v>
      </c>
      <c r="N603" s="181" t="s">
        <v>1439</v>
      </c>
      <c r="O603" s="182" t="s">
        <v>2486</v>
      </c>
    </row>
    <row r="604" spans="2:15">
      <c r="B604" s="174" t="s">
        <v>2250</v>
      </c>
      <c r="C604" s="175" t="s">
        <v>1438</v>
      </c>
      <c r="D604" s="176" t="s">
        <v>1439</v>
      </c>
      <c r="E604" s="177" t="s">
        <v>2251</v>
      </c>
      <c r="F604" s="175">
        <f t="shared" si="19"/>
        <v>15</v>
      </c>
      <c r="G604" s="175" t="str">
        <f t="shared" si="20"/>
        <v>Harrisonville</v>
      </c>
      <c r="H604" s="175"/>
      <c r="I604" s="178" t="s">
        <v>1985</v>
      </c>
      <c r="J604" s="27" t="s">
        <v>1439</v>
      </c>
      <c r="K604" s="27">
        <v>1320</v>
      </c>
      <c r="L604" s="179">
        <v>4638</v>
      </c>
      <c r="M604" s="180" t="s">
        <v>1712</v>
      </c>
      <c r="N604" s="181" t="s">
        <v>1439</v>
      </c>
      <c r="O604" s="182" t="s">
        <v>1986</v>
      </c>
    </row>
    <row r="605" spans="2:15">
      <c r="B605" s="174" t="s">
        <v>113</v>
      </c>
      <c r="C605" s="175" t="s">
        <v>1438</v>
      </c>
      <c r="D605" s="176" t="s">
        <v>1439</v>
      </c>
      <c r="E605" s="177" t="s">
        <v>114</v>
      </c>
      <c r="F605" s="175">
        <f t="shared" si="19"/>
        <v>8</v>
      </c>
      <c r="G605" s="175" t="str">
        <f t="shared" si="20"/>
        <v>Joplin</v>
      </c>
      <c r="H605" s="175"/>
      <c r="I605" s="178" t="s">
        <v>1985</v>
      </c>
      <c r="J605" s="27" t="s">
        <v>1439</v>
      </c>
      <c r="K605" s="27">
        <v>1320</v>
      </c>
      <c r="L605" s="179">
        <v>4638</v>
      </c>
      <c r="M605" s="180" t="s">
        <v>1712</v>
      </c>
      <c r="N605" s="181" t="s">
        <v>1439</v>
      </c>
      <c r="O605" s="182" t="s">
        <v>1986</v>
      </c>
    </row>
    <row r="606" spans="2:15">
      <c r="B606" s="174" t="s">
        <v>102</v>
      </c>
      <c r="C606" s="175" t="s">
        <v>1438</v>
      </c>
      <c r="D606" s="176" t="s">
        <v>1439</v>
      </c>
      <c r="E606" s="177" t="s">
        <v>103</v>
      </c>
      <c r="F606" s="175">
        <f t="shared" si="19"/>
        <v>16</v>
      </c>
      <c r="G606" s="175" t="str">
        <f t="shared" si="20"/>
        <v>Jefferson_City</v>
      </c>
      <c r="H606" s="175"/>
      <c r="I606" s="178" t="s">
        <v>1441</v>
      </c>
      <c r="J606" s="27" t="s">
        <v>1439</v>
      </c>
      <c r="K606" s="27">
        <v>1534</v>
      </c>
      <c r="L606" s="179">
        <v>4758</v>
      </c>
      <c r="M606" s="178" t="s">
        <v>1442</v>
      </c>
      <c r="N606" s="27" t="s">
        <v>1439</v>
      </c>
      <c r="O606" s="182" t="s">
        <v>1443</v>
      </c>
    </row>
    <row r="607" spans="2:15">
      <c r="B607" s="174" t="s">
        <v>104</v>
      </c>
      <c r="C607" s="175" t="s">
        <v>1438</v>
      </c>
      <c r="D607" s="176" t="s">
        <v>1439</v>
      </c>
      <c r="E607" s="177" t="s">
        <v>103</v>
      </c>
      <c r="F607" s="175">
        <f t="shared" si="19"/>
        <v>16</v>
      </c>
      <c r="G607" s="175" t="str">
        <f t="shared" si="20"/>
        <v>Jefferson_City</v>
      </c>
      <c r="H607" s="175"/>
      <c r="I607" s="178" t="s">
        <v>1579</v>
      </c>
      <c r="J607" s="27" t="s">
        <v>1439</v>
      </c>
      <c r="K607" s="27">
        <v>1189</v>
      </c>
      <c r="L607" s="179">
        <v>5212</v>
      </c>
      <c r="M607" s="178" t="s">
        <v>1442</v>
      </c>
      <c r="N607" s="27" t="s">
        <v>1439</v>
      </c>
      <c r="O607" s="182" t="s">
        <v>1443</v>
      </c>
    </row>
    <row r="608" spans="2:15">
      <c r="B608" s="174" t="s">
        <v>1577</v>
      </c>
      <c r="C608" s="175" t="s">
        <v>1438</v>
      </c>
      <c r="D608" s="176" t="s">
        <v>1439</v>
      </c>
      <c r="E608" s="177" t="s">
        <v>1578</v>
      </c>
      <c r="F608" s="175">
        <f t="shared" si="19"/>
        <v>10</v>
      </c>
      <c r="G608" s="175" t="str">
        <f t="shared" si="20"/>
        <v>Columbia</v>
      </c>
      <c r="H608" s="175"/>
      <c r="I608" s="178" t="s">
        <v>1579</v>
      </c>
      <c r="J608" s="27" t="s">
        <v>1439</v>
      </c>
      <c r="K608" s="27">
        <v>1189</v>
      </c>
      <c r="L608" s="179">
        <v>5212</v>
      </c>
      <c r="M608" s="178" t="s">
        <v>1442</v>
      </c>
      <c r="N608" s="27" t="s">
        <v>1439</v>
      </c>
      <c r="O608" s="182" t="s">
        <v>1443</v>
      </c>
    </row>
    <row r="609" spans="2:15">
      <c r="B609" s="174" t="s">
        <v>1341</v>
      </c>
      <c r="C609" s="175" t="s">
        <v>1438</v>
      </c>
      <c r="D609" s="176" t="s">
        <v>1439</v>
      </c>
      <c r="E609" s="177" t="s">
        <v>1342</v>
      </c>
      <c r="F609" s="175">
        <f t="shared" si="19"/>
        <v>9</v>
      </c>
      <c r="G609" s="175" t="str">
        <f t="shared" si="20"/>
        <v>Sedalia</v>
      </c>
      <c r="H609" s="175"/>
      <c r="I609" s="178" t="s">
        <v>1579</v>
      </c>
      <c r="J609" s="27" t="s">
        <v>1439</v>
      </c>
      <c r="K609" s="27">
        <v>1189</v>
      </c>
      <c r="L609" s="179">
        <v>5212</v>
      </c>
      <c r="M609" s="178" t="s">
        <v>1442</v>
      </c>
      <c r="N609" s="27" t="s">
        <v>1439</v>
      </c>
      <c r="O609" s="182" t="s">
        <v>1443</v>
      </c>
    </row>
    <row r="610" spans="2:15">
      <c r="B610" s="174" t="s">
        <v>314</v>
      </c>
      <c r="C610" s="175" t="s">
        <v>1438</v>
      </c>
      <c r="D610" s="176" t="s">
        <v>1439</v>
      </c>
      <c r="E610" s="177" t="s">
        <v>315</v>
      </c>
      <c r="F610" s="175">
        <f t="shared" si="19"/>
        <v>7</v>
      </c>
      <c r="G610" s="175" t="str">
        <f t="shared" si="20"/>
        <v>Rolla</v>
      </c>
      <c r="H610" s="175"/>
      <c r="I610" s="178" t="s">
        <v>1985</v>
      </c>
      <c r="J610" s="27" t="s">
        <v>1439</v>
      </c>
      <c r="K610" s="27">
        <v>1320</v>
      </c>
      <c r="L610" s="179">
        <v>4638</v>
      </c>
      <c r="M610" s="180" t="s">
        <v>1712</v>
      </c>
      <c r="N610" s="181" t="s">
        <v>1439</v>
      </c>
      <c r="O610" s="182" t="s">
        <v>1986</v>
      </c>
    </row>
    <row r="611" spans="2:15">
      <c r="B611" s="174" t="s">
        <v>316</v>
      </c>
      <c r="C611" s="175" t="s">
        <v>1438</v>
      </c>
      <c r="D611" s="176" t="s">
        <v>1439</v>
      </c>
      <c r="E611" s="177" t="s">
        <v>315</v>
      </c>
      <c r="F611" s="175">
        <f t="shared" si="19"/>
        <v>7</v>
      </c>
      <c r="G611" s="175" t="str">
        <f t="shared" si="20"/>
        <v>Rolla</v>
      </c>
      <c r="H611" s="175"/>
      <c r="I611" s="178" t="s">
        <v>1985</v>
      </c>
      <c r="J611" s="27" t="s">
        <v>1439</v>
      </c>
      <c r="K611" s="27">
        <v>1320</v>
      </c>
      <c r="L611" s="179">
        <v>4638</v>
      </c>
      <c r="M611" s="180" t="s">
        <v>1712</v>
      </c>
      <c r="N611" s="181" t="s">
        <v>1439</v>
      </c>
      <c r="O611" s="182" t="s">
        <v>1986</v>
      </c>
    </row>
    <row r="612" spans="2:15">
      <c r="B612" s="174" t="s">
        <v>1308</v>
      </c>
      <c r="C612" s="175" t="s">
        <v>1438</v>
      </c>
      <c r="D612" s="176" t="s">
        <v>1439</v>
      </c>
      <c r="E612" s="177" t="s">
        <v>1303</v>
      </c>
      <c r="F612" s="175">
        <f t="shared" si="19"/>
        <v>13</v>
      </c>
      <c r="G612" s="175" t="str">
        <f t="shared" si="20"/>
        <v>Springfield</v>
      </c>
      <c r="H612" s="175"/>
      <c r="I612" s="178" t="s">
        <v>1985</v>
      </c>
      <c r="J612" s="27" t="s">
        <v>1439</v>
      </c>
      <c r="K612" s="27">
        <v>1320</v>
      </c>
      <c r="L612" s="179">
        <v>4638</v>
      </c>
      <c r="M612" s="180" t="s">
        <v>1712</v>
      </c>
      <c r="N612" s="181" t="s">
        <v>1439</v>
      </c>
      <c r="O612" s="182" t="s">
        <v>1986</v>
      </c>
    </row>
    <row r="613" spans="2:15">
      <c r="B613" s="174" t="s">
        <v>1309</v>
      </c>
      <c r="C613" s="175" t="s">
        <v>1438</v>
      </c>
      <c r="D613" s="176" t="s">
        <v>1439</v>
      </c>
      <c r="E613" s="177" t="s">
        <v>1303</v>
      </c>
      <c r="F613" s="175">
        <f t="shared" si="19"/>
        <v>13</v>
      </c>
      <c r="G613" s="175" t="str">
        <f t="shared" si="20"/>
        <v>Springfield</v>
      </c>
      <c r="H613" s="175"/>
      <c r="I613" s="178" t="s">
        <v>1985</v>
      </c>
      <c r="J613" s="27" t="s">
        <v>1439</v>
      </c>
      <c r="K613" s="27">
        <v>1320</v>
      </c>
      <c r="L613" s="179">
        <v>4638</v>
      </c>
      <c r="M613" s="180" t="s">
        <v>1712</v>
      </c>
      <c r="N613" s="181" t="s">
        <v>1439</v>
      </c>
      <c r="O613" s="182" t="s">
        <v>1986</v>
      </c>
    </row>
    <row r="614" spans="2:15">
      <c r="B614" s="174" t="s">
        <v>1310</v>
      </c>
      <c r="C614" s="175" t="s">
        <v>1438</v>
      </c>
      <c r="D614" s="176" t="s">
        <v>1439</v>
      </c>
      <c r="E614" s="177" t="s">
        <v>1303</v>
      </c>
      <c r="F614" s="175">
        <f t="shared" si="19"/>
        <v>13</v>
      </c>
      <c r="G614" s="175" t="str">
        <f t="shared" si="20"/>
        <v>Springfield</v>
      </c>
      <c r="H614" s="175"/>
      <c r="I614" s="178" t="s">
        <v>1985</v>
      </c>
      <c r="J614" s="27" t="s">
        <v>1439</v>
      </c>
      <c r="K614" s="27">
        <v>1320</v>
      </c>
      <c r="L614" s="179">
        <v>4638</v>
      </c>
      <c r="M614" s="180" t="s">
        <v>1712</v>
      </c>
      <c r="N614" s="181" t="s">
        <v>1439</v>
      </c>
      <c r="O614" s="182" t="s">
        <v>1986</v>
      </c>
    </row>
    <row r="615" spans="2:15">
      <c r="B615" s="174" t="s">
        <v>911</v>
      </c>
      <c r="C615" s="175" t="s">
        <v>1567</v>
      </c>
      <c r="D615" s="176" t="s">
        <v>1568</v>
      </c>
      <c r="E615" s="177" t="s">
        <v>912</v>
      </c>
      <c r="F615" s="175">
        <f t="shared" si="19"/>
        <v>13</v>
      </c>
      <c r="G615" s="175" t="str">
        <f t="shared" si="20"/>
        <v>Kansas City</v>
      </c>
      <c r="H615" s="175"/>
      <c r="I615" s="178" t="s">
        <v>913</v>
      </c>
      <c r="J615" s="27" t="s">
        <v>1568</v>
      </c>
      <c r="K615" s="27">
        <v>1304</v>
      </c>
      <c r="L615" s="179">
        <v>5265</v>
      </c>
      <c r="M615" s="180" t="s">
        <v>2485</v>
      </c>
      <c r="N615" s="181" t="s">
        <v>1439</v>
      </c>
      <c r="O615" s="182" t="s">
        <v>2486</v>
      </c>
    </row>
    <row r="616" spans="2:15">
      <c r="B616" s="174" t="s">
        <v>914</v>
      </c>
      <c r="C616" s="175" t="s">
        <v>1567</v>
      </c>
      <c r="D616" s="176" t="s">
        <v>1568</v>
      </c>
      <c r="E616" s="177" t="s">
        <v>912</v>
      </c>
      <c r="F616" s="175">
        <f t="shared" si="19"/>
        <v>13</v>
      </c>
      <c r="G616" s="175" t="str">
        <f t="shared" si="20"/>
        <v>Kansas City</v>
      </c>
      <c r="H616" s="175"/>
      <c r="I616" s="178" t="s">
        <v>2484</v>
      </c>
      <c r="J616" s="27" t="s">
        <v>1439</v>
      </c>
      <c r="K616" s="27">
        <v>1288</v>
      </c>
      <c r="L616" s="179">
        <v>5393</v>
      </c>
      <c r="M616" s="180" t="s">
        <v>2485</v>
      </c>
      <c r="N616" s="181" t="s">
        <v>1439</v>
      </c>
      <c r="O616" s="182" t="s">
        <v>2486</v>
      </c>
    </row>
    <row r="617" spans="2:15">
      <c r="B617" s="174" t="s">
        <v>1347</v>
      </c>
      <c r="C617" s="175" t="s">
        <v>1567</v>
      </c>
      <c r="D617" s="176" t="s">
        <v>1568</v>
      </c>
      <c r="E617" s="177" t="s">
        <v>1348</v>
      </c>
      <c r="F617" s="175">
        <f t="shared" si="19"/>
        <v>17</v>
      </c>
      <c r="G617" s="175" t="str">
        <f t="shared" si="20"/>
        <v>Shawnee/Mission</v>
      </c>
      <c r="H617" s="175"/>
      <c r="I617" s="178" t="s">
        <v>2484</v>
      </c>
      <c r="J617" s="27" t="s">
        <v>1439</v>
      </c>
      <c r="K617" s="27">
        <v>1288</v>
      </c>
      <c r="L617" s="179">
        <v>5393</v>
      </c>
      <c r="M617" s="180" t="s">
        <v>2485</v>
      </c>
      <c r="N617" s="181" t="s">
        <v>1439</v>
      </c>
      <c r="O617" s="182" t="s">
        <v>2486</v>
      </c>
    </row>
    <row r="618" spans="2:15">
      <c r="B618" s="174" t="s">
        <v>840</v>
      </c>
      <c r="C618" s="175" t="s">
        <v>1567</v>
      </c>
      <c r="D618" s="176" t="s">
        <v>1568</v>
      </c>
      <c r="E618" s="177" t="s">
        <v>841</v>
      </c>
      <c r="F618" s="175">
        <f t="shared" si="19"/>
        <v>8</v>
      </c>
      <c r="G618" s="175" t="str">
        <f t="shared" si="20"/>
        <v>Topeka</v>
      </c>
      <c r="H618" s="175"/>
      <c r="I618" s="178" t="s">
        <v>913</v>
      </c>
      <c r="J618" s="27" t="s">
        <v>1568</v>
      </c>
      <c r="K618" s="27">
        <v>1304</v>
      </c>
      <c r="L618" s="179">
        <v>5265</v>
      </c>
      <c r="M618" s="180" t="s">
        <v>601</v>
      </c>
      <c r="N618" s="181" t="s">
        <v>1568</v>
      </c>
      <c r="O618" s="182" t="s">
        <v>602</v>
      </c>
    </row>
    <row r="619" spans="2:15">
      <c r="B619" s="174" t="s">
        <v>842</v>
      </c>
      <c r="C619" s="175" t="s">
        <v>1567</v>
      </c>
      <c r="D619" s="176" t="s">
        <v>1568</v>
      </c>
      <c r="E619" s="177" t="s">
        <v>841</v>
      </c>
      <c r="F619" s="175">
        <f t="shared" si="19"/>
        <v>8</v>
      </c>
      <c r="G619" s="175" t="str">
        <f t="shared" si="20"/>
        <v>Topeka</v>
      </c>
      <c r="H619" s="175"/>
      <c r="I619" s="178" t="s">
        <v>913</v>
      </c>
      <c r="J619" s="27" t="s">
        <v>1568</v>
      </c>
      <c r="K619" s="27">
        <v>1304</v>
      </c>
      <c r="L619" s="179">
        <v>5265</v>
      </c>
      <c r="M619" s="180" t="s">
        <v>601</v>
      </c>
      <c r="N619" s="181" t="s">
        <v>1568</v>
      </c>
      <c r="O619" s="182" t="s">
        <v>602</v>
      </c>
    </row>
    <row r="620" spans="2:15">
      <c r="B620" s="174" t="s">
        <v>843</v>
      </c>
      <c r="C620" s="175" t="s">
        <v>1567</v>
      </c>
      <c r="D620" s="176" t="s">
        <v>1568</v>
      </c>
      <c r="E620" s="177" t="s">
        <v>841</v>
      </c>
      <c r="F620" s="175">
        <f t="shared" si="19"/>
        <v>8</v>
      </c>
      <c r="G620" s="175" t="str">
        <f t="shared" si="20"/>
        <v>Topeka</v>
      </c>
      <c r="H620" s="175"/>
      <c r="I620" s="178" t="s">
        <v>913</v>
      </c>
      <c r="J620" s="27" t="s">
        <v>1568</v>
      </c>
      <c r="K620" s="27">
        <v>1304</v>
      </c>
      <c r="L620" s="179">
        <v>5265</v>
      </c>
      <c r="M620" s="180" t="s">
        <v>601</v>
      </c>
      <c r="N620" s="181" t="s">
        <v>1568</v>
      </c>
      <c r="O620" s="182" t="s">
        <v>602</v>
      </c>
    </row>
    <row r="621" spans="2:15">
      <c r="B621" s="174" t="s">
        <v>2022</v>
      </c>
      <c r="C621" s="175" t="s">
        <v>1567</v>
      </c>
      <c r="D621" s="176" t="s">
        <v>1568</v>
      </c>
      <c r="E621" s="177" t="s">
        <v>2023</v>
      </c>
      <c r="F621" s="175">
        <f t="shared" si="19"/>
        <v>12</v>
      </c>
      <c r="G621" s="175" t="str">
        <f t="shared" si="20"/>
        <v>Fort Scott</v>
      </c>
      <c r="H621" s="175"/>
      <c r="I621" s="178" t="s">
        <v>1985</v>
      </c>
      <c r="J621" s="27" t="s">
        <v>1439</v>
      </c>
      <c r="K621" s="27">
        <v>1320</v>
      </c>
      <c r="L621" s="179">
        <v>4638</v>
      </c>
      <c r="M621" s="180" t="s">
        <v>1712</v>
      </c>
      <c r="N621" s="181" t="s">
        <v>1439</v>
      </c>
      <c r="O621" s="182" t="s">
        <v>1986</v>
      </c>
    </row>
    <row r="622" spans="2:15">
      <c r="B622" s="174" t="s">
        <v>1068</v>
      </c>
      <c r="C622" s="175" t="s">
        <v>1567</v>
      </c>
      <c r="D622" s="176" t="s">
        <v>1568</v>
      </c>
      <c r="E622" s="177" t="s">
        <v>1069</v>
      </c>
      <c r="F622" s="175">
        <f t="shared" si="19"/>
        <v>9</v>
      </c>
      <c r="G622" s="175" t="str">
        <f t="shared" si="20"/>
        <v>Emporia</v>
      </c>
      <c r="H622" s="175"/>
      <c r="I622" s="178" t="s">
        <v>1070</v>
      </c>
      <c r="J622" s="27" t="s">
        <v>1568</v>
      </c>
      <c r="K622" s="27">
        <v>1628</v>
      </c>
      <c r="L622" s="179">
        <v>4791</v>
      </c>
      <c r="M622" s="180" t="s">
        <v>1788</v>
      </c>
      <c r="N622" s="181" t="s">
        <v>1568</v>
      </c>
      <c r="O622" s="182" t="s">
        <v>1789</v>
      </c>
    </row>
    <row r="623" spans="2:15">
      <c r="B623" s="174" t="s">
        <v>598</v>
      </c>
      <c r="C623" s="175" t="s">
        <v>1567</v>
      </c>
      <c r="D623" s="176" t="s">
        <v>1568</v>
      </c>
      <c r="E623" s="177" t="s">
        <v>599</v>
      </c>
      <c r="F623" s="175">
        <f t="shared" si="19"/>
        <v>11</v>
      </c>
      <c r="G623" s="175" t="str">
        <f t="shared" si="20"/>
        <v>Concordia</v>
      </c>
      <c r="H623" s="175"/>
      <c r="I623" s="178" t="s">
        <v>600</v>
      </c>
      <c r="J623" s="27" t="s">
        <v>1568</v>
      </c>
      <c r="K623" s="27">
        <v>1317</v>
      </c>
      <c r="L623" s="179">
        <v>5574</v>
      </c>
      <c r="M623" s="180" t="s">
        <v>601</v>
      </c>
      <c r="N623" s="181" t="s">
        <v>1568</v>
      </c>
      <c r="O623" s="182" t="s">
        <v>602</v>
      </c>
    </row>
    <row r="624" spans="2:15">
      <c r="B624" s="174" t="s">
        <v>672</v>
      </c>
      <c r="C624" s="175" t="s">
        <v>1567</v>
      </c>
      <c r="D624" s="176" t="s">
        <v>1568</v>
      </c>
      <c r="E624" s="177" t="s">
        <v>673</v>
      </c>
      <c r="F624" s="175">
        <f t="shared" si="19"/>
        <v>9</v>
      </c>
      <c r="G624" s="175" t="str">
        <f t="shared" si="20"/>
        <v>Wichita</v>
      </c>
      <c r="H624" s="175"/>
      <c r="I624" s="178" t="s">
        <v>1070</v>
      </c>
      <c r="J624" s="27" t="s">
        <v>1568</v>
      </c>
      <c r="K624" s="27">
        <v>1628</v>
      </c>
      <c r="L624" s="179">
        <v>4791</v>
      </c>
      <c r="M624" s="180" t="s">
        <v>1788</v>
      </c>
      <c r="N624" s="181" t="s">
        <v>1568</v>
      </c>
      <c r="O624" s="182" t="s">
        <v>1789</v>
      </c>
    </row>
    <row r="625" spans="2:15">
      <c r="B625" s="174" t="s">
        <v>674</v>
      </c>
      <c r="C625" s="175" t="s">
        <v>1567</v>
      </c>
      <c r="D625" s="176" t="s">
        <v>1568</v>
      </c>
      <c r="E625" s="177" t="s">
        <v>673</v>
      </c>
      <c r="F625" s="175">
        <f t="shared" si="19"/>
        <v>9</v>
      </c>
      <c r="G625" s="175" t="str">
        <f t="shared" si="20"/>
        <v>Wichita</v>
      </c>
      <c r="H625" s="175"/>
      <c r="I625" s="178" t="s">
        <v>1070</v>
      </c>
      <c r="J625" s="27" t="s">
        <v>1568</v>
      </c>
      <c r="K625" s="27">
        <v>1628</v>
      </c>
      <c r="L625" s="179">
        <v>4791</v>
      </c>
      <c r="M625" s="180" t="s">
        <v>1788</v>
      </c>
      <c r="N625" s="181" t="s">
        <v>1568</v>
      </c>
      <c r="O625" s="182" t="s">
        <v>1789</v>
      </c>
    </row>
    <row r="626" spans="2:15">
      <c r="B626" s="174" t="s">
        <v>675</v>
      </c>
      <c r="C626" s="175" t="s">
        <v>1567</v>
      </c>
      <c r="D626" s="176" t="s">
        <v>1568</v>
      </c>
      <c r="E626" s="177" t="s">
        <v>673</v>
      </c>
      <c r="F626" s="175">
        <f t="shared" si="19"/>
        <v>9</v>
      </c>
      <c r="G626" s="175" t="str">
        <f t="shared" si="20"/>
        <v>Wichita</v>
      </c>
      <c r="H626" s="175"/>
      <c r="I626" s="178" t="s">
        <v>1070</v>
      </c>
      <c r="J626" s="27" t="s">
        <v>1568</v>
      </c>
      <c r="K626" s="27">
        <v>1628</v>
      </c>
      <c r="L626" s="179">
        <v>4791</v>
      </c>
      <c r="M626" s="180" t="s">
        <v>1788</v>
      </c>
      <c r="N626" s="181" t="s">
        <v>1568</v>
      </c>
      <c r="O626" s="182" t="s">
        <v>1789</v>
      </c>
    </row>
    <row r="627" spans="2:15">
      <c r="B627" s="174" t="s">
        <v>66</v>
      </c>
      <c r="C627" s="175" t="s">
        <v>1567</v>
      </c>
      <c r="D627" s="176" t="s">
        <v>1568</v>
      </c>
      <c r="E627" s="177" t="s">
        <v>67</v>
      </c>
      <c r="F627" s="175">
        <f t="shared" si="19"/>
        <v>14</v>
      </c>
      <c r="G627" s="175" t="str">
        <f t="shared" si="20"/>
        <v>Independence</v>
      </c>
      <c r="H627" s="175"/>
      <c r="I627" s="178" t="s">
        <v>1985</v>
      </c>
      <c r="J627" s="27" t="s">
        <v>1439</v>
      </c>
      <c r="K627" s="27">
        <v>1320</v>
      </c>
      <c r="L627" s="179">
        <v>4638</v>
      </c>
      <c r="M627" s="180" t="s">
        <v>1712</v>
      </c>
      <c r="N627" s="181" t="s">
        <v>1439</v>
      </c>
      <c r="O627" s="182" t="s">
        <v>1986</v>
      </c>
    </row>
    <row r="628" spans="2:15">
      <c r="B628" s="174" t="s">
        <v>353</v>
      </c>
      <c r="C628" s="175" t="s">
        <v>1567</v>
      </c>
      <c r="D628" s="176" t="s">
        <v>1568</v>
      </c>
      <c r="E628" s="177" t="s">
        <v>354</v>
      </c>
      <c r="F628" s="175">
        <f t="shared" si="19"/>
        <v>8</v>
      </c>
      <c r="G628" s="175" t="str">
        <f t="shared" si="20"/>
        <v>Salina</v>
      </c>
      <c r="H628" s="175"/>
      <c r="I628" s="178" t="s">
        <v>913</v>
      </c>
      <c r="J628" s="27" t="s">
        <v>1568</v>
      </c>
      <c r="K628" s="27">
        <v>1304</v>
      </c>
      <c r="L628" s="179">
        <v>5265</v>
      </c>
      <c r="M628" s="180" t="s">
        <v>601</v>
      </c>
      <c r="N628" s="181" t="s">
        <v>1568</v>
      </c>
      <c r="O628" s="182" t="s">
        <v>602</v>
      </c>
    </row>
    <row r="629" spans="2:15">
      <c r="B629" s="174" t="s">
        <v>776</v>
      </c>
      <c r="C629" s="175" t="s">
        <v>1567</v>
      </c>
      <c r="D629" s="176" t="s">
        <v>1568</v>
      </c>
      <c r="E629" s="177" t="s">
        <v>777</v>
      </c>
      <c r="F629" s="175">
        <f t="shared" si="19"/>
        <v>12</v>
      </c>
      <c r="G629" s="175" t="str">
        <f t="shared" si="20"/>
        <v>Hutchinson</v>
      </c>
      <c r="H629" s="175"/>
      <c r="I629" s="178" t="s">
        <v>1070</v>
      </c>
      <c r="J629" s="27" t="s">
        <v>1568</v>
      </c>
      <c r="K629" s="27">
        <v>1628</v>
      </c>
      <c r="L629" s="179">
        <v>4791</v>
      </c>
      <c r="M629" s="180" t="s">
        <v>1788</v>
      </c>
      <c r="N629" s="181" t="s">
        <v>1568</v>
      </c>
      <c r="O629" s="182" t="s">
        <v>1789</v>
      </c>
    </row>
    <row r="630" spans="2:15">
      <c r="B630" s="174" t="s">
        <v>724</v>
      </c>
      <c r="C630" s="175" t="s">
        <v>1567</v>
      </c>
      <c r="D630" s="176" t="s">
        <v>1568</v>
      </c>
      <c r="E630" s="177" t="s">
        <v>725</v>
      </c>
      <c r="F630" s="175">
        <f t="shared" si="19"/>
        <v>6</v>
      </c>
      <c r="G630" s="175" t="str">
        <f t="shared" si="20"/>
        <v>Hays</v>
      </c>
      <c r="H630" s="175"/>
      <c r="I630" s="178" t="s">
        <v>1787</v>
      </c>
      <c r="J630" s="27" t="s">
        <v>1568</v>
      </c>
      <c r="K630" s="27">
        <v>1465</v>
      </c>
      <c r="L630" s="179">
        <v>5001</v>
      </c>
      <c r="M630" s="180" t="s">
        <v>1788</v>
      </c>
      <c r="N630" s="181" t="s">
        <v>1568</v>
      </c>
      <c r="O630" s="182" t="s">
        <v>1789</v>
      </c>
    </row>
    <row r="631" spans="2:15">
      <c r="B631" s="174" t="s">
        <v>1566</v>
      </c>
      <c r="C631" s="175" t="s">
        <v>1567</v>
      </c>
      <c r="D631" s="176" t="s">
        <v>1568</v>
      </c>
      <c r="E631" s="177" t="s">
        <v>1569</v>
      </c>
      <c r="F631" s="175">
        <f t="shared" si="19"/>
        <v>7</v>
      </c>
      <c r="G631" s="175" t="str">
        <f t="shared" si="20"/>
        <v>Colby</v>
      </c>
      <c r="H631" s="175"/>
      <c r="I631" s="178" t="s">
        <v>1570</v>
      </c>
      <c r="J631" s="27" t="s">
        <v>1568</v>
      </c>
      <c r="K631" s="27">
        <v>859</v>
      </c>
      <c r="L631" s="179">
        <v>5974</v>
      </c>
      <c r="M631" s="180" t="s">
        <v>1571</v>
      </c>
      <c r="N631" s="181" t="s">
        <v>1568</v>
      </c>
      <c r="O631" s="182" t="s">
        <v>1572</v>
      </c>
    </row>
    <row r="632" spans="2:15">
      <c r="B632" s="174" t="s">
        <v>1785</v>
      </c>
      <c r="C632" s="175" t="s">
        <v>1567</v>
      </c>
      <c r="D632" s="176" t="s">
        <v>1568</v>
      </c>
      <c r="E632" s="177" t="s">
        <v>1786</v>
      </c>
      <c r="F632" s="175">
        <f t="shared" si="19"/>
        <v>12</v>
      </c>
      <c r="G632" s="175" t="str">
        <f t="shared" si="20"/>
        <v>Dodge City</v>
      </c>
      <c r="H632" s="175"/>
      <c r="I632" s="178" t="s">
        <v>1787</v>
      </c>
      <c r="J632" s="27" t="s">
        <v>1568</v>
      </c>
      <c r="K632" s="27">
        <v>1465</v>
      </c>
      <c r="L632" s="179">
        <v>5001</v>
      </c>
      <c r="M632" s="180" t="s">
        <v>1788</v>
      </c>
      <c r="N632" s="181" t="s">
        <v>1568</v>
      </c>
      <c r="O632" s="182" t="s">
        <v>1789</v>
      </c>
    </row>
    <row r="633" spans="2:15">
      <c r="B633" s="174" t="s">
        <v>2184</v>
      </c>
      <c r="C633" s="175" t="s">
        <v>1567</v>
      </c>
      <c r="D633" s="176" t="s">
        <v>1568</v>
      </c>
      <c r="E633" s="177" t="s">
        <v>2185</v>
      </c>
      <c r="F633" s="175">
        <f t="shared" si="19"/>
        <v>9</v>
      </c>
      <c r="G633" s="175" t="str">
        <f t="shared" si="20"/>
        <v>Liberal</v>
      </c>
      <c r="H633" s="175"/>
      <c r="I633" s="178" t="s">
        <v>1787</v>
      </c>
      <c r="J633" s="27" t="s">
        <v>1568</v>
      </c>
      <c r="K633" s="27">
        <v>1465</v>
      </c>
      <c r="L633" s="179">
        <v>5001</v>
      </c>
      <c r="M633" s="180" t="s">
        <v>1788</v>
      </c>
      <c r="N633" s="181" t="s">
        <v>1568</v>
      </c>
      <c r="O633" s="182" t="s">
        <v>1789</v>
      </c>
    </row>
    <row r="634" spans="2:15">
      <c r="B634" s="174" t="s">
        <v>1517</v>
      </c>
      <c r="C634" s="175" t="s">
        <v>447</v>
      </c>
      <c r="D634" s="176" t="s">
        <v>448</v>
      </c>
      <c r="E634" s="177" t="s">
        <v>1518</v>
      </c>
      <c r="F634" s="175">
        <f t="shared" si="19"/>
        <v>7</v>
      </c>
      <c r="G634" s="175" t="str">
        <f t="shared" si="20"/>
        <v>Omaha</v>
      </c>
      <c r="H634" s="175"/>
      <c r="I634" s="178" t="s">
        <v>1519</v>
      </c>
      <c r="J634" s="27" t="s">
        <v>448</v>
      </c>
      <c r="K634" s="27">
        <v>1072</v>
      </c>
      <c r="L634" s="179">
        <v>6300</v>
      </c>
      <c r="M634" s="180" t="s">
        <v>1729</v>
      </c>
      <c r="N634" s="181" t="s">
        <v>448</v>
      </c>
      <c r="O634" s="182" t="s">
        <v>1730</v>
      </c>
    </row>
    <row r="635" spans="2:15">
      <c r="B635" s="174" t="s">
        <v>1520</v>
      </c>
      <c r="C635" s="175" t="s">
        <v>447</v>
      </c>
      <c r="D635" s="176" t="s">
        <v>448</v>
      </c>
      <c r="E635" s="177" t="s">
        <v>1518</v>
      </c>
      <c r="F635" s="175">
        <f t="shared" si="19"/>
        <v>7</v>
      </c>
      <c r="G635" s="175" t="str">
        <f t="shared" si="20"/>
        <v>Omaha</v>
      </c>
      <c r="H635" s="175"/>
      <c r="I635" s="178" t="s">
        <v>1519</v>
      </c>
      <c r="J635" s="27" t="s">
        <v>448</v>
      </c>
      <c r="K635" s="27">
        <v>1072</v>
      </c>
      <c r="L635" s="179">
        <v>6300</v>
      </c>
      <c r="M635" s="180" t="s">
        <v>1729</v>
      </c>
      <c r="N635" s="181" t="s">
        <v>448</v>
      </c>
      <c r="O635" s="182" t="s">
        <v>1730</v>
      </c>
    </row>
    <row r="636" spans="2:15">
      <c r="B636" s="174" t="s">
        <v>2188</v>
      </c>
      <c r="C636" s="175" t="s">
        <v>447</v>
      </c>
      <c r="D636" s="176" t="s">
        <v>448</v>
      </c>
      <c r="E636" s="177" t="s">
        <v>2189</v>
      </c>
      <c r="F636" s="175">
        <f t="shared" si="19"/>
        <v>9</v>
      </c>
      <c r="G636" s="175" t="str">
        <f t="shared" si="20"/>
        <v>Lincoln</v>
      </c>
      <c r="H636" s="175"/>
      <c r="I636" s="178" t="s">
        <v>2190</v>
      </c>
      <c r="J636" s="27" t="s">
        <v>448</v>
      </c>
      <c r="K636" s="27">
        <v>1134</v>
      </c>
      <c r="L636" s="179">
        <v>6278</v>
      </c>
      <c r="M636" s="180" t="s">
        <v>587</v>
      </c>
      <c r="N636" s="181" t="s">
        <v>448</v>
      </c>
      <c r="O636" s="182" t="s">
        <v>588</v>
      </c>
    </row>
    <row r="637" spans="2:15">
      <c r="B637" s="174" t="s">
        <v>2191</v>
      </c>
      <c r="C637" s="175" t="s">
        <v>447</v>
      </c>
      <c r="D637" s="176" t="s">
        <v>448</v>
      </c>
      <c r="E637" s="177" t="s">
        <v>2189</v>
      </c>
      <c r="F637" s="175">
        <f t="shared" si="19"/>
        <v>9</v>
      </c>
      <c r="G637" s="175" t="str">
        <f t="shared" si="20"/>
        <v>Lincoln</v>
      </c>
      <c r="H637" s="175"/>
      <c r="I637" s="178" t="s">
        <v>2190</v>
      </c>
      <c r="J637" s="27" t="s">
        <v>448</v>
      </c>
      <c r="K637" s="27">
        <v>1134</v>
      </c>
      <c r="L637" s="179">
        <v>6278</v>
      </c>
      <c r="M637" s="180" t="s">
        <v>587</v>
      </c>
      <c r="N637" s="181" t="s">
        <v>448</v>
      </c>
      <c r="O637" s="182" t="s">
        <v>588</v>
      </c>
    </row>
    <row r="638" spans="2:15">
      <c r="B638" s="174" t="s">
        <v>2192</v>
      </c>
      <c r="C638" s="175" t="s">
        <v>447</v>
      </c>
      <c r="D638" s="176" t="s">
        <v>448</v>
      </c>
      <c r="E638" s="177" t="s">
        <v>2189</v>
      </c>
      <c r="F638" s="175">
        <f t="shared" si="19"/>
        <v>9</v>
      </c>
      <c r="G638" s="175" t="str">
        <f t="shared" si="20"/>
        <v>Lincoln</v>
      </c>
      <c r="H638" s="175"/>
      <c r="I638" s="178" t="s">
        <v>2190</v>
      </c>
      <c r="J638" s="27" t="s">
        <v>448</v>
      </c>
      <c r="K638" s="27">
        <v>1134</v>
      </c>
      <c r="L638" s="179">
        <v>6278</v>
      </c>
      <c r="M638" s="180" t="s">
        <v>587</v>
      </c>
      <c r="N638" s="181" t="s">
        <v>448</v>
      </c>
      <c r="O638" s="182" t="s">
        <v>588</v>
      </c>
    </row>
    <row r="639" spans="2:15">
      <c r="B639" s="174" t="s">
        <v>585</v>
      </c>
      <c r="C639" s="175" t="s">
        <v>447</v>
      </c>
      <c r="D639" s="176" t="s">
        <v>448</v>
      </c>
      <c r="E639" s="177" t="s">
        <v>579</v>
      </c>
      <c r="F639" s="175">
        <f t="shared" si="19"/>
        <v>10</v>
      </c>
      <c r="G639" s="175" t="str">
        <f t="shared" si="20"/>
        <v>Columbus</v>
      </c>
      <c r="H639" s="175"/>
      <c r="I639" s="178" t="s">
        <v>586</v>
      </c>
      <c r="J639" s="27" t="s">
        <v>448</v>
      </c>
      <c r="K639" s="27">
        <v>997</v>
      </c>
      <c r="L639" s="179">
        <v>6421</v>
      </c>
      <c r="M639" s="180" t="s">
        <v>587</v>
      </c>
      <c r="N639" s="181" t="s">
        <v>448</v>
      </c>
      <c r="O639" s="182" t="s">
        <v>588</v>
      </c>
    </row>
    <row r="640" spans="2:15">
      <c r="B640" s="174" t="s">
        <v>135</v>
      </c>
      <c r="C640" s="175" t="s">
        <v>447</v>
      </c>
      <c r="D640" s="176" t="s">
        <v>448</v>
      </c>
      <c r="E640" s="177" t="s">
        <v>136</v>
      </c>
      <c r="F640" s="175">
        <f t="shared" si="19"/>
        <v>9</v>
      </c>
      <c r="G640" s="175" t="str">
        <f t="shared" si="20"/>
        <v>Norfolk</v>
      </c>
      <c r="H640" s="175"/>
      <c r="I640" s="178" t="s">
        <v>1189</v>
      </c>
      <c r="J640" s="27" t="s">
        <v>448</v>
      </c>
      <c r="K640" s="27">
        <v>877</v>
      </c>
      <c r="L640" s="179">
        <v>6873</v>
      </c>
      <c r="M640" s="178" t="s">
        <v>1459</v>
      </c>
      <c r="N640" s="27" t="s">
        <v>1395</v>
      </c>
      <c r="O640" s="182" t="s">
        <v>1460</v>
      </c>
    </row>
    <row r="641" spans="2:15">
      <c r="B641" s="174" t="s">
        <v>2094</v>
      </c>
      <c r="C641" s="175" t="s">
        <v>447</v>
      </c>
      <c r="D641" s="176" t="s">
        <v>448</v>
      </c>
      <c r="E641" s="177" t="s">
        <v>2095</v>
      </c>
      <c r="F641" s="175">
        <f t="shared" si="19"/>
        <v>14</v>
      </c>
      <c r="G641" s="175" t="str">
        <f t="shared" si="20"/>
        <v>Grand Island</v>
      </c>
      <c r="H641" s="175"/>
      <c r="I641" s="178" t="s">
        <v>586</v>
      </c>
      <c r="J641" s="27" t="s">
        <v>448</v>
      </c>
      <c r="K641" s="27">
        <v>997</v>
      </c>
      <c r="L641" s="179">
        <v>6421</v>
      </c>
      <c r="M641" s="180" t="s">
        <v>587</v>
      </c>
      <c r="N641" s="181" t="s">
        <v>448</v>
      </c>
      <c r="O641" s="182" t="s">
        <v>588</v>
      </c>
    </row>
    <row r="642" spans="2:15">
      <c r="B642" s="174" t="s">
        <v>715</v>
      </c>
      <c r="C642" s="175" t="s">
        <v>447</v>
      </c>
      <c r="D642" s="176" t="s">
        <v>448</v>
      </c>
      <c r="E642" s="177" t="s">
        <v>716</v>
      </c>
      <c r="F642" s="175">
        <f t="shared" si="19"/>
        <v>10</v>
      </c>
      <c r="G642" s="175" t="str">
        <f t="shared" si="20"/>
        <v>Hastings</v>
      </c>
      <c r="H642" s="175"/>
      <c r="I642" s="178" t="s">
        <v>586</v>
      </c>
      <c r="J642" s="27" t="s">
        <v>448</v>
      </c>
      <c r="K642" s="27">
        <v>997</v>
      </c>
      <c r="L642" s="179">
        <v>6421</v>
      </c>
      <c r="M642" s="180" t="s">
        <v>587</v>
      </c>
      <c r="N642" s="181" t="s">
        <v>448</v>
      </c>
      <c r="O642" s="182" t="s">
        <v>588</v>
      </c>
    </row>
    <row r="643" spans="2:15">
      <c r="B643" s="174" t="s">
        <v>1154</v>
      </c>
      <c r="C643" s="175" t="s">
        <v>447</v>
      </c>
      <c r="D643" s="176" t="s">
        <v>448</v>
      </c>
      <c r="E643" s="177" t="s">
        <v>1155</v>
      </c>
      <c r="F643" s="175">
        <f t="shared" si="19"/>
        <v>8</v>
      </c>
      <c r="G643" s="175" t="str">
        <f t="shared" si="20"/>
        <v>McCook</v>
      </c>
      <c r="H643" s="175"/>
      <c r="I643" s="178" t="s">
        <v>1570</v>
      </c>
      <c r="J643" s="27" t="s">
        <v>1568</v>
      </c>
      <c r="K643" s="27">
        <v>859</v>
      </c>
      <c r="L643" s="179">
        <v>5974</v>
      </c>
      <c r="M643" s="180" t="s">
        <v>1571</v>
      </c>
      <c r="N643" s="181" t="s">
        <v>1568</v>
      </c>
      <c r="O643" s="182" t="s">
        <v>1572</v>
      </c>
    </row>
    <row r="644" spans="2:15">
      <c r="B644" s="174" t="s">
        <v>1202</v>
      </c>
      <c r="C644" s="175" t="s">
        <v>447</v>
      </c>
      <c r="D644" s="176" t="s">
        <v>448</v>
      </c>
      <c r="E644" s="177" t="s">
        <v>1203</v>
      </c>
      <c r="F644" s="175">
        <f t="shared" si="19"/>
        <v>14</v>
      </c>
      <c r="G644" s="175" t="str">
        <f t="shared" si="20"/>
        <v>North_Platte</v>
      </c>
      <c r="H644" s="175"/>
      <c r="I644" s="178" t="s">
        <v>1204</v>
      </c>
      <c r="J644" s="27" t="s">
        <v>448</v>
      </c>
      <c r="K644" s="27">
        <v>713</v>
      </c>
      <c r="L644" s="179">
        <v>6859</v>
      </c>
      <c r="M644" s="180" t="s">
        <v>1205</v>
      </c>
      <c r="N644" s="181" t="s">
        <v>448</v>
      </c>
      <c r="O644" s="182" t="s">
        <v>1206</v>
      </c>
    </row>
    <row r="645" spans="2:15">
      <c r="B645" s="174" t="s">
        <v>1854</v>
      </c>
      <c r="C645" s="175" t="s">
        <v>447</v>
      </c>
      <c r="D645" s="176" t="s">
        <v>448</v>
      </c>
      <c r="E645" s="177" t="s">
        <v>1855</v>
      </c>
      <c r="F645" s="175">
        <f t="shared" si="19"/>
        <v>11</v>
      </c>
      <c r="G645" s="175" t="str">
        <f t="shared" si="20"/>
        <v>Valentine</v>
      </c>
      <c r="H645" s="175"/>
      <c r="I645" s="178" t="s">
        <v>1856</v>
      </c>
      <c r="J645" s="27" t="s">
        <v>448</v>
      </c>
      <c r="K645" s="27">
        <v>752</v>
      </c>
      <c r="L645" s="179">
        <v>7282</v>
      </c>
      <c r="M645" s="180" t="s">
        <v>1205</v>
      </c>
      <c r="N645" s="181" t="s">
        <v>448</v>
      </c>
      <c r="O645" s="182" t="s">
        <v>1206</v>
      </c>
    </row>
    <row r="646" spans="2:15">
      <c r="B646" s="174" t="s">
        <v>446</v>
      </c>
      <c r="C646" s="175" t="s">
        <v>447</v>
      </c>
      <c r="D646" s="176" t="s">
        <v>448</v>
      </c>
      <c r="E646" s="177" t="s">
        <v>449</v>
      </c>
      <c r="F646" s="175">
        <f t="shared" si="19"/>
        <v>10</v>
      </c>
      <c r="G646" s="175" t="str">
        <f t="shared" si="20"/>
        <v>Alliance</v>
      </c>
      <c r="H646" s="175"/>
      <c r="I646" s="178" t="s">
        <v>450</v>
      </c>
      <c r="J646" s="27" t="s">
        <v>247</v>
      </c>
      <c r="K646" s="27">
        <v>611</v>
      </c>
      <c r="L646" s="179">
        <v>7301</v>
      </c>
      <c r="M646" s="180" t="s">
        <v>451</v>
      </c>
      <c r="N646" s="181" t="s">
        <v>247</v>
      </c>
      <c r="O646" s="182" t="s">
        <v>452</v>
      </c>
    </row>
    <row r="647" spans="2:15">
      <c r="B647" s="174" t="s">
        <v>1131</v>
      </c>
      <c r="C647" s="175" t="s">
        <v>281</v>
      </c>
      <c r="D647" s="176" t="s">
        <v>282</v>
      </c>
      <c r="E647" s="177" t="s">
        <v>1132</v>
      </c>
      <c r="F647" s="175">
        <f t="shared" si="19"/>
        <v>13</v>
      </c>
      <c r="G647" s="175" t="str">
        <f t="shared" si="20"/>
        <v>New Orleans</v>
      </c>
      <c r="H647" s="175"/>
      <c r="I647" s="178" t="s">
        <v>2143</v>
      </c>
      <c r="J647" s="27" t="s">
        <v>282</v>
      </c>
      <c r="K647" s="27">
        <v>2655</v>
      </c>
      <c r="L647" s="179">
        <v>1513</v>
      </c>
      <c r="M647" s="180" t="s">
        <v>2144</v>
      </c>
      <c r="N647" s="181" t="s">
        <v>282</v>
      </c>
      <c r="O647" s="182" t="s">
        <v>2145</v>
      </c>
    </row>
    <row r="648" spans="2:15">
      <c r="B648" s="174" t="s">
        <v>1133</v>
      </c>
      <c r="C648" s="175" t="s">
        <v>281</v>
      </c>
      <c r="D648" s="176" t="s">
        <v>282</v>
      </c>
      <c r="E648" s="177" t="s">
        <v>1132</v>
      </c>
      <c r="F648" s="175">
        <f t="shared" si="19"/>
        <v>13</v>
      </c>
      <c r="G648" s="175" t="str">
        <f t="shared" si="20"/>
        <v>New Orleans</v>
      </c>
      <c r="H648" s="175"/>
      <c r="I648" s="178" t="s">
        <v>2143</v>
      </c>
      <c r="J648" s="27" t="s">
        <v>282</v>
      </c>
      <c r="K648" s="27">
        <v>2655</v>
      </c>
      <c r="L648" s="179">
        <v>1513</v>
      </c>
      <c r="M648" s="180" t="s">
        <v>2144</v>
      </c>
      <c r="N648" s="181" t="s">
        <v>282</v>
      </c>
      <c r="O648" s="182" t="s">
        <v>2145</v>
      </c>
    </row>
    <row r="649" spans="2:15">
      <c r="B649" s="174" t="s">
        <v>830</v>
      </c>
      <c r="C649" s="175" t="s">
        <v>281</v>
      </c>
      <c r="D649" s="176" t="s">
        <v>282</v>
      </c>
      <c r="E649" s="177" t="s">
        <v>831</v>
      </c>
      <c r="F649" s="175">
        <f t="shared" si="19"/>
        <v>11</v>
      </c>
      <c r="G649" s="175" t="str">
        <f t="shared" si="20"/>
        <v>Thibodaux</v>
      </c>
      <c r="H649" s="175"/>
      <c r="I649" s="178" t="s">
        <v>2143</v>
      </c>
      <c r="J649" s="27" t="s">
        <v>282</v>
      </c>
      <c r="K649" s="27">
        <v>2655</v>
      </c>
      <c r="L649" s="179">
        <v>1513</v>
      </c>
      <c r="M649" s="180" t="s">
        <v>2144</v>
      </c>
      <c r="N649" s="181" t="s">
        <v>282</v>
      </c>
      <c r="O649" s="182" t="s">
        <v>2145</v>
      </c>
    </row>
    <row r="650" spans="2:15">
      <c r="B650" s="174" t="s">
        <v>2150</v>
      </c>
      <c r="C650" s="175" t="s">
        <v>281</v>
      </c>
      <c r="D650" s="176" t="s">
        <v>282</v>
      </c>
      <c r="E650" s="177" t="s">
        <v>2151</v>
      </c>
      <c r="F650" s="175">
        <f t="shared" ref="F650:F713" si="21">LEN(E650)</f>
        <v>9</v>
      </c>
      <c r="G650" s="175" t="str">
        <f t="shared" ref="G650:G713" si="22">MID(E650,2,F650-2)</f>
        <v>Hammond</v>
      </c>
      <c r="H650" s="175"/>
      <c r="I650" s="178" t="s">
        <v>1660</v>
      </c>
      <c r="J650" s="27" t="s">
        <v>282</v>
      </c>
      <c r="K650" s="27">
        <v>2690</v>
      </c>
      <c r="L650" s="179">
        <v>1669</v>
      </c>
      <c r="M650" s="180" t="s">
        <v>1661</v>
      </c>
      <c r="N650" s="181" t="s">
        <v>282</v>
      </c>
      <c r="O650" s="182" t="s">
        <v>1662</v>
      </c>
    </row>
    <row r="651" spans="2:15">
      <c r="B651" s="174" t="s">
        <v>959</v>
      </c>
      <c r="C651" s="175" t="s">
        <v>281</v>
      </c>
      <c r="D651" s="176" t="s">
        <v>282</v>
      </c>
      <c r="E651" s="177" t="s">
        <v>958</v>
      </c>
      <c r="F651" s="175">
        <f t="shared" si="21"/>
        <v>11</v>
      </c>
      <c r="G651" s="175" t="str">
        <f t="shared" si="22"/>
        <v>Lafayette</v>
      </c>
      <c r="H651" s="175"/>
      <c r="I651" s="178" t="s">
        <v>1660</v>
      </c>
      <c r="J651" s="27" t="s">
        <v>282</v>
      </c>
      <c r="K651" s="27">
        <v>2690</v>
      </c>
      <c r="L651" s="179">
        <v>1669</v>
      </c>
      <c r="M651" s="180" t="s">
        <v>1661</v>
      </c>
      <c r="N651" s="181" t="s">
        <v>282</v>
      </c>
      <c r="O651" s="182" t="s">
        <v>1662</v>
      </c>
    </row>
    <row r="652" spans="2:15">
      <c r="B652" s="174" t="s">
        <v>960</v>
      </c>
      <c r="C652" s="175" t="s">
        <v>281</v>
      </c>
      <c r="D652" s="176" t="s">
        <v>282</v>
      </c>
      <c r="E652" s="177" t="s">
        <v>961</v>
      </c>
      <c r="F652" s="175">
        <f t="shared" si="21"/>
        <v>14</v>
      </c>
      <c r="G652" s="175" t="str">
        <f t="shared" si="22"/>
        <v>Lake Charles</v>
      </c>
      <c r="H652" s="175"/>
      <c r="I652" s="178" t="s">
        <v>962</v>
      </c>
      <c r="J652" s="27" t="s">
        <v>282</v>
      </c>
      <c r="K652" s="27">
        <v>2650</v>
      </c>
      <c r="L652" s="179">
        <v>1616</v>
      </c>
      <c r="M652" s="180" t="s">
        <v>963</v>
      </c>
      <c r="N652" s="181" t="s">
        <v>282</v>
      </c>
      <c r="O652" s="182" t="s">
        <v>964</v>
      </c>
    </row>
    <row r="653" spans="2:15">
      <c r="B653" s="174" t="s">
        <v>1658</v>
      </c>
      <c r="C653" s="175" t="s">
        <v>281</v>
      </c>
      <c r="D653" s="176" t="s">
        <v>282</v>
      </c>
      <c r="E653" s="177" t="s">
        <v>1659</v>
      </c>
      <c r="F653" s="175">
        <f t="shared" si="21"/>
        <v>13</v>
      </c>
      <c r="G653" s="175" t="str">
        <f t="shared" si="22"/>
        <v>Baton Rouge</v>
      </c>
      <c r="H653" s="175"/>
      <c r="I653" s="178" t="s">
        <v>1660</v>
      </c>
      <c r="J653" s="27" t="s">
        <v>282</v>
      </c>
      <c r="K653" s="27">
        <v>2690</v>
      </c>
      <c r="L653" s="179">
        <v>1669</v>
      </c>
      <c r="M653" s="180" t="s">
        <v>1661</v>
      </c>
      <c r="N653" s="181" t="s">
        <v>282</v>
      </c>
      <c r="O653" s="182" t="s">
        <v>1662</v>
      </c>
    </row>
    <row r="654" spans="2:15">
      <c r="B654" s="174" t="s">
        <v>1663</v>
      </c>
      <c r="C654" s="175" t="s">
        <v>281</v>
      </c>
      <c r="D654" s="176" t="s">
        <v>282</v>
      </c>
      <c r="E654" s="177" t="s">
        <v>1659</v>
      </c>
      <c r="F654" s="175">
        <f t="shared" si="21"/>
        <v>13</v>
      </c>
      <c r="G654" s="175" t="str">
        <f t="shared" si="22"/>
        <v>Baton Rouge</v>
      </c>
      <c r="H654" s="175"/>
      <c r="I654" s="178" t="s">
        <v>1660</v>
      </c>
      <c r="J654" s="27" t="s">
        <v>282</v>
      </c>
      <c r="K654" s="27">
        <v>2690</v>
      </c>
      <c r="L654" s="179">
        <v>1669</v>
      </c>
      <c r="M654" s="180" t="s">
        <v>1661</v>
      </c>
      <c r="N654" s="181" t="s">
        <v>282</v>
      </c>
      <c r="O654" s="182" t="s">
        <v>1662</v>
      </c>
    </row>
    <row r="655" spans="2:15">
      <c r="B655" s="174" t="s">
        <v>2319</v>
      </c>
      <c r="C655" s="175" t="s">
        <v>281</v>
      </c>
      <c r="D655" s="176" t="s">
        <v>282</v>
      </c>
      <c r="E655" s="177" t="s">
        <v>2320</v>
      </c>
      <c r="F655" s="175">
        <f t="shared" si="21"/>
        <v>12</v>
      </c>
      <c r="G655" s="175" t="str">
        <f t="shared" si="22"/>
        <v>Shreveport</v>
      </c>
      <c r="H655" s="175"/>
      <c r="I655" s="178" t="s">
        <v>381</v>
      </c>
      <c r="J655" s="27" t="s">
        <v>282</v>
      </c>
      <c r="K655" s="27">
        <v>2368</v>
      </c>
      <c r="L655" s="179">
        <v>2264</v>
      </c>
      <c r="M655" s="180" t="s">
        <v>382</v>
      </c>
      <c r="N655" s="181" t="s">
        <v>282</v>
      </c>
      <c r="O655" s="182" t="s">
        <v>383</v>
      </c>
    </row>
    <row r="656" spans="2:15">
      <c r="B656" s="174" t="s">
        <v>2321</v>
      </c>
      <c r="C656" s="175" t="s">
        <v>281</v>
      </c>
      <c r="D656" s="176" t="s">
        <v>282</v>
      </c>
      <c r="E656" s="177" t="s">
        <v>2320</v>
      </c>
      <c r="F656" s="175">
        <f t="shared" si="21"/>
        <v>12</v>
      </c>
      <c r="G656" s="175" t="str">
        <f t="shared" si="22"/>
        <v>Shreveport</v>
      </c>
      <c r="H656" s="175"/>
      <c r="I656" s="178" t="s">
        <v>381</v>
      </c>
      <c r="J656" s="27" t="s">
        <v>282</v>
      </c>
      <c r="K656" s="27">
        <v>2368</v>
      </c>
      <c r="L656" s="179">
        <v>2264</v>
      </c>
      <c r="M656" s="180" t="s">
        <v>382</v>
      </c>
      <c r="N656" s="181" t="s">
        <v>282</v>
      </c>
      <c r="O656" s="182" t="s">
        <v>383</v>
      </c>
    </row>
    <row r="657" spans="2:15">
      <c r="B657" s="174" t="s">
        <v>183</v>
      </c>
      <c r="C657" s="175" t="s">
        <v>281</v>
      </c>
      <c r="D657" s="176" t="s">
        <v>282</v>
      </c>
      <c r="E657" s="177" t="s">
        <v>184</v>
      </c>
      <c r="F657" s="175">
        <f t="shared" si="21"/>
        <v>8</v>
      </c>
      <c r="G657" s="175" t="str">
        <f t="shared" si="22"/>
        <v>Monroe</v>
      </c>
      <c r="H657" s="175"/>
      <c r="I657" s="178" t="s">
        <v>2134</v>
      </c>
      <c r="J657" s="27" t="s">
        <v>1407</v>
      </c>
      <c r="K657" s="27">
        <v>2215</v>
      </c>
      <c r="L657" s="179">
        <v>2467</v>
      </c>
      <c r="M657" s="180" t="s">
        <v>1408</v>
      </c>
      <c r="N657" s="181" t="s">
        <v>1407</v>
      </c>
      <c r="O657" s="182" t="s">
        <v>1409</v>
      </c>
    </row>
    <row r="658" spans="2:15">
      <c r="B658" s="174" t="s">
        <v>422</v>
      </c>
      <c r="C658" s="175" t="s">
        <v>281</v>
      </c>
      <c r="D658" s="176" t="s">
        <v>282</v>
      </c>
      <c r="E658" s="177" t="s">
        <v>423</v>
      </c>
      <c r="F658" s="175">
        <f t="shared" si="21"/>
        <v>12</v>
      </c>
      <c r="G658" s="175" t="str">
        <f t="shared" si="22"/>
        <v>Alexandria</v>
      </c>
      <c r="H658" s="175"/>
      <c r="I658" s="178" t="s">
        <v>381</v>
      </c>
      <c r="J658" s="27" t="s">
        <v>282</v>
      </c>
      <c r="K658" s="27">
        <v>2368</v>
      </c>
      <c r="L658" s="179">
        <v>2264</v>
      </c>
      <c r="M658" s="180" t="s">
        <v>382</v>
      </c>
      <c r="N658" s="181" t="s">
        <v>282</v>
      </c>
      <c r="O658" s="182" t="s">
        <v>383</v>
      </c>
    </row>
    <row r="659" spans="2:15">
      <c r="B659" s="174" t="s">
        <v>280</v>
      </c>
      <c r="C659" s="175" t="s">
        <v>281</v>
      </c>
      <c r="D659" s="176" t="s">
        <v>282</v>
      </c>
      <c r="E659" s="177" t="s">
        <v>380</v>
      </c>
      <c r="F659" s="175">
        <f t="shared" si="21"/>
        <v>9</v>
      </c>
      <c r="G659" s="175" t="str">
        <f t="shared" si="22"/>
        <v>Aimwell</v>
      </c>
      <c r="H659" s="175"/>
      <c r="I659" s="178" t="s">
        <v>381</v>
      </c>
      <c r="J659" s="27" t="s">
        <v>282</v>
      </c>
      <c r="K659" s="27">
        <v>2368</v>
      </c>
      <c r="L659" s="179">
        <v>2264</v>
      </c>
      <c r="M659" s="180" t="s">
        <v>382</v>
      </c>
      <c r="N659" s="181" t="s">
        <v>282</v>
      </c>
      <c r="O659" s="182" t="s">
        <v>383</v>
      </c>
    </row>
    <row r="660" spans="2:15">
      <c r="B660" s="174" t="s">
        <v>2538</v>
      </c>
      <c r="C660" s="175" t="s">
        <v>1650</v>
      </c>
      <c r="D660" s="176" t="s">
        <v>1651</v>
      </c>
      <c r="E660" s="177" t="s">
        <v>2539</v>
      </c>
      <c r="F660" s="175">
        <f t="shared" si="21"/>
        <v>12</v>
      </c>
      <c r="G660" s="175" t="str">
        <f t="shared" si="22"/>
        <v>Pine Bluff</v>
      </c>
      <c r="H660" s="175"/>
      <c r="I660" s="178" t="s">
        <v>2134</v>
      </c>
      <c r="J660" s="27" t="s">
        <v>1407</v>
      </c>
      <c r="K660" s="27">
        <v>2215</v>
      </c>
      <c r="L660" s="179">
        <v>2467</v>
      </c>
      <c r="M660" s="180" t="s">
        <v>1408</v>
      </c>
      <c r="N660" s="181" t="s">
        <v>1407</v>
      </c>
      <c r="O660" s="182" t="s">
        <v>1409</v>
      </c>
    </row>
    <row r="661" spans="2:15">
      <c r="B661" s="174" t="s">
        <v>1421</v>
      </c>
      <c r="C661" s="175" t="s">
        <v>1650</v>
      </c>
      <c r="D661" s="176" t="s">
        <v>1651</v>
      </c>
      <c r="E661" s="177" t="s">
        <v>1422</v>
      </c>
      <c r="F661" s="175">
        <f t="shared" si="21"/>
        <v>8</v>
      </c>
      <c r="G661" s="175" t="str">
        <f t="shared" si="22"/>
        <v>Camden</v>
      </c>
      <c r="H661" s="175"/>
      <c r="I661" s="178" t="s">
        <v>1423</v>
      </c>
      <c r="J661" s="27" t="s">
        <v>1651</v>
      </c>
      <c r="K661" s="27">
        <v>2005</v>
      </c>
      <c r="L661" s="179">
        <v>3155</v>
      </c>
      <c r="M661" s="178" t="s">
        <v>1654</v>
      </c>
      <c r="N661" s="27" t="s">
        <v>1651</v>
      </c>
      <c r="O661" s="182" t="s">
        <v>1655</v>
      </c>
    </row>
    <row r="662" spans="2:15">
      <c r="B662" s="174" t="s">
        <v>756</v>
      </c>
      <c r="C662" s="175" t="s">
        <v>1650</v>
      </c>
      <c r="D662" s="176" t="s">
        <v>1651</v>
      </c>
      <c r="E662" s="177" t="s">
        <v>757</v>
      </c>
      <c r="F662" s="175">
        <f t="shared" si="21"/>
        <v>6</v>
      </c>
      <c r="G662" s="175" t="str">
        <f t="shared" si="22"/>
        <v>Hope</v>
      </c>
      <c r="H662" s="175"/>
      <c r="I662" s="178" t="s">
        <v>1423</v>
      </c>
      <c r="J662" s="27" t="s">
        <v>1651</v>
      </c>
      <c r="K662" s="27">
        <v>2005</v>
      </c>
      <c r="L662" s="179">
        <v>3155</v>
      </c>
      <c r="M662" s="178" t="s">
        <v>1654</v>
      </c>
      <c r="N662" s="27" t="s">
        <v>1651</v>
      </c>
      <c r="O662" s="182" t="s">
        <v>1655</v>
      </c>
    </row>
    <row r="663" spans="2:15">
      <c r="B663" s="174" t="s">
        <v>758</v>
      </c>
      <c r="C663" s="175" t="s">
        <v>1650</v>
      </c>
      <c r="D663" s="176" t="s">
        <v>1651</v>
      </c>
      <c r="E663" s="177" t="s">
        <v>759</v>
      </c>
      <c r="F663" s="175">
        <f t="shared" si="21"/>
        <v>13</v>
      </c>
      <c r="G663" s="175" t="str">
        <f t="shared" si="22"/>
        <v>Hot Springs</v>
      </c>
      <c r="H663" s="175"/>
      <c r="I663" s="178" t="s">
        <v>1423</v>
      </c>
      <c r="J663" s="27" t="s">
        <v>1651</v>
      </c>
      <c r="K663" s="27">
        <v>2005</v>
      </c>
      <c r="L663" s="179">
        <v>3155</v>
      </c>
      <c r="M663" s="178" t="s">
        <v>1654</v>
      </c>
      <c r="N663" s="27" t="s">
        <v>1651</v>
      </c>
      <c r="O663" s="182" t="s">
        <v>1655</v>
      </c>
    </row>
    <row r="664" spans="2:15">
      <c r="B664" s="174" t="s">
        <v>2193</v>
      </c>
      <c r="C664" s="175" t="s">
        <v>1650</v>
      </c>
      <c r="D664" s="176" t="s">
        <v>1651</v>
      </c>
      <c r="E664" s="177" t="s">
        <v>2194</v>
      </c>
      <c r="F664" s="175">
        <f t="shared" si="21"/>
        <v>13</v>
      </c>
      <c r="G664" s="175" t="str">
        <f t="shared" si="22"/>
        <v>Little Rock</v>
      </c>
      <c r="H664" s="175"/>
      <c r="I664" s="178" t="s">
        <v>1423</v>
      </c>
      <c r="J664" s="27" t="s">
        <v>1651</v>
      </c>
      <c r="K664" s="27">
        <v>2005</v>
      </c>
      <c r="L664" s="179">
        <v>3155</v>
      </c>
      <c r="M664" s="178" t="s">
        <v>1654</v>
      </c>
      <c r="N664" s="27" t="s">
        <v>1651</v>
      </c>
      <c r="O664" s="182" t="s">
        <v>1655</v>
      </c>
    </row>
    <row r="665" spans="2:15">
      <c r="B665" s="174" t="s">
        <v>2195</v>
      </c>
      <c r="C665" s="175" t="s">
        <v>1650</v>
      </c>
      <c r="D665" s="176" t="s">
        <v>1651</v>
      </c>
      <c r="E665" s="177" t="s">
        <v>2194</v>
      </c>
      <c r="F665" s="175">
        <f t="shared" si="21"/>
        <v>13</v>
      </c>
      <c r="G665" s="175" t="str">
        <f t="shared" si="22"/>
        <v>Little Rock</v>
      </c>
      <c r="H665" s="175"/>
      <c r="I665" s="178" t="s">
        <v>1423</v>
      </c>
      <c r="J665" s="27" t="s">
        <v>1651</v>
      </c>
      <c r="K665" s="27">
        <v>2005</v>
      </c>
      <c r="L665" s="179">
        <v>3155</v>
      </c>
      <c r="M665" s="178" t="s">
        <v>1654</v>
      </c>
      <c r="N665" s="27" t="s">
        <v>1651</v>
      </c>
      <c r="O665" s="182" t="s">
        <v>1655</v>
      </c>
    </row>
    <row r="666" spans="2:15">
      <c r="B666" s="174" t="s">
        <v>2196</v>
      </c>
      <c r="C666" s="175" t="s">
        <v>1650</v>
      </c>
      <c r="D666" s="176" t="s">
        <v>1651</v>
      </c>
      <c r="E666" s="177" t="s">
        <v>2194</v>
      </c>
      <c r="F666" s="175">
        <f t="shared" si="21"/>
        <v>13</v>
      </c>
      <c r="G666" s="175" t="str">
        <f t="shared" si="22"/>
        <v>Little Rock</v>
      </c>
      <c r="H666" s="175"/>
      <c r="I666" s="178" t="s">
        <v>1423</v>
      </c>
      <c r="J666" s="27" t="s">
        <v>1651</v>
      </c>
      <c r="K666" s="27">
        <v>2005</v>
      </c>
      <c r="L666" s="179">
        <v>3155</v>
      </c>
      <c r="M666" s="178" t="s">
        <v>1654</v>
      </c>
      <c r="N666" s="27" t="s">
        <v>1651</v>
      </c>
      <c r="O666" s="182" t="s">
        <v>1655</v>
      </c>
    </row>
    <row r="667" spans="2:15">
      <c r="B667" s="174" t="s">
        <v>1903</v>
      </c>
      <c r="C667" s="175" t="s">
        <v>1650</v>
      </c>
      <c r="D667" s="176" t="s">
        <v>1651</v>
      </c>
      <c r="E667" s="177" t="s">
        <v>1904</v>
      </c>
      <c r="F667" s="175">
        <f t="shared" si="21"/>
        <v>14</v>
      </c>
      <c r="G667" s="175" t="str">
        <f t="shared" si="22"/>
        <v>West Memphis</v>
      </c>
      <c r="H667" s="175"/>
      <c r="I667" s="178" t="s">
        <v>1653</v>
      </c>
      <c r="J667" s="27" t="s">
        <v>1651</v>
      </c>
      <c r="K667" s="27">
        <v>1916</v>
      </c>
      <c r="L667" s="179">
        <v>3228</v>
      </c>
      <c r="M667" s="178" t="s">
        <v>1654</v>
      </c>
      <c r="N667" s="27" t="s">
        <v>1651</v>
      </c>
      <c r="O667" s="182" t="s">
        <v>1655</v>
      </c>
    </row>
    <row r="668" spans="2:15">
      <c r="B668" s="174" t="s">
        <v>111</v>
      </c>
      <c r="C668" s="175" t="s">
        <v>1650</v>
      </c>
      <c r="D668" s="176" t="s">
        <v>1651</v>
      </c>
      <c r="E668" s="177" t="s">
        <v>112</v>
      </c>
      <c r="F668" s="175">
        <f t="shared" si="21"/>
        <v>11</v>
      </c>
      <c r="G668" s="175" t="str">
        <f t="shared" si="22"/>
        <v>Jonesboro</v>
      </c>
      <c r="H668" s="175"/>
      <c r="I668" s="178" t="s">
        <v>1653</v>
      </c>
      <c r="J668" s="27" t="s">
        <v>1651</v>
      </c>
      <c r="K668" s="27">
        <v>1916</v>
      </c>
      <c r="L668" s="179">
        <v>3228</v>
      </c>
      <c r="M668" s="178" t="s">
        <v>1654</v>
      </c>
      <c r="N668" s="27" t="s">
        <v>1651</v>
      </c>
      <c r="O668" s="182" t="s">
        <v>1655</v>
      </c>
    </row>
    <row r="669" spans="2:15">
      <c r="B669" s="174" t="s">
        <v>1649</v>
      </c>
      <c r="C669" s="175" t="s">
        <v>1650</v>
      </c>
      <c r="D669" s="176" t="s">
        <v>1651</v>
      </c>
      <c r="E669" s="177" t="s">
        <v>1652</v>
      </c>
      <c r="F669" s="175">
        <f t="shared" si="21"/>
        <v>12</v>
      </c>
      <c r="G669" s="175" t="str">
        <f t="shared" si="22"/>
        <v>Batesville</v>
      </c>
      <c r="H669" s="175"/>
      <c r="I669" s="178" t="s">
        <v>1653</v>
      </c>
      <c r="J669" s="27" t="s">
        <v>1651</v>
      </c>
      <c r="K669" s="27">
        <v>1916</v>
      </c>
      <c r="L669" s="179">
        <v>3228</v>
      </c>
      <c r="M669" s="178" t="s">
        <v>1654</v>
      </c>
      <c r="N669" s="27" t="s">
        <v>1651</v>
      </c>
      <c r="O669" s="182" t="s">
        <v>1655</v>
      </c>
    </row>
    <row r="670" spans="2:15">
      <c r="B670" s="174" t="s">
        <v>2157</v>
      </c>
      <c r="C670" s="175" t="s">
        <v>1650</v>
      </c>
      <c r="D670" s="176" t="s">
        <v>1651</v>
      </c>
      <c r="E670" s="177" t="s">
        <v>2247</v>
      </c>
      <c r="F670" s="175">
        <f t="shared" si="21"/>
        <v>10</v>
      </c>
      <c r="G670" s="175" t="str">
        <f t="shared" si="22"/>
        <v>Harrison</v>
      </c>
      <c r="H670" s="175"/>
      <c r="I670" s="178" t="s">
        <v>2026</v>
      </c>
      <c r="J670" s="27" t="s">
        <v>1651</v>
      </c>
      <c r="K670" s="27">
        <v>1894</v>
      </c>
      <c r="L670" s="179">
        <v>3478</v>
      </c>
      <c r="M670" s="178" t="s">
        <v>2027</v>
      </c>
      <c r="N670" s="27" t="s">
        <v>1651</v>
      </c>
      <c r="O670" s="182" t="s">
        <v>2028</v>
      </c>
    </row>
    <row r="671" spans="2:15">
      <c r="B671" s="174" t="s">
        <v>1983</v>
      </c>
      <c r="C671" s="175" t="s">
        <v>1650</v>
      </c>
      <c r="D671" s="176" t="s">
        <v>1651</v>
      </c>
      <c r="E671" s="177" t="s">
        <v>1984</v>
      </c>
      <c r="F671" s="175">
        <f t="shared" si="21"/>
        <v>14</v>
      </c>
      <c r="G671" s="175" t="str">
        <f t="shared" si="22"/>
        <v>Fayetteville</v>
      </c>
      <c r="H671" s="175"/>
      <c r="I671" s="178" t="s">
        <v>1985</v>
      </c>
      <c r="J671" s="27" t="s">
        <v>1439</v>
      </c>
      <c r="K671" s="27">
        <v>1320</v>
      </c>
      <c r="L671" s="179">
        <v>4638</v>
      </c>
      <c r="M671" s="180" t="s">
        <v>1712</v>
      </c>
      <c r="N671" s="181" t="s">
        <v>1439</v>
      </c>
      <c r="O671" s="182" t="s">
        <v>1986</v>
      </c>
    </row>
    <row r="672" spans="2:15">
      <c r="B672" s="174" t="s">
        <v>322</v>
      </c>
      <c r="C672" s="175" t="s">
        <v>1650</v>
      </c>
      <c r="D672" s="176" t="s">
        <v>1651</v>
      </c>
      <c r="E672" s="177" t="s">
        <v>323</v>
      </c>
      <c r="F672" s="175">
        <f t="shared" si="21"/>
        <v>14</v>
      </c>
      <c r="G672" s="175" t="str">
        <f t="shared" si="22"/>
        <v>Russellville</v>
      </c>
      <c r="H672" s="175"/>
      <c r="I672" s="178" t="s">
        <v>2026</v>
      </c>
      <c r="J672" s="27" t="s">
        <v>1651</v>
      </c>
      <c r="K672" s="27">
        <v>1894</v>
      </c>
      <c r="L672" s="179">
        <v>3478</v>
      </c>
      <c r="M672" s="178" t="s">
        <v>2027</v>
      </c>
      <c r="N672" s="27" t="s">
        <v>1651</v>
      </c>
      <c r="O672" s="182" t="s">
        <v>2028</v>
      </c>
    </row>
    <row r="673" spans="2:15">
      <c r="B673" s="174" t="s">
        <v>2024</v>
      </c>
      <c r="C673" s="175" t="s">
        <v>1650</v>
      </c>
      <c r="D673" s="176" t="s">
        <v>1651</v>
      </c>
      <c r="E673" s="177" t="s">
        <v>2025</v>
      </c>
      <c r="F673" s="175">
        <f t="shared" si="21"/>
        <v>12</v>
      </c>
      <c r="G673" s="175" t="str">
        <f t="shared" si="22"/>
        <v>Fort Smith</v>
      </c>
      <c r="H673" s="175"/>
      <c r="I673" s="178" t="s">
        <v>2026</v>
      </c>
      <c r="J673" s="27" t="s">
        <v>1651</v>
      </c>
      <c r="K673" s="27">
        <v>1894</v>
      </c>
      <c r="L673" s="179">
        <v>3478</v>
      </c>
      <c r="M673" s="178" t="s">
        <v>2027</v>
      </c>
      <c r="N673" s="27" t="s">
        <v>1651</v>
      </c>
      <c r="O673" s="182" t="s">
        <v>2028</v>
      </c>
    </row>
    <row r="674" spans="2:15">
      <c r="B674" s="174" t="s">
        <v>1511</v>
      </c>
      <c r="C674" s="175" t="s">
        <v>500</v>
      </c>
      <c r="D674" s="176" t="s">
        <v>501</v>
      </c>
      <c r="E674" s="177" t="s">
        <v>1512</v>
      </c>
      <c r="F674" s="175">
        <f t="shared" si="21"/>
        <v>15</v>
      </c>
      <c r="G674" s="175" t="str">
        <f t="shared" si="22"/>
        <v>Oklahoma City</v>
      </c>
      <c r="H674" s="175"/>
      <c r="I674" s="178" t="s">
        <v>560</v>
      </c>
      <c r="J674" s="27" t="s">
        <v>501</v>
      </c>
      <c r="K674" s="27">
        <v>1859</v>
      </c>
      <c r="L674" s="179">
        <v>3659</v>
      </c>
      <c r="M674" s="180" t="s">
        <v>652</v>
      </c>
      <c r="N674" s="181" t="s">
        <v>501</v>
      </c>
      <c r="O674" s="182" t="s">
        <v>653</v>
      </c>
    </row>
    <row r="675" spans="2:15">
      <c r="B675" s="174" t="s">
        <v>1513</v>
      </c>
      <c r="C675" s="175" t="s">
        <v>500</v>
      </c>
      <c r="D675" s="176" t="s">
        <v>501</v>
      </c>
      <c r="E675" s="177" t="s">
        <v>1512</v>
      </c>
      <c r="F675" s="175">
        <f t="shared" si="21"/>
        <v>15</v>
      </c>
      <c r="G675" s="175" t="str">
        <f t="shared" si="22"/>
        <v>Oklahoma City</v>
      </c>
      <c r="H675" s="175"/>
      <c r="I675" s="178" t="s">
        <v>560</v>
      </c>
      <c r="J675" s="27" t="s">
        <v>501</v>
      </c>
      <c r="K675" s="27">
        <v>1859</v>
      </c>
      <c r="L675" s="179">
        <v>3659</v>
      </c>
      <c r="M675" s="180" t="s">
        <v>652</v>
      </c>
      <c r="N675" s="181" t="s">
        <v>501</v>
      </c>
      <c r="O675" s="182" t="s">
        <v>653</v>
      </c>
    </row>
    <row r="676" spans="2:15">
      <c r="B676" s="174" t="s">
        <v>499</v>
      </c>
      <c r="C676" s="175" t="s">
        <v>500</v>
      </c>
      <c r="D676" s="176" t="s">
        <v>501</v>
      </c>
      <c r="E676" s="177" t="s">
        <v>502</v>
      </c>
      <c r="F676" s="175">
        <f t="shared" si="21"/>
        <v>9</v>
      </c>
      <c r="G676" s="175" t="str">
        <f t="shared" si="22"/>
        <v>Ardmore</v>
      </c>
      <c r="H676" s="175"/>
      <c r="I676" s="178" t="s">
        <v>503</v>
      </c>
      <c r="J676" s="27" t="s">
        <v>255</v>
      </c>
      <c r="K676" s="27">
        <v>2603</v>
      </c>
      <c r="L676" s="179">
        <v>2407</v>
      </c>
      <c r="M676" s="180" t="s">
        <v>504</v>
      </c>
      <c r="N676" s="181" t="s">
        <v>255</v>
      </c>
      <c r="O676" s="182" t="s">
        <v>505</v>
      </c>
    </row>
    <row r="677" spans="2:15">
      <c r="B677" s="174" t="s">
        <v>2168</v>
      </c>
      <c r="C677" s="175" t="s">
        <v>500</v>
      </c>
      <c r="D677" s="176" t="s">
        <v>501</v>
      </c>
      <c r="E677" s="177" t="s">
        <v>2169</v>
      </c>
      <c r="F677" s="175">
        <f t="shared" si="21"/>
        <v>8</v>
      </c>
      <c r="G677" s="175" t="str">
        <f t="shared" si="22"/>
        <v>Lawton</v>
      </c>
      <c r="H677" s="175"/>
      <c r="I677" s="178" t="s">
        <v>2170</v>
      </c>
      <c r="J677" s="27" t="s">
        <v>255</v>
      </c>
      <c r="K677" s="27">
        <v>2340</v>
      </c>
      <c r="L677" s="179">
        <v>3042</v>
      </c>
      <c r="M677" s="180" t="s">
        <v>2171</v>
      </c>
      <c r="N677" s="181" t="s">
        <v>255</v>
      </c>
      <c r="O677" s="182" t="s">
        <v>2172</v>
      </c>
    </row>
    <row r="678" spans="2:15">
      <c r="B678" s="174" t="s">
        <v>558</v>
      </c>
      <c r="C678" s="175" t="s">
        <v>500</v>
      </c>
      <c r="D678" s="176" t="s">
        <v>501</v>
      </c>
      <c r="E678" s="177" t="s">
        <v>559</v>
      </c>
      <c r="F678" s="175">
        <f t="shared" si="21"/>
        <v>9</v>
      </c>
      <c r="G678" s="175" t="str">
        <f t="shared" si="22"/>
        <v>Clinton</v>
      </c>
      <c r="H678" s="175"/>
      <c r="I678" s="178" t="s">
        <v>560</v>
      </c>
      <c r="J678" s="27" t="s">
        <v>501</v>
      </c>
      <c r="K678" s="27">
        <v>1859</v>
      </c>
      <c r="L678" s="179">
        <v>3659</v>
      </c>
      <c r="M678" s="180" t="s">
        <v>652</v>
      </c>
      <c r="N678" s="181" t="s">
        <v>501</v>
      </c>
      <c r="O678" s="182" t="s">
        <v>653</v>
      </c>
    </row>
    <row r="679" spans="2:15">
      <c r="B679" s="174" t="s">
        <v>1071</v>
      </c>
      <c r="C679" s="175" t="s">
        <v>500</v>
      </c>
      <c r="D679" s="176" t="s">
        <v>501</v>
      </c>
      <c r="E679" s="177" t="s">
        <v>1072</v>
      </c>
      <c r="F679" s="175">
        <f t="shared" si="21"/>
        <v>6</v>
      </c>
      <c r="G679" s="175" t="str">
        <f t="shared" si="22"/>
        <v>Enid</v>
      </c>
      <c r="H679" s="175"/>
      <c r="I679" s="178" t="s">
        <v>560</v>
      </c>
      <c r="J679" s="27" t="s">
        <v>501</v>
      </c>
      <c r="K679" s="27">
        <v>1859</v>
      </c>
      <c r="L679" s="179">
        <v>3659</v>
      </c>
      <c r="M679" s="180" t="s">
        <v>652</v>
      </c>
      <c r="N679" s="181" t="s">
        <v>501</v>
      </c>
      <c r="O679" s="182" t="s">
        <v>653</v>
      </c>
    </row>
    <row r="680" spans="2:15">
      <c r="B680" s="174" t="s">
        <v>705</v>
      </c>
      <c r="C680" s="175" t="s">
        <v>500</v>
      </c>
      <c r="D680" s="176" t="s">
        <v>501</v>
      </c>
      <c r="E680" s="177" t="s">
        <v>706</v>
      </c>
      <c r="F680" s="175">
        <f t="shared" si="21"/>
        <v>10</v>
      </c>
      <c r="G680" s="175" t="str">
        <f t="shared" si="22"/>
        <v>Woodward</v>
      </c>
      <c r="H680" s="175"/>
      <c r="I680" s="178" t="s">
        <v>270</v>
      </c>
      <c r="J680" s="27" t="s">
        <v>255</v>
      </c>
      <c r="K680" s="27">
        <v>1354</v>
      </c>
      <c r="L680" s="179">
        <v>4258</v>
      </c>
      <c r="M680" s="180" t="s">
        <v>271</v>
      </c>
      <c r="N680" s="181" t="s">
        <v>255</v>
      </c>
      <c r="O680" s="182" t="s">
        <v>272</v>
      </c>
    </row>
    <row r="681" spans="2:15">
      <c r="B681" s="174" t="s">
        <v>2146</v>
      </c>
      <c r="C681" s="175" t="s">
        <v>500</v>
      </c>
      <c r="D681" s="176" t="s">
        <v>501</v>
      </c>
      <c r="E681" s="177" t="s">
        <v>2147</v>
      </c>
      <c r="F681" s="175">
        <f t="shared" si="21"/>
        <v>8</v>
      </c>
      <c r="G681" s="175" t="str">
        <f t="shared" si="22"/>
        <v>Guymon</v>
      </c>
      <c r="H681" s="175"/>
      <c r="I681" s="178" t="s">
        <v>270</v>
      </c>
      <c r="J681" s="27" t="s">
        <v>255</v>
      </c>
      <c r="K681" s="27">
        <v>1354</v>
      </c>
      <c r="L681" s="179">
        <v>4258</v>
      </c>
      <c r="M681" s="180" t="s">
        <v>652</v>
      </c>
      <c r="N681" s="181" t="s">
        <v>501</v>
      </c>
      <c r="O681" s="182" t="s">
        <v>653</v>
      </c>
    </row>
    <row r="682" spans="2:15">
      <c r="B682" s="174" t="s">
        <v>1831</v>
      </c>
      <c r="C682" s="175" t="s">
        <v>500</v>
      </c>
      <c r="D682" s="176" t="s">
        <v>501</v>
      </c>
      <c r="E682" s="177" t="s">
        <v>1832</v>
      </c>
      <c r="F682" s="175">
        <f t="shared" si="21"/>
        <v>7</v>
      </c>
      <c r="G682" s="175" t="str">
        <f t="shared" si="22"/>
        <v>Tulsa</v>
      </c>
      <c r="H682" s="175"/>
      <c r="I682" s="178" t="s">
        <v>560</v>
      </c>
      <c r="J682" s="27" t="s">
        <v>501</v>
      </c>
      <c r="K682" s="27">
        <v>1859</v>
      </c>
      <c r="L682" s="179">
        <v>3659</v>
      </c>
      <c r="M682" s="180" t="s">
        <v>2558</v>
      </c>
      <c r="N682" s="181" t="s">
        <v>501</v>
      </c>
      <c r="O682" s="182" t="s">
        <v>2559</v>
      </c>
    </row>
    <row r="683" spans="2:15">
      <c r="B683" s="174" t="s">
        <v>1833</v>
      </c>
      <c r="C683" s="175" t="s">
        <v>500</v>
      </c>
      <c r="D683" s="176" t="s">
        <v>501</v>
      </c>
      <c r="E683" s="177" t="s">
        <v>1832</v>
      </c>
      <c r="F683" s="175">
        <f t="shared" si="21"/>
        <v>7</v>
      </c>
      <c r="G683" s="175" t="str">
        <f t="shared" si="22"/>
        <v>Tulsa</v>
      </c>
      <c r="H683" s="175"/>
      <c r="I683" s="178" t="s">
        <v>2557</v>
      </c>
      <c r="J683" s="27" t="s">
        <v>501</v>
      </c>
      <c r="K683" s="27">
        <v>2017</v>
      </c>
      <c r="L683" s="179">
        <v>3691</v>
      </c>
      <c r="M683" s="180" t="s">
        <v>2558</v>
      </c>
      <c r="N683" s="181" t="s">
        <v>501</v>
      </c>
      <c r="O683" s="182" t="s">
        <v>2559</v>
      </c>
    </row>
    <row r="684" spans="2:15">
      <c r="B684" s="174" t="s">
        <v>1866</v>
      </c>
      <c r="C684" s="175" t="s">
        <v>500</v>
      </c>
      <c r="D684" s="176" t="s">
        <v>501</v>
      </c>
      <c r="E684" s="177" t="s">
        <v>1867</v>
      </c>
      <c r="F684" s="175">
        <f t="shared" si="21"/>
        <v>8</v>
      </c>
      <c r="G684" s="175" t="str">
        <f t="shared" si="22"/>
        <v>Vinita</v>
      </c>
      <c r="H684" s="175"/>
      <c r="I684" s="178" t="s">
        <v>2557</v>
      </c>
      <c r="J684" s="27" t="s">
        <v>501</v>
      </c>
      <c r="K684" s="27">
        <v>2017</v>
      </c>
      <c r="L684" s="179">
        <v>3691</v>
      </c>
      <c r="M684" s="180" t="s">
        <v>2558</v>
      </c>
      <c r="N684" s="181" t="s">
        <v>501</v>
      </c>
      <c r="O684" s="182" t="s">
        <v>2559</v>
      </c>
    </row>
    <row r="685" spans="2:15">
      <c r="B685" s="174" t="s">
        <v>1109</v>
      </c>
      <c r="C685" s="175" t="s">
        <v>500</v>
      </c>
      <c r="D685" s="176" t="s">
        <v>501</v>
      </c>
      <c r="E685" s="177" t="s">
        <v>1110</v>
      </c>
      <c r="F685" s="175">
        <f t="shared" si="21"/>
        <v>10</v>
      </c>
      <c r="G685" s="175" t="str">
        <f t="shared" si="22"/>
        <v>Muskogee</v>
      </c>
      <c r="H685" s="175"/>
      <c r="I685" s="178" t="s">
        <v>2026</v>
      </c>
      <c r="J685" s="27" t="s">
        <v>1651</v>
      </c>
      <c r="K685" s="27">
        <v>1894</v>
      </c>
      <c r="L685" s="179">
        <v>3478</v>
      </c>
      <c r="M685" s="178" t="s">
        <v>2027</v>
      </c>
      <c r="N685" s="27" t="s">
        <v>1651</v>
      </c>
      <c r="O685" s="182" t="s">
        <v>2028</v>
      </c>
    </row>
    <row r="686" spans="2:15">
      <c r="B686" s="174" t="s">
        <v>1186</v>
      </c>
      <c r="C686" s="175" t="s">
        <v>500</v>
      </c>
      <c r="D686" s="176" t="s">
        <v>501</v>
      </c>
      <c r="E686" s="177" t="s">
        <v>1187</v>
      </c>
      <c r="F686" s="175">
        <f t="shared" si="21"/>
        <v>11</v>
      </c>
      <c r="G686" s="175" t="str">
        <f t="shared" si="22"/>
        <v>McAlester</v>
      </c>
      <c r="H686" s="175"/>
      <c r="I686" s="178" t="s">
        <v>2026</v>
      </c>
      <c r="J686" s="27" t="s">
        <v>1651</v>
      </c>
      <c r="K686" s="27">
        <v>1894</v>
      </c>
      <c r="L686" s="179">
        <v>3478</v>
      </c>
      <c r="M686" s="178" t="s">
        <v>2027</v>
      </c>
      <c r="N686" s="27" t="s">
        <v>1651</v>
      </c>
      <c r="O686" s="182" t="s">
        <v>2028</v>
      </c>
    </row>
    <row r="687" spans="2:15">
      <c r="B687" s="174" t="s">
        <v>2555</v>
      </c>
      <c r="C687" s="175" t="s">
        <v>500</v>
      </c>
      <c r="D687" s="176" t="s">
        <v>501</v>
      </c>
      <c r="E687" s="177" t="s">
        <v>2556</v>
      </c>
      <c r="F687" s="175">
        <f t="shared" si="21"/>
        <v>12</v>
      </c>
      <c r="G687" s="175" t="str">
        <f t="shared" si="22"/>
        <v>Ponca City</v>
      </c>
      <c r="H687" s="175"/>
      <c r="I687" s="178" t="s">
        <v>2557</v>
      </c>
      <c r="J687" s="27" t="s">
        <v>501</v>
      </c>
      <c r="K687" s="27">
        <v>2017</v>
      </c>
      <c r="L687" s="179">
        <v>3691</v>
      </c>
      <c r="M687" s="180" t="s">
        <v>2558</v>
      </c>
      <c r="N687" s="181" t="s">
        <v>501</v>
      </c>
      <c r="O687" s="182" t="s">
        <v>2559</v>
      </c>
    </row>
    <row r="688" spans="2:15">
      <c r="B688" s="174" t="s">
        <v>1818</v>
      </c>
      <c r="C688" s="175" t="s">
        <v>500</v>
      </c>
      <c r="D688" s="176" t="s">
        <v>501</v>
      </c>
      <c r="E688" s="177" t="s">
        <v>1819</v>
      </c>
      <c r="F688" s="175">
        <f t="shared" si="21"/>
        <v>8</v>
      </c>
      <c r="G688" s="175" t="str">
        <f t="shared" si="22"/>
        <v>Durant</v>
      </c>
      <c r="H688" s="175"/>
      <c r="I688" s="178" t="s">
        <v>503</v>
      </c>
      <c r="J688" s="27" t="s">
        <v>255</v>
      </c>
      <c r="K688" s="27">
        <v>2603</v>
      </c>
      <c r="L688" s="179">
        <v>2407</v>
      </c>
      <c r="M688" s="180" t="s">
        <v>504</v>
      </c>
      <c r="N688" s="181" t="s">
        <v>255</v>
      </c>
      <c r="O688" s="182" t="s">
        <v>505</v>
      </c>
    </row>
    <row r="689" spans="2:15">
      <c r="B689" s="174" t="s">
        <v>1345</v>
      </c>
      <c r="C689" s="175" t="s">
        <v>500</v>
      </c>
      <c r="D689" s="176" t="s">
        <v>501</v>
      </c>
      <c r="E689" s="177" t="s">
        <v>1346</v>
      </c>
      <c r="F689" s="175">
        <f t="shared" si="21"/>
        <v>9</v>
      </c>
      <c r="G689" s="175" t="str">
        <f t="shared" si="22"/>
        <v>Shawnee</v>
      </c>
      <c r="H689" s="175"/>
      <c r="I689" s="178" t="s">
        <v>2170</v>
      </c>
      <c r="J689" s="27" t="s">
        <v>255</v>
      </c>
      <c r="K689" s="27">
        <v>2340</v>
      </c>
      <c r="L689" s="179">
        <v>3042</v>
      </c>
      <c r="M689" s="180" t="s">
        <v>2171</v>
      </c>
      <c r="N689" s="181" t="s">
        <v>255</v>
      </c>
      <c r="O689" s="182" t="s">
        <v>2172</v>
      </c>
    </row>
    <row r="690" spans="2:15">
      <c r="B690" s="174" t="s">
        <v>2574</v>
      </c>
      <c r="C690" s="175" t="s">
        <v>500</v>
      </c>
      <c r="D690" s="176" t="s">
        <v>501</v>
      </c>
      <c r="E690" s="177" t="s">
        <v>2575</v>
      </c>
      <c r="F690" s="175">
        <f t="shared" si="21"/>
        <v>8</v>
      </c>
      <c r="G690" s="175" t="str">
        <f t="shared" si="22"/>
        <v>Poteau</v>
      </c>
      <c r="H690" s="175"/>
      <c r="I690" s="178" t="s">
        <v>2026</v>
      </c>
      <c r="J690" s="27" t="s">
        <v>1651</v>
      </c>
      <c r="K690" s="27">
        <v>1894</v>
      </c>
      <c r="L690" s="179">
        <v>3478</v>
      </c>
      <c r="M690" s="178" t="s">
        <v>2027</v>
      </c>
      <c r="N690" s="27" t="s">
        <v>1651</v>
      </c>
      <c r="O690" s="182" t="s">
        <v>2028</v>
      </c>
    </row>
    <row r="691" spans="2:15">
      <c r="B691" s="174" t="s">
        <v>1740</v>
      </c>
      <c r="C691" s="175" t="s">
        <v>254</v>
      </c>
      <c r="D691" s="176" t="s">
        <v>255</v>
      </c>
      <c r="E691" s="177" t="s">
        <v>1741</v>
      </c>
      <c r="F691" s="175">
        <f t="shared" si="21"/>
        <v>8</v>
      </c>
      <c r="G691" s="175" t="str">
        <f t="shared" si="22"/>
        <v>Dallas</v>
      </c>
      <c r="H691" s="175"/>
      <c r="I691" s="178" t="s">
        <v>503</v>
      </c>
      <c r="J691" s="27" t="s">
        <v>255</v>
      </c>
      <c r="K691" s="27">
        <v>2603</v>
      </c>
      <c r="L691" s="179">
        <v>2407</v>
      </c>
      <c r="M691" s="180" t="s">
        <v>504</v>
      </c>
      <c r="N691" s="181" t="s">
        <v>255</v>
      </c>
      <c r="O691" s="182" t="s">
        <v>505</v>
      </c>
    </row>
    <row r="692" spans="2:15">
      <c r="B692" s="174" t="s">
        <v>1742</v>
      </c>
      <c r="C692" s="175" t="s">
        <v>254</v>
      </c>
      <c r="D692" s="176" t="s">
        <v>255</v>
      </c>
      <c r="E692" s="177" t="s">
        <v>1741</v>
      </c>
      <c r="F692" s="175">
        <f t="shared" si="21"/>
        <v>8</v>
      </c>
      <c r="G692" s="175" t="str">
        <f t="shared" si="22"/>
        <v>Dallas</v>
      </c>
      <c r="H692" s="175"/>
      <c r="I692" s="178" t="s">
        <v>503</v>
      </c>
      <c r="J692" s="27" t="s">
        <v>255</v>
      </c>
      <c r="K692" s="27">
        <v>2603</v>
      </c>
      <c r="L692" s="179">
        <v>2407</v>
      </c>
      <c r="M692" s="180" t="s">
        <v>504</v>
      </c>
      <c r="N692" s="181" t="s">
        <v>255</v>
      </c>
      <c r="O692" s="182" t="s">
        <v>505</v>
      </c>
    </row>
    <row r="693" spans="2:15">
      <c r="B693" s="174" t="s">
        <v>1743</v>
      </c>
      <c r="C693" s="175" t="s">
        <v>254</v>
      </c>
      <c r="D693" s="176" t="s">
        <v>255</v>
      </c>
      <c r="E693" s="177" t="s">
        <v>1741</v>
      </c>
      <c r="F693" s="175">
        <f t="shared" si="21"/>
        <v>8</v>
      </c>
      <c r="G693" s="175" t="str">
        <f t="shared" si="22"/>
        <v>Dallas</v>
      </c>
      <c r="H693" s="175"/>
      <c r="I693" s="178" t="s">
        <v>503</v>
      </c>
      <c r="J693" s="27" t="s">
        <v>255</v>
      </c>
      <c r="K693" s="27">
        <v>2603</v>
      </c>
      <c r="L693" s="179">
        <v>2407</v>
      </c>
      <c r="M693" s="180" t="s">
        <v>504</v>
      </c>
      <c r="N693" s="181" t="s">
        <v>255</v>
      </c>
      <c r="O693" s="182" t="s">
        <v>505</v>
      </c>
    </row>
    <row r="694" spans="2:15">
      <c r="B694" s="174" t="s">
        <v>1744</v>
      </c>
      <c r="C694" s="175" t="s">
        <v>254</v>
      </c>
      <c r="D694" s="176" t="s">
        <v>255</v>
      </c>
      <c r="E694" s="177" t="s">
        <v>1741</v>
      </c>
      <c r="F694" s="175">
        <f t="shared" si="21"/>
        <v>8</v>
      </c>
      <c r="G694" s="175" t="str">
        <f t="shared" si="22"/>
        <v>Dallas</v>
      </c>
      <c r="H694" s="175"/>
      <c r="I694" s="178" t="s">
        <v>503</v>
      </c>
      <c r="J694" s="27" t="s">
        <v>255</v>
      </c>
      <c r="K694" s="27">
        <v>2603</v>
      </c>
      <c r="L694" s="179">
        <v>2407</v>
      </c>
      <c r="M694" s="180" t="s">
        <v>504</v>
      </c>
      <c r="N694" s="181" t="s">
        <v>255</v>
      </c>
      <c r="O694" s="182" t="s">
        <v>505</v>
      </c>
    </row>
    <row r="695" spans="2:15">
      <c r="B695" s="174" t="s">
        <v>2136</v>
      </c>
      <c r="C695" s="175" t="s">
        <v>254</v>
      </c>
      <c r="D695" s="176" t="s">
        <v>255</v>
      </c>
      <c r="E695" s="177" t="s">
        <v>2133</v>
      </c>
      <c r="F695" s="175">
        <f t="shared" si="21"/>
        <v>12</v>
      </c>
      <c r="G695" s="175" t="str">
        <f t="shared" si="22"/>
        <v>Greenville</v>
      </c>
      <c r="H695" s="175"/>
      <c r="I695" s="178" t="s">
        <v>503</v>
      </c>
      <c r="J695" s="27" t="s">
        <v>255</v>
      </c>
      <c r="K695" s="27">
        <v>2603</v>
      </c>
      <c r="L695" s="179">
        <v>2407</v>
      </c>
      <c r="M695" s="180" t="s">
        <v>504</v>
      </c>
      <c r="N695" s="181" t="s">
        <v>255</v>
      </c>
      <c r="O695" s="182" t="s">
        <v>505</v>
      </c>
    </row>
    <row r="696" spans="2:15">
      <c r="B696" s="174" t="s">
        <v>828</v>
      </c>
      <c r="C696" s="175" t="s">
        <v>254</v>
      </c>
      <c r="D696" s="176" t="s">
        <v>255</v>
      </c>
      <c r="E696" s="177" t="s">
        <v>829</v>
      </c>
      <c r="F696" s="175">
        <f t="shared" si="21"/>
        <v>11</v>
      </c>
      <c r="G696" s="175" t="str">
        <f t="shared" si="22"/>
        <v>Texarkana</v>
      </c>
      <c r="H696" s="175"/>
      <c r="I696" s="178" t="s">
        <v>381</v>
      </c>
      <c r="J696" s="27" t="s">
        <v>282</v>
      </c>
      <c r="K696" s="27">
        <v>2368</v>
      </c>
      <c r="L696" s="179">
        <v>2264</v>
      </c>
      <c r="M696" s="180" t="s">
        <v>382</v>
      </c>
      <c r="N696" s="181" t="s">
        <v>282</v>
      </c>
      <c r="O696" s="182" t="s">
        <v>383</v>
      </c>
    </row>
    <row r="697" spans="2:15">
      <c r="B697" s="174" t="s">
        <v>2205</v>
      </c>
      <c r="C697" s="175" t="s">
        <v>254</v>
      </c>
      <c r="D697" s="176" t="s">
        <v>255</v>
      </c>
      <c r="E697" s="177" t="s">
        <v>2206</v>
      </c>
      <c r="F697" s="175">
        <f t="shared" si="21"/>
        <v>10</v>
      </c>
      <c r="G697" s="175" t="str">
        <f t="shared" si="22"/>
        <v>Longview</v>
      </c>
      <c r="H697" s="175"/>
      <c r="I697" s="178" t="s">
        <v>381</v>
      </c>
      <c r="J697" s="27" t="s">
        <v>282</v>
      </c>
      <c r="K697" s="27">
        <v>2368</v>
      </c>
      <c r="L697" s="179">
        <v>2264</v>
      </c>
      <c r="M697" s="180" t="s">
        <v>382</v>
      </c>
      <c r="N697" s="181" t="s">
        <v>282</v>
      </c>
      <c r="O697" s="182" t="s">
        <v>383</v>
      </c>
    </row>
    <row r="698" spans="2:15">
      <c r="B698" s="174" t="s">
        <v>1841</v>
      </c>
      <c r="C698" s="175" t="s">
        <v>254</v>
      </c>
      <c r="D698" s="176" t="s">
        <v>255</v>
      </c>
      <c r="E698" s="177" t="s">
        <v>1842</v>
      </c>
      <c r="F698" s="175">
        <f t="shared" si="21"/>
        <v>7</v>
      </c>
      <c r="G698" s="175" t="str">
        <f t="shared" si="22"/>
        <v>Tyler</v>
      </c>
      <c r="H698" s="175"/>
      <c r="I698" s="178" t="s">
        <v>503</v>
      </c>
      <c r="J698" s="27" t="s">
        <v>255</v>
      </c>
      <c r="K698" s="27">
        <v>2603</v>
      </c>
      <c r="L698" s="179">
        <v>2407</v>
      </c>
      <c r="M698" s="180" t="s">
        <v>504</v>
      </c>
      <c r="N698" s="181" t="s">
        <v>255</v>
      </c>
      <c r="O698" s="182" t="s">
        <v>505</v>
      </c>
    </row>
    <row r="699" spans="2:15">
      <c r="B699" s="174" t="s">
        <v>2386</v>
      </c>
      <c r="C699" s="175" t="s">
        <v>254</v>
      </c>
      <c r="D699" s="176" t="s">
        <v>255</v>
      </c>
      <c r="E699" s="177" t="s">
        <v>2387</v>
      </c>
      <c r="F699" s="175">
        <f t="shared" si="21"/>
        <v>11</v>
      </c>
      <c r="G699" s="175" t="str">
        <f t="shared" si="22"/>
        <v>Palestine</v>
      </c>
      <c r="H699" s="175"/>
      <c r="I699" s="178" t="s">
        <v>2220</v>
      </c>
      <c r="J699" s="27" t="s">
        <v>255</v>
      </c>
      <c r="K699" s="27">
        <v>2816</v>
      </c>
      <c r="L699" s="179">
        <v>2179</v>
      </c>
      <c r="M699" s="180" t="s">
        <v>2221</v>
      </c>
      <c r="N699" s="181" t="s">
        <v>255</v>
      </c>
      <c r="O699" s="182" t="s">
        <v>2222</v>
      </c>
    </row>
    <row r="700" spans="2:15">
      <c r="B700" s="174" t="s">
        <v>2218</v>
      </c>
      <c r="C700" s="175" t="s">
        <v>254</v>
      </c>
      <c r="D700" s="176" t="s">
        <v>255</v>
      </c>
      <c r="E700" s="177" t="s">
        <v>2219</v>
      </c>
      <c r="F700" s="175">
        <f t="shared" si="21"/>
        <v>8</v>
      </c>
      <c r="G700" s="175" t="str">
        <f t="shared" si="22"/>
        <v>Lufkin</v>
      </c>
      <c r="H700" s="175"/>
      <c r="I700" s="178" t="s">
        <v>2220</v>
      </c>
      <c r="J700" s="27" t="s">
        <v>255</v>
      </c>
      <c r="K700" s="27">
        <v>2816</v>
      </c>
      <c r="L700" s="179">
        <v>2179</v>
      </c>
      <c r="M700" s="180" t="s">
        <v>2221</v>
      </c>
      <c r="N700" s="181" t="s">
        <v>255</v>
      </c>
      <c r="O700" s="182" t="s">
        <v>2222</v>
      </c>
    </row>
    <row r="701" spans="2:15">
      <c r="B701" s="174" t="s">
        <v>2036</v>
      </c>
      <c r="C701" s="175" t="s">
        <v>254</v>
      </c>
      <c r="D701" s="176" t="s">
        <v>255</v>
      </c>
      <c r="E701" s="177" t="s">
        <v>2037</v>
      </c>
      <c r="F701" s="175">
        <f t="shared" si="21"/>
        <v>12</v>
      </c>
      <c r="G701" s="175" t="str">
        <f t="shared" si="22"/>
        <v>Fort Worth</v>
      </c>
      <c r="H701" s="175"/>
      <c r="I701" s="178" t="s">
        <v>503</v>
      </c>
      <c r="J701" s="27" t="s">
        <v>255</v>
      </c>
      <c r="K701" s="27">
        <v>2603</v>
      </c>
      <c r="L701" s="179">
        <v>2407</v>
      </c>
      <c r="M701" s="180" t="s">
        <v>504</v>
      </c>
      <c r="N701" s="181" t="s">
        <v>255</v>
      </c>
      <c r="O701" s="182" t="s">
        <v>505</v>
      </c>
    </row>
    <row r="702" spans="2:15">
      <c r="B702" s="174" t="s">
        <v>2038</v>
      </c>
      <c r="C702" s="175" t="s">
        <v>254</v>
      </c>
      <c r="D702" s="176" t="s">
        <v>255</v>
      </c>
      <c r="E702" s="177" t="s">
        <v>2037</v>
      </c>
      <c r="F702" s="175">
        <f t="shared" si="21"/>
        <v>12</v>
      </c>
      <c r="G702" s="175" t="str">
        <f t="shared" si="22"/>
        <v>Fort Worth</v>
      </c>
      <c r="H702" s="175"/>
      <c r="I702" s="178" t="s">
        <v>503</v>
      </c>
      <c r="J702" s="27" t="s">
        <v>255</v>
      </c>
      <c r="K702" s="27">
        <v>2603</v>
      </c>
      <c r="L702" s="179">
        <v>2407</v>
      </c>
      <c r="M702" s="180" t="s">
        <v>504</v>
      </c>
      <c r="N702" s="181" t="s">
        <v>255</v>
      </c>
      <c r="O702" s="182" t="s">
        <v>505</v>
      </c>
    </row>
    <row r="703" spans="2:15">
      <c r="B703" s="174" t="s">
        <v>1764</v>
      </c>
      <c r="C703" s="175" t="s">
        <v>254</v>
      </c>
      <c r="D703" s="176" t="s">
        <v>255</v>
      </c>
      <c r="E703" s="177" t="s">
        <v>1765</v>
      </c>
      <c r="F703" s="175">
        <f t="shared" si="21"/>
        <v>8</v>
      </c>
      <c r="G703" s="175" t="str">
        <f t="shared" si="22"/>
        <v>Denton</v>
      </c>
      <c r="H703" s="175"/>
      <c r="I703" s="178" t="s">
        <v>503</v>
      </c>
      <c r="J703" s="27" t="s">
        <v>255</v>
      </c>
      <c r="K703" s="27">
        <v>2603</v>
      </c>
      <c r="L703" s="179">
        <v>2407</v>
      </c>
      <c r="M703" s="180" t="s">
        <v>504</v>
      </c>
      <c r="N703" s="181" t="s">
        <v>255</v>
      </c>
      <c r="O703" s="182" t="s">
        <v>505</v>
      </c>
    </row>
    <row r="704" spans="2:15">
      <c r="B704" s="174" t="s">
        <v>670</v>
      </c>
      <c r="C704" s="175" t="s">
        <v>254</v>
      </c>
      <c r="D704" s="176" t="s">
        <v>255</v>
      </c>
      <c r="E704" s="177" t="s">
        <v>671</v>
      </c>
      <c r="F704" s="175">
        <f t="shared" si="21"/>
        <v>15</v>
      </c>
      <c r="G704" s="175" t="str">
        <f t="shared" si="22"/>
        <v>Wichita Falls</v>
      </c>
      <c r="H704" s="175"/>
      <c r="I704" s="178" t="s">
        <v>2170</v>
      </c>
      <c r="J704" s="27" t="s">
        <v>255</v>
      </c>
      <c r="K704" s="27">
        <v>2340</v>
      </c>
      <c r="L704" s="179">
        <v>3042</v>
      </c>
      <c r="M704" s="180" t="s">
        <v>2171</v>
      </c>
      <c r="N704" s="181" t="s">
        <v>255</v>
      </c>
      <c r="O704" s="182" t="s">
        <v>2172</v>
      </c>
    </row>
    <row r="705" spans="2:15">
      <c r="B705" s="174" t="s">
        <v>1325</v>
      </c>
      <c r="C705" s="175" t="s">
        <v>254</v>
      </c>
      <c r="D705" s="176" t="s">
        <v>255</v>
      </c>
      <c r="E705" s="177" t="s">
        <v>1326</v>
      </c>
      <c r="F705" s="175">
        <f t="shared" si="21"/>
        <v>14</v>
      </c>
      <c r="G705" s="175" t="str">
        <f t="shared" si="22"/>
        <v>Stephenville</v>
      </c>
      <c r="H705" s="175"/>
      <c r="I705" s="178" t="s">
        <v>257</v>
      </c>
      <c r="J705" s="27" t="s">
        <v>255</v>
      </c>
      <c r="K705" s="27">
        <v>2451</v>
      </c>
      <c r="L705" s="179">
        <v>2584</v>
      </c>
      <c r="M705" s="180" t="s">
        <v>258</v>
      </c>
      <c r="N705" s="181" t="s">
        <v>255</v>
      </c>
      <c r="O705" s="182" t="s">
        <v>259</v>
      </c>
    </row>
    <row r="706" spans="2:15">
      <c r="B706" s="174" t="s">
        <v>824</v>
      </c>
      <c r="C706" s="175" t="s">
        <v>254</v>
      </c>
      <c r="D706" s="176" t="s">
        <v>255</v>
      </c>
      <c r="E706" s="177" t="s">
        <v>825</v>
      </c>
      <c r="F706" s="175">
        <f t="shared" si="21"/>
        <v>8</v>
      </c>
      <c r="G706" s="175" t="str">
        <f t="shared" si="22"/>
        <v>Temple</v>
      </c>
      <c r="H706" s="175"/>
      <c r="I706" s="178" t="s">
        <v>2220</v>
      </c>
      <c r="J706" s="27" t="s">
        <v>255</v>
      </c>
      <c r="K706" s="27">
        <v>2816</v>
      </c>
      <c r="L706" s="179">
        <v>2179</v>
      </c>
      <c r="M706" s="180" t="s">
        <v>2221</v>
      </c>
      <c r="N706" s="181" t="s">
        <v>255</v>
      </c>
      <c r="O706" s="182" t="s">
        <v>2222</v>
      </c>
    </row>
    <row r="707" spans="2:15">
      <c r="B707" s="174" t="s">
        <v>1868</v>
      </c>
      <c r="C707" s="175" t="s">
        <v>254</v>
      </c>
      <c r="D707" s="176" t="s">
        <v>255</v>
      </c>
      <c r="E707" s="177" t="s">
        <v>1869</v>
      </c>
      <c r="F707" s="175">
        <f t="shared" si="21"/>
        <v>6</v>
      </c>
      <c r="G707" s="175" t="str">
        <f t="shared" si="22"/>
        <v>Waco</v>
      </c>
      <c r="H707" s="175"/>
      <c r="I707" s="178" t="s">
        <v>2220</v>
      </c>
      <c r="J707" s="27" t="s">
        <v>255</v>
      </c>
      <c r="K707" s="27">
        <v>2816</v>
      </c>
      <c r="L707" s="179">
        <v>2179</v>
      </c>
      <c r="M707" s="180" t="s">
        <v>2221</v>
      </c>
      <c r="N707" s="181" t="s">
        <v>255</v>
      </c>
      <c r="O707" s="182" t="s">
        <v>2222</v>
      </c>
    </row>
    <row r="708" spans="2:15">
      <c r="B708" s="174" t="s">
        <v>1870</v>
      </c>
      <c r="C708" s="175" t="s">
        <v>254</v>
      </c>
      <c r="D708" s="176" t="s">
        <v>255</v>
      </c>
      <c r="E708" s="177" t="s">
        <v>1869</v>
      </c>
      <c r="F708" s="175">
        <f t="shared" si="21"/>
        <v>6</v>
      </c>
      <c r="G708" s="175" t="str">
        <f t="shared" si="22"/>
        <v>Waco</v>
      </c>
      <c r="H708" s="175"/>
      <c r="I708" s="178" t="s">
        <v>2220</v>
      </c>
      <c r="J708" s="27" t="s">
        <v>255</v>
      </c>
      <c r="K708" s="27">
        <v>2816</v>
      </c>
      <c r="L708" s="179">
        <v>2179</v>
      </c>
      <c r="M708" s="180" t="s">
        <v>2221</v>
      </c>
      <c r="N708" s="181" t="s">
        <v>255</v>
      </c>
      <c r="O708" s="182" t="s">
        <v>2222</v>
      </c>
    </row>
    <row r="709" spans="2:15">
      <c r="B709" s="174" t="s">
        <v>1367</v>
      </c>
      <c r="C709" s="175" t="s">
        <v>254</v>
      </c>
      <c r="D709" s="176" t="s">
        <v>255</v>
      </c>
      <c r="E709" s="177" t="s">
        <v>1368</v>
      </c>
      <c r="F709" s="175">
        <f t="shared" si="21"/>
        <v>11</v>
      </c>
      <c r="G709" s="175" t="str">
        <f t="shared" si="22"/>
        <v>Brownwood</v>
      </c>
      <c r="H709" s="175"/>
      <c r="I709" s="178" t="s">
        <v>257</v>
      </c>
      <c r="J709" s="27" t="s">
        <v>255</v>
      </c>
      <c r="K709" s="27">
        <v>2451</v>
      </c>
      <c r="L709" s="179">
        <v>2584</v>
      </c>
      <c r="M709" s="180" t="s">
        <v>258</v>
      </c>
      <c r="N709" s="181" t="s">
        <v>255</v>
      </c>
      <c r="O709" s="182" t="s">
        <v>259</v>
      </c>
    </row>
    <row r="710" spans="2:15">
      <c r="B710" s="174" t="s">
        <v>362</v>
      </c>
      <c r="C710" s="175" t="s">
        <v>254</v>
      </c>
      <c r="D710" s="176" t="s">
        <v>255</v>
      </c>
      <c r="E710" s="177" t="s">
        <v>363</v>
      </c>
      <c r="F710" s="175">
        <f t="shared" si="21"/>
        <v>12</v>
      </c>
      <c r="G710" s="175" t="str">
        <f t="shared" si="22"/>
        <v>San Angelo</v>
      </c>
      <c r="H710" s="175"/>
      <c r="I710" s="178" t="s">
        <v>364</v>
      </c>
      <c r="J710" s="27" t="s">
        <v>255</v>
      </c>
      <c r="K710" s="27">
        <v>2400</v>
      </c>
      <c r="L710" s="179">
        <v>2414</v>
      </c>
      <c r="M710" s="180" t="s">
        <v>365</v>
      </c>
      <c r="N710" s="181" t="s">
        <v>255</v>
      </c>
      <c r="O710" s="182" t="s">
        <v>366</v>
      </c>
    </row>
    <row r="711" spans="2:15">
      <c r="B711" s="174" t="s">
        <v>765</v>
      </c>
      <c r="C711" s="175" t="s">
        <v>254</v>
      </c>
      <c r="D711" s="176" t="s">
        <v>255</v>
      </c>
      <c r="E711" s="177" t="s">
        <v>766</v>
      </c>
      <c r="F711" s="175">
        <f t="shared" si="21"/>
        <v>9</v>
      </c>
      <c r="G711" s="175" t="str">
        <f t="shared" si="22"/>
        <v>Houston</v>
      </c>
      <c r="H711" s="175"/>
      <c r="I711" s="178" t="s">
        <v>1715</v>
      </c>
      <c r="J711" s="27" t="s">
        <v>255</v>
      </c>
      <c r="K711" s="27">
        <v>2700</v>
      </c>
      <c r="L711" s="179">
        <v>1599</v>
      </c>
      <c r="M711" s="180" t="s">
        <v>1674</v>
      </c>
      <c r="N711" s="181" t="s">
        <v>255</v>
      </c>
      <c r="O711" s="182" t="s">
        <v>1675</v>
      </c>
    </row>
    <row r="712" spans="2:15">
      <c r="B712" s="174" t="s">
        <v>767</v>
      </c>
      <c r="C712" s="175" t="s">
        <v>254</v>
      </c>
      <c r="D712" s="176" t="s">
        <v>255</v>
      </c>
      <c r="E712" s="177" t="s">
        <v>766</v>
      </c>
      <c r="F712" s="175">
        <f t="shared" si="21"/>
        <v>9</v>
      </c>
      <c r="G712" s="175" t="str">
        <f t="shared" si="22"/>
        <v>Houston</v>
      </c>
      <c r="H712" s="175"/>
      <c r="I712" s="178" t="s">
        <v>1715</v>
      </c>
      <c r="J712" s="27" t="s">
        <v>255</v>
      </c>
      <c r="K712" s="27">
        <v>2700</v>
      </c>
      <c r="L712" s="179">
        <v>1599</v>
      </c>
      <c r="M712" s="180" t="s">
        <v>1674</v>
      </c>
      <c r="N712" s="181" t="s">
        <v>255</v>
      </c>
      <c r="O712" s="182" t="s">
        <v>1675</v>
      </c>
    </row>
    <row r="713" spans="2:15">
      <c r="B713" s="174" t="s">
        <v>768</v>
      </c>
      <c r="C713" s="175" t="s">
        <v>254</v>
      </c>
      <c r="D713" s="176" t="s">
        <v>255</v>
      </c>
      <c r="E713" s="177" t="s">
        <v>766</v>
      </c>
      <c r="F713" s="175">
        <f t="shared" si="21"/>
        <v>9</v>
      </c>
      <c r="G713" s="175" t="str">
        <f t="shared" si="22"/>
        <v>Houston</v>
      </c>
      <c r="H713" s="175"/>
      <c r="I713" s="178" t="s">
        <v>1715</v>
      </c>
      <c r="J713" s="27" t="s">
        <v>255</v>
      </c>
      <c r="K713" s="27">
        <v>2700</v>
      </c>
      <c r="L713" s="179">
        <v>1599</v>
      </c>
      <c r="M713" s="180" t="s">
        <v>1674</v>
      </c>
      <c r="N713" s="181" t="s">
        <v>255</v>
      </c>
      <c r="O713" s="182" t="s">
        <v>1675</v>
      </c>
    </row>
    <row r="714" spans="2:15">
      <c r="B714" s="174" t="s">
        <v>1713</v>
      </c>
      <c r="C714" s="175" t="s">
        <v>254</v>
      </c>
      <c r="D714" s="176" t="s">
        <v>255</v>
      </c>
      <c r="E714" s="177" t="s">
        <v>1714</v>
      </c>
      <c r="F714" s="175">
        <f t="shared" ref="F714:F777" si="23">LEN(E714)</f>
        <v>8</v>
      </c>
      <c r="G714" s="175" t="str">
        <f t="shared" ref="G714:G777" si="24">MID(E714,2,F714-2)</f>
        <v>Conroe</v>
      </c>
      <c r="H714" s="175"/>
      <c r="I714" s="178" t="s">
        <v>1715</v>
      </c>
      <c r="J714" s="27" t="s">
        <v>255</v>
      </c>
      <c r="K714" s="27">
        <v>2700</v>
      </c>
      <c r="L714" s="179">
        <v>1599</v>
      </c>
      <c r="M714" s="180" t="s">
        <v>1674</v>
      </c>
      <c r="N714" s="181" t="s">
        <v>255</v>
      </c>
      <c r="O714" s="182" t="s">
        <v>1675</v>
      </c>
    </row>
    <row r="715" spans="2:15">
      <c r="B715" s="174" t="s">
        <v>769</v>
      </c>
      <c r="C715" s="175" t="s">
        <v>254</v>
      </c>
      <c r="D715" s="176" t="s">
        <v>255</v>
      </c>
      <c r="E715" s="177" t="s">
        <v>766</v>
      </c>
      <c r="F715" s="175">
        <f t="shared" si="23"/>
        <v>9</v>
      </c>
      <c r="G715" s="175" t="str">
        <f t="shared" si="24"/>
        <v>Houston</v>
      </c>
      <c r="H715" s="175"/>
      <c r="I715" s="178" t="s">
        <v>1715</v>
      </c>
      <c r="J715" s="27" t="s">
        <v>255</v>
      </c>
      <c r="K715" s="27">
        <v>2700</v>
      </c>
      <c r="L715" s="179">
        <v>1599</v>
      </c>
      <c r="M715" s="180" t="s">
        <v>1674</v>
      </c>
      <c r="N715" s="181" t="s">
        <v>255</v>
      </c>
      <c r="O715" s="182" t="s">
        <v>1675</v>
      </c>
    </row>
    <row r="716" spans="2:15">
      <c r="B716" s="174" t="s">
        <v>2065</v>
      </c>
      <c r="C716" s="175" t="s">
        <v>254</v>
      </c>
      <c r="D716" s="176" t="s">
        <v>255</v>
      </c>
      <c r="E716" s="177" t="s">
        <v>2066</v>
      </c>
      <c r="F716" s="175">
        <f t="shared" si="23"/>
        <v>11</v>
      </c>
      <c r="G716" s="175" t="str">
        <f t="shared" si="24"/>
        <v>Galveston</v>
      </c>
      <c r="H716" s="175"/>
      <c r="I716" s="178" t="s">
        <v>2067</v>
      </c>
      <c r="J716" s="27" t="s">
        <v>255</v>
      </c>
      <c r="K716" s="27">
        <v>2994</v>
      </c>
      <c r="L716" s="179">
        <v>1263</v>
      </c>
      <c r="M716" s="180" t="s">
        <v>1674</v>
      </c>
      <c r="N716" s="181" t="s">
        <v>255</v>
      </c>
      <c r="O716" s="182" t="s">
        <v>1675</v>
      </c>
    </row>
    <row r="717" spans="2:15">
      <c r="B717" s="174" t="s">
        <v>1671</v>
      </c>
      <c r="C717" s="175" t="s">
        <v>254</v>
      </c>
      <c r="D717" s="176" t="s">
        <v>255</v>
      </c>
      <c r="E717" s="177" t="s">
        <v>1672</v>
      </c>
      <c r="F717" s="175">
        <f t="shared" si="23"/>
        <v>10</v>
      </c>
      <c r="G717" s="175" t="str">
        <f t="shared" si="24"/>
        <v>Beaumont</v>
      </c>
      <c r="H717" s="175"/>
      <c r="I717" s="178" t="s">
        <v>1673</v>
      </c>
      <c r="J717" s="27" t="s">
        <v>255</v>
      </c>
      <c r="K717" s="27">
        <v>2764</v>
      </c>
      <c r="L717" s="179">
        <v>1499</v>
      </c>
      <c r="M717" s="180" t="s">
        <v>1674</v>
      </c>
      <c r="N717" s="181" t="s">
        <v>255</v>
      </c>
      <c r="O717" s="182" t="s">
        <v>1675</v>
      </c>
    </row>
    <row r="718" spans="2:15">
      <c r="B718" s="174" t="s">
        <v>1676</v>
      </c>
      <c r="C718" s="175" t="s">
        <v>254</v>
      </c>
      <c r="D718" s="176" t="s">
        <v>255</v>
      </c>
      <c r="E718" s="177" t="s">
        <v>1672</v>
      </c>
      <c r="F718" s="175">
        <f t="shared" si="23"/>
        <v>10</v>
      </c>
      <c r="G718" s="175" t="str">
        <f t="shared" si="24"/>
        <v>Beaumont</v>
      </c>
      <c r="H718" s="175"/>
      <c r="I718" s="178" t="s">
        <v>1673</v>
      </c>
      <c r="J718" s="27" t="s">
        <v>255</v>
      </c>
      <c r="K718" s="27">
        <v>2764</v>
      </c>
      <c r="L718" s="179">
        <v>1499</v>
      </c>
      <c r="M718" s="180" t="s">
        <v>1674</v>
      </c>
      <c r="N718" s="181" t="s">
        <v>255</v>
      </c>
      <c r="O718" s="182" t="s">
        <v>1675</v>
      </c>
    </row>
    <row r="719" spans="2:15">
      <c r="B719" s="174" t="s">
        <v>1369</v>
      </c>
      <c r="C719" s="175" t="s">
        <v>254</v>
      </c>
      <c r="D719" s="176" t="s">
        <v>255</v>
      </c>
      <c r="E719" s="177" t="s">
        <v>1370</v>
      </c>
      <c r="F719" s="175">
        <f t="shared" si="23"/>
        <v>7</v>
      </c>
      <c r="G719" s="175" t="str">
        <f t="shared" si="24"/>
        <v>Bryan</v>
      </c>
      <c r="H719" s="175"/>
      <c r="I719" s="178" t="s">
        <v>1633</v>
      </c>
      <c r="J719" s="27" t="s">
        <v>255</v>
      </c>
      <c r="K719" s="27">
        <v>3016</v>
      </c>
      <c r="L719" s="179">
        <v>1688</v>
      </c>
      <c r="M719" s="180" t="s">
        <v>1630</v>
      </c>
      <c r="N719" s="181" t="s">
        <v>255</v>
      </c>
      <c r="O719" s="182" t="s">
        <v>1631</v>
      </c>
    </row>
    <row r="720" spans="2:15">
      <c r="B720" s="174" t="s">
        <v>1864</v>
      </c>
      <c r="C720" s="175" t="s">
        <v>254</v>
      </c>
      <c r="D720" s="176" t="s">
        <v>255</v>
      </c>
      <c r="E720" s="177" t="s">
        <v>1865</v>
      </c>
      <c r="F720" s="175">
        <f t="shared" si="23"/>
        <v>10</v>
      </c>
      <c r="G720" s="175" t="str">
        <f t="shared" si="24"/>
        <v>Victoria</v>
      </c>
      <c r="H720" s="175"/>
      <c r="I720" s="178" t="s">
        <v>981</v>
      </c>
      <c r="J720" s="27" t="s">
        <v>255</v>
      </c>
      <c r="K720" s="27">
        <v>3118</v>
      </c>
      <c r="L720" s="179">
        <v>1296</v>
      </c>
      <c r="M720" s="180" t="s">
        <v>1723</v>
      </c>
      <c r="N720" s="181" t="s">
        <v>255</v>
      </c>
      <c r="O720" s="182" t="s">
        <v>1724</v>
      </c>
    </row>
    <row r="721" spans="2:15">
      <c r="B721" s="174" t="s">
        <v>979</v>
      </c>
      <c r="C721" s="175" t="s">
        <v>254</v>
      </c>
      <c r="D721" s="176" t="s">
        <v>255</v>
      </c>
      <c r="E721" s="177" t="s">
        <v>980</v>
      </c>
      <c r="F721" s="175">
        <f t="shared" si="23"/>
        <v>17</v>
      </c>
      <c r="G721" s="175" t="str">
        <f t="shared" si="24"/>
        <v>Laredo/Pearsall</v>
      </c>
      <c r="H721" s="175"/>
      <c r="I721" s="178" t="s">
        <v>981</v>
      </c>
      <c r="J721" s="27" t="s">
        <v>255</v>
      </c>
      <c r="K721" s="27">
        <v>3118</v>
      </c>
      <c r="L721" s="179">
        <v>1296</v>
      </c>
      <c r="M721" s="180" t="s">
        <v>982</v>
      </c>
      <c r="N721" s="181" t="s">
        <v>255</v>
      </c>
      <c r="O721" s="182" t="s">
        <v>983</v>
      </c>
    </row>
    <row r="722" spans="2:15">
      <c r="B722" s="174" t="s">
        <v>367</v>
      </c>
      <c r="C722" s="175" t="s">
        <v>254</v>
      </c>
      <c r="D722" s="176" t="s">
        <v>255</v>
      </c>
      <c r="E722" s="177" t="s">
        <v>368</v>
      </c>
      <c r="F722" s="175">
        <f t="shared" si="23"/>
        <v>13</v>
      </c>
      <c r="G722" s="175" t="str">
        <f t="shared" si="24"/>
        <v>San Antonio</v>
      </c>
      <c r="H722" s="175"/>
      <c r="I722" s="178" t="s">
        <v>1633</v>
      </c>
      <c r="J722" s="27" t="s">
        <v>255</v>
      </c>
      <c r="K722" s="27">
        <v>3016</v>
      </c>
      <c r="L722" s="179">
        <v>1688</v>
      </c>
      <c r="M722" s="180" t="s">
        <v>982</v>
      </c>
      <c r="N722" s="181" t="s">
        <v>255</v>
      </c>
      <c r="O722" s="182" t="s">
        <v>983</v>
      </c>
    </row>
    <row r="723" spans="2:15">
      <c r="B723" s="174" t="s">
        <v>369</v>
      </c>
      <c r="C723" s="175" t="s">
        <v>254</v>
      </c>
      <c r="D723" s="176" t="s">
        <v>255</v>
      </c>
      <c r="E723" s="177" t="s">
        <v>368</v>
      </c>
      <c r="F723" s="175">
        <f t="shared" si="23"/>
        <v>13</v>
      </c>
      <c r="G723" s="175" t="str">
        <f t="shared" si="24"/>
        <v>San Antonio</v>
      </c>
      <c r="H723" s="175"/>
      <c r="I723" s="178" t="s">
        <v>1629</v>
      </c>
      <c r="J723" s="27" t="s">
        <v>255</v>
      </c>
      <c r="K723" s="27">
        <v>2996</v>
      </c>
      <c r="L723" s="179">
        <v>1644</v>
      </c>
      <c r="M723" s="180" t="s">
        <v>982</v>
      </c>
      <c r="N723" s="181" t="s">
        <v>255</v>
      </c>
      <c r="O723" s="182" t="s">
        <v>983</v>
      </c>
    </row>
    <row r="724" spans="2:15">
      <c r="B724" s="174" t="s">
        <v>1720</v>
      </c>
      <c r="C724" s="175" t="s">
        <v>254</v>
      </c>
      <c r="D724" s="176" t="s">
        <v>255</v>
      </c>
      <c r="E724" s="177" t="s">
        <v>1721</v>
      </c>
      <c r="F724" s="175">
        <f t="shared" si="23"/>
        <v>16</v>
      </c>
      <c r="G724" s="175" t="str">
        <f t="shared" si="24"/>
        <v>Corpus Christi</v>
      </c>
      <c r="H724" s="175"/>
      <c r="I724" s="178" t="s">
        <v>1722</v>
      </c>
      <c r="J724" s="27" t="s">
        <v>255</v>
      </c>
      <c r="K724" s="27">
        <v>3439</v>
      </c>
      <c r="L724" s="179">
        <v>1016</v>
      </c>
      <c r="M724" s="180" t="s">
        <v>1723</v>
      </c>
      <c r="N724" s="181" t="s">
        <v>255</v>
      </c>
      <c r="O724" s="182" t="s">
        <v>1724</v>
      </c>
    </row>
    <row r="725" spans="2:15">
      <c r="B725" s="174" t="s">
        <v>1725</v>
      </c>
      <c r="C725" s="175" t="s">
        <v>254</v>
      </c>
      <c r="D725" s="176" t="s">
        <v>255</v>
      </c>
      <c r="E725" s="177" t="s">
        <v>1721</v>
      </c>
      <c r="F725" s="175">
        <f t="shared" si="23"/>
        <v>16</v>
      </c>
      <c r="G725" s="175" t="str">
        <f t="shared" si="24"/>
        <v>Corpus Christi</v>
      </c>
      <c r="H725" s="175"/>
      <c r="I725" s="178" t="s">
        <v>1722</v>
      </c>
      <c r="J725" s="27" t="s">
        <v>255</v>
      </c>
      <c r="K725" s="27">
        <v>3439</v>
      </c>
      <c r="L725" s="179">
        <v>1016</v>
      </c>
      <c r="M725" s="180" t="s">
        <v>1723</v>
      </c>
      <c r="N725" s="181" t="s">
        <v>255</v>
      </c>
      <c r="O725" s="182" t="s">
        <v>1724</v>
      </c>
    </row>
    <row r="726" spans="2:15">
      <c r="B726" s="174" t="s">
        <v>1362</v>
      </c>
      <c r="C726" s="175" t="s">
        <v>254</v>
      </c>
      <c r="D726" s="176" t="s">
        <v>255</v>
      </c>
      <c r="E726" s="177" t="s">
        <v>1363</v>
      </c>
      <c r="F726" s="175">
        <f t="shared" si="23"/>
        <v>13</v>
      </c>
      <c r="G726" s="175" t="str">
        <f t="shared" si="24"/>
        <v>Brownsville</v>
      </c>
      <c r="H726" s="175"/>
      <c r="I726" s="178" t="s">
        <v>1364</v>
      </c>
      <c r="J726" s="27" t="s">
        <v>255</v>
      </c>
      <c r="K726" s="27">
        <v>3888</v>
      </c>
      <c r="L726" s="179">
        <v>635</v>
      </c>
      <c r="M726" s="180" t="s">
        <v>1365</v>
      </c>
      <c r="N726" s="181" t="s">
        <v>255</v>
      </c>
      <c r="O726" s="182" t="s">
        <v>1366</v>
      </c>
    </row>
    <row r="727" spans="2:15">
      <c r="B727" s="174" t="s">
        <v>1627</v>
      </c>
      <c r="C727" s="175" t="s">
        <v>254</v>
      </c>
      <c r="D727" s="176" t="s">
        <v>255</v>
      </c>
      <c r="E727" s="177" t="s">
        <v>1628</v>
      </c>
      <c r="F727" s="175">
        <f t="shared" si="23"/>
        <v>8</v>
      </c>
      <c r="G727" s="175" t="str">
        <f t="shared" si="24"/>
        <v>Austin</v>
      </c>
      <c r="H727" s="175"/>
      <c r="I727" s="178" t="s">
        <v>1629</v>
      </c>
      <c r="J727" s="27" t="s">
        <v>255</v>
      </c>
      <c r="K727" s="27">
        <v>2996</v>
      </c>
      <c r="L727" s="179">
        <v>1644</v>
      </c>
      <c r="M727" s="180" t="s">
        <v>1630</v>
      </c>
      <c r="N727" s="181" t="s">
        <v>255</v>
      </c>
      <c r="O727" s="182" t="s">
        <v>1631</v>
      </c>
    </row>
    <row r="728" spans="2:15">
      <c r="B728" s="174" t="s">
        <v>1632</v>
      </c>
      <c r="C728" s="175" t="s">
        <v>254</v>
      </c>
      <c r="D728" s="176" t="s">
        <v>255</v>
      </c>
      <c r="E728" s="177" t="s">
        <v>1628</v>
      </c>
      <c r="F728" s="175">
        <f t="shared" si="23"/>
        <v>8</v>
      </c>
      <c r="G728" s="175" t="str">
        <f t="shared" si="24"/>
        <v>Austin</v>
      </c>
      <c r="H728" s="175"/>
      <c r="I728" s="178" t="s">
        <v>1633</v>
      </c>
      <c r="J728" s="27" t="s">
        <v>255</v>
      </c>
      <c r="K728" s="27">
        <v>3016</v>
      </c>
      <c r="L728" s="179">
        <v>1688</v>
      </c>
      <c r="M728" s="180" t="s">
        <v>1630</v>
      </c>
      <c r="N728" s="181" t="s">
        <v>255</v>
      </c>
      <c r="O728" s="182" t="s">
        <v>1631</v>
      </c>
    </row>
    <row r="729" spans="2:15">
      <c r="B729" s="174" t="s">
        <v>1849</v>
      </c>
      <c r="C729" s="175" t="s">
        <v>254</v>
      </c>
      <c r="D729" s="176" t="s">
        <v>255</v>
      </c>
      <c r="E729" s="177" t="s">
        <v>1850</v>
      </c>
      <c r="F729" s="175">
        <f t="shared" si="23"/>
        <v>8</v>
      </c>
      <c r="G729" s="175" t="str">
        <f t="shared" si="24"/>
        <v>Uvalde</v>
      </c>
      <c r="H729" s="175"/>
      <c r="I729" s="178" t="s">
        <v>1851</v>
      </c>
      <c r="J729" s="27" t="s">
        <v>255</v>
      </c>
      <c r="K729" s="27">
        <v>3142</v>
      </c>
      <c r="L729" s="179">
        <v>1506</v>
      </c>
      <c r="M729" s="180" t="s">
        <v>982</v>
      </c>
      <c r="N729" s="181" t="s">
        <v>255</v>
      </c>
      <c r="O729" s="182" t="s">
        <v>983</v>
      </c>
    </row>
    <row r="730" spans="2:15">
      <c r="B730" s="174" t="s">
        <v>2075</v>
      </c>
      <c r="C730" s="175" t="s">
        <v>254</v>
      </c>
      <c r="D730" s="176" t="s">
        <v>255</v>
      </c>
      <c r="E730" s="177" t="s">
        <v>2076</v>
      </c>
      <c r="F730" s="175">
        <f t="shared" si="23"/>
        <v>10</v>
      </c>
      <c r="G730" s="175" t="str">
        <f t="shared" si="24"/>
        <v>Giddings</v>
      </c>
      <c r="H730" s="175"/>
      <c r="I730" s="178" t="s">
        <v>1633</v>
      </c>
      <c r="J730" s="27" t="s">
        <v>255</v>
      </c>
      <c r="K730" s="27">
        <v>3016</v>
      </c>
      <c r="L730" s="179">
        <v>1688</v>
      </c>
      <c r="M730" s="180" t="s">
        <v>1630</v>
      </c>
      <c r="N730" s="181" t="s">
        <v>255</v>
      </c>
      <c r="O730" s="182" t="s">
        <v>1631</v>
      </c>
    </row>
    <row r="731" spans="2:15">
      <c r="B731" s="174" t="s">
        <v>268</v>
      </c>
      <c r="C731" s="175" t="s">
        <v>254</v>
      </c>
      <c r="D731" s="176" t="s">
        <v>255</v>
      </c>
      <c r="E731" s="177" t="s">
        <v>269</v>
      </c>
      <c r="F731" s="175">
        <f t="shared" si="23"/>
        <v>8</v>
      </c>
      <c r="G731" s="175" t="str">
        <f t="shared" si="24"/>
        <v>Adrian</v>
      </c>
      <c r="H731" s="175"/>
      <c r="I731" s="178" t="s">
        <v>270</v>
      </c>
      <c r="J731" s="27" t="s">
        <v>255</v>
      </c>
      <c r="K731" s="27">
        <v>1354</v>
      </c>
      <c r="L731" s="179">
        <v>4258</v>
      </c>
      <c r="M731" s="180" t="s">
        <v>271</v>
      </c>
      <c r="N731" s="181" t="s">
        <v>255</v>
      </c>
      <c r="O731" s="182" t="s">
        <v>272</v>
      </c>
    </row>
    <row r="732" spans="2:15">
      <c r="B732" s="174" t="s">
        <v>458</v>
      </c>
      <c r="C732" s="175" t="s">
        <v>254</v>
      </c>
      <c r="D732" s="176" t="s">
        <v>255</v>
      </c>
      <c r="E732" s="177" t="s">
        <v>459</v>
      </c>
      <c r="F732" s="175">
        <f t="shared" si="23"/>
        <v>10</v>
      </c>
      <c r="G732" s="175" t="str">
        <f t="shared" si="24"/>
        <v>Amarillo</v>
      </c>
      <c r="H732" s="175"/>
      <c r="I732" s="178" t="s">
        <v>270</v>
      </c>
      <c r="J732" s="27" t="s">
        <v>255</v>
      </c>
      <c r="K732" s="27">
        <v>1354</v>
      </c>
      <c r="L732" s="179">
        <v>4258</v>
      </c>
      <c r="M732" s="180" t="s">
        <v>271</v>
      </c>
      <c r="N732" s="181" t="s">
        <v>255</v>
      </c>
      <c r="O732" s="182" t="s">
        <v>272</v>
      </c>
    </row>
    <row r="733" spans="2:15">
      <c r="B733" s="174" t="s">
        <v>2477</v>
      </c>
      <c r="C733" s="175" t="s">
        <v>254</v>
      </c>
      <c r="D733" s="176" t="s">
        <v>255</v>
      </c>
      <c r="E733" s="177" t="s">
        <v>2478</v>
      </c>
      <c r="F733" s="175">
        <f t="shared" si="23"/>
        <v>11</v>
      </c>
      <c r="G733" s="175" t="str">
        <f t="shared" si="24"/>
        <v>Childress</v>
      </c>
      <c r="H733" s="175"/>
      <c r="I733" s="178" t="s">
        <v>2479</v>
      </c>
      <c r="J733" s="27" t="s">
        <v>255</v>
      </c>
      <c r="K733" s="27">
        <v>1689</v>
      </c>
      <c r="L733" s="179">
        <v>3431</v>
      </c>
      <c r="M733" s="180" t="s">
        <v>2480</v>
      </c>
      <c r="N733" s="181" t="s">
        <v>255</v>
      </c>
      <c r="O733" s="182" t="s">
        <v>2481</v>
      </c>
    </row>
    <row r="734" spans="2:15">
      <c r="B734" s="174" t="s">
        <v>2215</v>
      </c>
      <c r="C734" s="175" t="s">
        <v>254</v>
      </c>
      <c r="D734" s="176" t="s">
        <v>255</v>
      </c>
      <c r="E734" s="177" t="s">
        <v>2216</v>
      </c>
      <c r="F734" s="175">
        <f t="shared" si="23"/>
        <v>9</v>
      </c>
      <c r="G734" s="175" t="str">
        <f t="shared" si="24"/>
        <v>Lubbock</v>
      </c>
      <c r="H734" s="175"/>
      <c r="I734" s="178" t="s">
        <v>2479</v>
      </c>
      <c r="J734" s="27" t="s">
        <v>255</v>
      </c>
      <c r="K734" s="27">
        <v>1689</v>
      </c>
      <c r="L734" s="179">
        <v>3431</v>
      </c>
      <c r="M734" s="180" t="s">
        <v>2480</v>
      </c>
      <c r="N734" s="181" t="s">
        <v>255</v>
      </c>
      <c r="O734" s="182" t="s">
        <v>2481</v>
      </c>
    </row>
    <row r="735" spans="2:15">
      <c r="B735" s="174" t="s">
        <v>2217</v>
      </c>
      <c r="C735" s="175" t="s">
        <v>254</v>
      </c>
      <c r="D735" s="176" t="s">
        <v>255</v>
      </c>
      <c r="E735" s="177" t="s">
        <v>2216</v>
      </c>
      <c r="F735" s="175">
        <f t="shared" si="23"/>
        <v>9</v>
      </c>
      <c r="G735" s="175" t="str">
        <f t="shared" si="24"/>
        <v>Lubbock</v>
      </c>
      <c r="H735" s="175"/>
      <c r="I735" s="178" t="s">
        <v>2479</v>
      </c>
      <c r="J735" s="27" t="s">
        <v>255</v>
      </c>
      <c r="K735" s="27">
        <v>1689</v>
      </c>
      <c r="L735" s="179">
        <v>3431</v>
      </c>
      <c r="M735" s="180" t="s">
        <v>2480</v>
      </c>
      <c r="N735" s="181" t="s">
        <v>255</v>
      </c>
      <c r="O735" s="182" t="s">
        <v>2481</v>
      </c>
    </row>
    <row r="736" spans="2:15">
      <c r="B736" s="174" t="s">
        <v>253</v>
      </c>
      <c r="C736" s="175" t="s">
        <v>254</v>
      </c>
      <c r="D736" s="176" t="s">
        <v>255</v>
      </c>
      <c r="E736" s="177" t="s">
        <v>256</v>
      </c>
      <c r="F736" s="175">
        <f t="shared" si="23"/>
        <v>9</v>
      </c>
      <c r="G736" s="175" t="str">
        <f t="shared" si="24"/>
        <v>Abilene</v>
      </c>
      <c r="H736" s="175"/>
      <c r="I736" s="178" t="s">
        <v>257</v>
      </c>
      <c r="J736" s="27" t="s">
        <v>255</v>
      </c>
      <c r="K736" s="27">
        <v>2451</v>
      </c>
      <c r="L736" s="179">
        <v>2584</v>
      </c>
      <c r="M736" s="180" t="s">
        <v>258</v>
      </c>
      <c r="N736" s="181" t="s">
        <v>255</v>
      </c>
      <c r="O736" s="182" t="s">
        <v>259</v>
      </c>
    </row>
    <row r="737" spans="2:15">
      <c r="B737" s="174" t="s">
        <v>260</v>
      </c>
      <c r="C737" s="175" t="s">
        <v>254</v>
      </c>
      <c r="D737" s="176" t="s">
        <v>255</v>
      </c>
      <c r="E737" s="177" t="s">
        <v>256</v>
      </c>
      <c r="F737" s="175">
        <f t="shared" si="23"/>
        <v>9</v>
      </c>
      <c r="G737" s="175" t="str">
        <f t="shared" si="24"/>
        <v>Abilene</v>
      </c>
      <c r="H737" s="175"/>
      <c r="I737" s="178" t="s">
        <v>257</v>
      </c>
      <c r="J737" s="27" t="s">
        <v>255</v>
      </c>
      <c r="K737" s="27">
        <v>2451</v>
      </c>
      <c r="L737" s="179">
        <v>2584</v>
      </c>
      <c r="M737" s="180" t="s">
        <v>258</v>
      </c>
      <c r="N737" s="181" t="s">
        <v>255</v>
      </c>
      <c r="O737" s="182" t="s">
        <v>259</v>
      </c>
    </row>
    <row r="738" spans="2:15">
      <c r="B738" s="174" t="s">
        <v>151</v>
      </c>
      <c r="C738" s="175" t="s">
        <v>254</v>
      </c>
      <c r="D738" s="176" t="s">
        <v>255</v>
      </c>
      <c r="E738" s="177" t="s">
        <v>152</v>
      </c>
      <c r="F738" s="175">
        <f t="shared" si="23"/>
        <v>9</v>
      </c>
      <c r="G738" s="175" t="str">
        <f t="shared" si="24"/>
        <v>Midland</v>
      </c>
      <c r="H738" s="175"/>
      <c r="I738" s="178" t="s">
        <v>44</v>
      </c>
      <c r="J738" s="27" t="s">
        <v>255</v>
      </c>
      <c r="K738" s="27">
        <v>2094</v>
      </c>
      <c r="L738" s="179">
        <v>2708</v>
      </c>
      <c r="M738" s="180" t="s">
        <v>153</v>
      </c>
      <c r="N738" s="181" t="s">
        <v>255</v>
      </c>
      <c r="O738" s="182" t="s">
        <v>154</v>
      </c>
    </row>
    <row r="739" spans="2:15">
      <c r="B739" s="174" t="s">
        <v>38</v>
      </c>
      <c r="C739" s="175" t="s">
        <v>254</v>
      </c>
      <c r="D739" s="176" t="s">
        <v>255</v>
      </c>
      <c r="E739" s="177" t="s">
        <v>39</v>
      </c>
      <c r="F739" s="175">
        <f t="shared" si="23"/>
        <v>9</v>
      </c>
      <c r="G739" s="175" t="str">
        <f t="shared" si="24"/>
        <v>El Paso</v>
      </c>
      <c r="H739" s="175"/>
      <c r="I739" s="178" t="s">
        <v>40</v>
      </c>
      <c r="J739" s="27" t="s">
        <v>255</v>
      </c>
      <c r="K739" s="27">
        <v>2163</v>
      </c>
      <c r="L739" s="179">
        <v>2751</v>
      </c>
      <c r="M739" s="180" t="s">
        <v>41</v>
      </c>
      <c r="N739" s="181" t="s">
        <v>255</v>
      </c>
      <c r="O739" s="182" t="s">
        <v>42</v>
      </c>
    </row>
    <row r="740" spans="2:15">
      <c r="B740" s="174" t="s">
        <v>43</v>
      </c>
      <c r="C740" s="175" t="s">
        <v>254</v>
      </c>
      <c r="D740" s="176" t="s">
        <v>255</v>
      </c>
      <c r="E740" s="177" t="s">
        <v>39</v>
      </c>
      <c r="F740" s="175">
        <f t="shared" si="23"/>
        <v>9</v>
      </c>
      <c r="G740" s="175" t="str">
        <f t="shared" si="24"/>
        <v>El Paso</v>
      </c>
      <c r="H740" s="175"/>
      <c r="I740" s="178" t="s">
        <v>44</v>
      </c>
      <c r="J740" s="27" t="s">
        <v>255</v>
      </c>
      <c r="K740" s="27">
        <v>2094</v>
      </c>
      <c r="L740" s="179">
        <v>2708</v>
      </c>
      <c r="M740" s="180" t="s">
        <v>41</v>
      </c>
      <c r="N740" s="181" t="s">
        <v>255</v>
      </c>
      <c r="O740" s="182" t="s">
        <v>42</v>
      </c>
    </row>
    <row r="741" spans="2:15">
      <c r="B741" s="174" t="s">
        <v>1766</v>
      </c>
      <c r="C741" s="175" t="s">
        <v>393</v>
      </c>
      <c r="D741" s="176" t="s">
        <v>394</v>
      </c>
      <c r="E741" s="177" t="s">
        <v>1767</v>
      </c>
      <c r="F741" s="175">
        <f t="shared" si="23"/>
        <v>8</v>
      </c>
      <c r="G741" s="175" t="str">
        <f t="shared" si="24"/>
        <v>Denver</v>
      </c>
      <c r="H741" s="175"/>
      <c r="I741" s="178" t="s">
        <v>611</v>
      </c>
      <c r="J741" s="27" t="s">
        <v>394</v>
      </c>
      <c r="K741" s="27">
        <v>679</v>
      </c>
      <c r="L741" s="179">
        <v>6020</v>
      </c>
      <c r="M741" s="180" t="s">
        <v>612</v>
      </c>
      <c r="N741" s="181" t="s">
        <v>394</v>
      </c>
      <c r="O741" s="182" t="s">
        <v>613</v>
      </c>
    </row>
    <row r="742" spans="2:15">
      <c r="B742" s="174" t="s">
        <v>1768</v>
      </c>
      <c r="C742" s="175" t="s">
        <v>393</v>
      </c>
      <c r="D742" s="176" t="s">
        <v>394</v>
      </c>
      <c r="E742" s="177" t="s">
        <v>1767</v>
      </c>
      <c r="F742" s="175">
        <f t="shared" si="23"/>
        <v>8</v>
      </c>
      <c r="G742" s="175" t="str">
        <f t="shared" si="24"/>
        <v>Denver</v>
      </c>
      <c r="H742" s="175"/>
      <c r="I742" s="178" t="s">
        <v>611</v>
      </c>
      <c r="J742" s="27" t="s">
        <v>394</v>
      </c>
      <c r="K742" s="27">
        <v>679</v>
      </c>
      <c r="L742" s="179">
        <v>6020</v>
      </c>
      <c r="M742" s="180" t="s">
        <v>612</v>
      </c>
      <c r="N742" s="181" t="s">
        <v>394</v>
      </c>
      <c r="O742" s="182" t="s">
        <v>613</v>
      </c>
    </row>
    <row r="743" spans="2:15">
      <c r="B743" s="174" t="s">
        <v>1769</v>
      </c>
      <c r="C743" s="175" t="s">
        <v>393</v>
      </c>
      <c r="D743" s="176" t="s">
        <v>394</v>
      </c>
      <c r="E743" s="177" t="s">
        <v>1767</v>
      </c>
      <c r="F743" s="175">
        <f t="shared" si="23"/>
        <v>8</v>
      </c>
      <c r="G743" s="175" t="str">
        <f t="shared" si="24"/>
        <v>Denver</v>
      </c>
      <c r="H743" s="175"/>
      <c r="I743" s="178" t="s">
        <v>611</v>
      </c>
      <c r="J743" s="27" t="s">
        <v>394</v>
      </c>
      <c r="K743" s="27">
        <v>679</v>
      </c>
      <c r="L743" s="179">
        <v>6020</v>
      </c>
      <c r="M743" s="180" t="s">
        <v>612</v>
      </c>
      <c r="N743" s="181" t="s">
        <v>394</v>
      </c>
      <c r="O743" s="182" t="s">
        <v>613</v>
      </c>
    </row>
    <row r="744" spans="2:15">
      <c r="B744" s="174" t="s">
        <v>609</v>
      </c>
      <c r="C744" s="175" t="s">
        <v>393</v>
      </c>
      <c r="D744" s="176" t="s">
        <v>394</v>
      </c>
      <c r="E744" s="177" t="s">
        <v>610</v>
      </c>
      <c r="F744" s="175">
        <f t="shared" si="23"/>
        <v>9</v>
      </c>
      <c r="G744" s="175" t="str">
        <f t="shared" si="24"/>
        <v>Boulder</v>
      </c>
      <c r="H744" s="175"/>
      <c r="I744" s="178" t="s">
        <v>611</v>
      </c>
      <c r="J744" s="27" t="s">
        <v>394</v>
      </c>
      <c r="K744" s="27">
        <v>679</v>
      </c>
      <c r="L744" s="179">
        <v>6020</v>
      </c>
      <c r="M744" s="180" t="s">
        <v>612</v>
      </c>
      <c r="N744" s="181" t="s">
        <v>394</v>
      </c>
      <c r="O744" s="182" t="s">
        <v>613</v>
      </c>
    </row>
    <row r="745" spans="2:15">
      <c r="B745" s="174" t="s">
        <v>2090</v>
      </c>
      <c r="C745" s="175" t="s">
        <v>393</v>
      </c>
      <c r="D745" s="176" t="s">
        <v>394</v>
      </c>
      <c r="E745" s="177" t="s">
        <v>2091</v>
      </c>
      <c r="F745" s="175">
        <f t="shared" si="23"/>
        <v>15</v>
      </c>
      <c r="G745" s="175" t="str">
        <f t="shared" si="24"/>
        <v>Golden/Dillon</v>
      </c>
      <c r="H745" s="175"/>
      <c r="I745" s="178" t="s">
        <v>611</v>
      </c>
      <c r="J745" s="27" t="s">
        <v>394</v>
      </c>
      <c r="K745" s="27">
        <v>679</v>
      </c>
      <c r="L745" s="179">
        <v>6020</v>
      </c>
      <c r="M745" s="180" t="s">
        <v>612</v>
      </c>
      <c r="N745" s="181" t="s">
        <v>394</v>
      </c>
      <c r="O745" s="182" t="s">
        <v>613</v>
      </c>
    </row>
    <row r="746" spans="2:15">
      <c r="B746" s="174" t="s">
        <v>2203</v>
      </c>
      <c r="C746" s="175" t="s">
        <v>393</v>
      </c>
      <c r="D746" s="176" t="s">
        <v>394</v>
      </c>
      <c r="E746" s="177" t="s">
        <v>2204</v>
      </c>
      <c r="F746" s="175">
        <f t="shared" si="23"/>
        <v>10</v>
      </c>
      <c r="G746" s="175" t="str">
        <f t="shared" si="24"/>
        <v>Longmont</v>
      </c>
      <c r="H746" s="175"/>
      <c r="I746" s="178" t="s">
        <v>611</v>
      </c>
      <c r="J746" s="27" t="s">
        <v>394</v>
      </c>
      <c r="K746" s="27">
        <v>679</v>
      </c>
      <c r="L746" s="179">
        <v>6020</v>
      </c>
      <c r="M746" s="180" t="s">
        <v>612</v>
      </c>
      <c r="N746" s="181" t="s">
        <v>394</v>
      </c>
      <c r="O746" s="182" t="s">
        <v>613</v>
      </c>
    </row>
    <row r="747" spans="2:15">
      <c r="B747" s="174" t="s">
        <v>2112</v>
      </c>
      <c r="C747" s="175" t="s">
        <v>393</v>
      </c>
      <c r="D747" s="176" t="s">
        <v>394</v>
      </c>
      <c r="E747" s="177" t="s">
        <v>2113</v>
      </c>
      <c r="F747" s="175">
        <f t="shared" si="23"/>
        <v>9</v>
      </c>
      <c r="G747" s="175" t="str">
        <f t="shared" si="24"/>
        <v>Greeley</v>
      </c>
      <c r="H747" s="175"/>
      <c r="I747" s="178" t="s">
        <v>611</v>
      </c>
      <c r="J747" s="27" t="s">
        <v>394</v>
      </c>
      <c r="K747" s="27">
        <v>679</v>
      </c>
      <c r="L747" s="179">
        <v>6020</v>
      </c>
      <c r="M747" s="180" t="s">
        <v>612</v>
      </c>
      <c r="N747" s="181" t="s">
        <v>394</v>
      </c>
      <c r="O747" s="182" t="s">
        <v>613</v>
      </c>
    </row>
    <row r="748" spans="2:15">
      <c r="B748" s="174" t="s">
        <v>2015</v>
      </c>
      <c r="C748" s="175" t="s">
        <v>393</v>
      </c>
      <c r="D748" s="176" t="s">
        <v>394</v>
      </c>
      <c r="E748" s="177" t="s">
        <v>2016</v>
      </c>
      <c r="F748" s="175">
        <f t="shared" si="23"/>
        <v>13</v>
      </c>
      <c r="G748" s="175" t="str">
        <f t="shared" si="24"/>
        <v>Fort Morgan</v>
      </c>
      <c r="H748" s="175"/>
      <c r="I748" s="178" t="s">
        <v>1575</v>
      </c>
      <c r="J748" s="27" t="s">
        <v>394</v>
      </c>
      <c r="K748" s="27">
        <v>419</v>
      </c>
      <c r="L748" s="179">
        <v>6415</v>
      </c>
      <c r="M748" s="178" t="s">
        <v>397</v>
      </c>
      <c r="N748" s="27" t="s">
        <v>394</v>
      </c>
      <c r="O748" s="182" t="s">
        <v>398</v>
      </c>
    </row>
    <row r="749" spans="2:15">
      <c r="B749" s="174" t="s">
        <v>1573</v>
      </c>
      <c r="C749" s="175" t="s">
        <v>393</v>
      </c>
      <c r="D749" s="176" t="s">
        <v>394</v>
      </c>
      <c r="E749" s="177" t="s">
        <v>1574</v>
      </c>
      <c r="F749" s="175">
        <f t="shared" si="23"/>
        <v>18</v>
      </c>
      <c r="G749" s="175" t="str">
        <f t="shared" si="24"/>
        <v>Colorado Springs</v>
      </c>
      <c r="H749" s="175"/>
      <c r="I749" s="178" t="s">
        <v>1575</v>
      </c>
      <c r="J749" s="27" t="s">
        <v>394</v>
      </c>
      <c r="K749" s="27">
        <v>419</v>
      </c>
      <c r="L749" s="179">
        <v>6415</v>
      </c>
      <c r="M749" s="178" t="s">
        <v>397</v>
      </c>
      <c r="N749" s="27" t="s">
        <v>394</v>
      </c>
      <c r="O749" s="182" t="s">
        <v>398</v>
      </c>
    </row>
    <row r="750" spans="2:15">
      <c r="B750" s="174" t="s">
        <v>1576</v>
      </c>
      <c r="C750" s="175" t="s">
        <v>393</v>
      </c>
      <c r="D750" s="176" t="s">
        <v>394</v>
      </c>
      <c r="E750" s="177" t="s">
        <v>1574</v>
      </c>
      <c r="F750" s="175">
        <f t="shared" si="23"/>
        <v>18</v>
      </c>
      <c r="G750" s="175" t="str">
        <f t="shared" si="24"/>
        <v>Colorado Springs</v>
      </c>
      <c r="H750" s="175"/>
      <c r="I750" s="178" t="s">
        <v>1575</v>
      </c>
      <c r="J750" s="27" t="s">
        <v>394</v>
      </c>
      <c r="K750" s="27">
        <v>419</v>
      </c>
      <c r="L750" s="179">
        <v>6415</v>
      </c>
      <c r="M750" s="178" t="s">
        <v>397</v>
      </c>
      <c r="N750" s="27" t="s">
        <v>394</v>
      </c>
      <c r="O750" s="182" t="s">
        <v>398</v>
      </c>
    </row>
    <row r="751" spans="2:15">
      <c r="B751" s="174" t="s">
        <v>2589</v>
      </c>
      <c r="C751" s="175" t="s">
        <v>393</v>
      </c>
      <c r="D751" s="176" t="s">
        <v>394</v>
      </c>
      <c r="E751" s="177" t="s">
        <v>2590</v>
      </c>
      <c r="F751" s="175">
        <f t="shared" si="23"/>
        <v>8</v>
      </c>
      <c r="G751" s="175" t="str">
        <f t="shared" si="24"/>
        <v>Pueblo</v>
      </c>
      <c r="H751" s="175"/>
      <c r="I751" s="178" t="s">
        <v>2160</v>
      </c>
      <c r="J751" s="27" t="s">
        <v>394</v>
      </c>
      <c r="K751" s="27">
        <v>973</v>
      </c>
      <c r="L751" s="179">
        <v>5413</v>
      </c>
      <c r="M751" s="180" t="s">
        <v>2161</v>
      </c>
      <c r="N751" s="181" t="s">
        <v>394</v>
      </c>
      <c r="O751" s="182" t="s">
        <v>2162</v>
      </c>
    </row>
    <row r="752" spans="2:15">
      <c r="B752" s="174" t="s">
        <v>392</v>
      </c>
      <c r="C752" s="175" t="s">
        <v>393</v>
      </c>
      <c r="D752" s="176" t="s">
        <v>394</v>
      </c>
      <c r="E752" s="177" t="s">
        <v>395</v>
      </c>
      <c r="F752" s="175">
        <f t="shared" si="23"/>
        <v>9</v>
      </c>
      <c r="G752" s="175" t="str">
        <f t="shared" si="24"/>
        <v>Alamosa</v>
      </c>
      <c r="H752" s="175"/>
      <c r="I752" s="178" t="s">
        <v>396</v>
      </c>
      <c r="J752" s="27" t="s">
        <v>394</v>
      </c>
      <c r="K752" s="27">
        <v>62</v>
      </c>
      <c r="L752" s="179">
        <v>8749</v>
      </c>
      <c r="M752" s="178" t="s">
        <v>397</v>
      </c>
      <c r="N752" s="27" t="s">
        <v>394</v>
      </c>
      <c r="O752" s="182" t="s">
        <v>398</v>
      </c>
    </row>
    <row r="753" spans="2:15">
      <c r="B753" s="174" t="s">
        <v>351</v>
      </c>
      <c r="C753" s="175" t="s">
        <v>393</v>
      </c>
      <c r="D753" s="176" t="s">
        <v>394</v>
      </c>
      <c r="E753" s="177" t="s">
        <v>352</v>
      </c>
      <c r="F753" s="175">
        <f t="shared" si="23"/>
        <v>8</v>
      </c>
      <c r="G753" s="175" t="str">
        <f t="shared" si="24"/>
        <v>Salida</v>
      </c>
      <c r="H753" s="175"/>
      <c r="I753" s="178" t="s">
        <v>396</v>
      </c>
      <c r="J753" s="27" t="s">
        <v>394</v>
      </c>
      <c r="K753" s="27">
        <v>62</v>
      </c>
      <c r="L753" s="179">
        <v>8749</v>
      </c>
      <c r="M753" s="180" t="s">
        <v>2161</v>
      </c>
      <c r="N753" s="181" t="s">
        <v>394</v>
      </c>
      <c r="O753" s="182" t="s">
        <v>2162</v>
      </c>
    </row>
    <row r="754" spans="2:15">
      <c r="B754" s="174" t="s">
        <v>1813</v>
      </c>
      <c r="C754" s="175" t="s">
        <v>393</v>
      </c>
      <c r="D754" s="176" t="s">
        <v>394</v>
      </c>
      <c r="E754" s="177" t="s">
        <v>1814</v>
      </c>
      <c r="F754" s="175">
        <f t="shared" si="23"/>
        <v>9</v>
      </c>
      <c r="G754" s="175" t="str">
        <f t="shared" si="24"/>
        <v>Durango</v>
      </c>
      <c r="H754" s="175"/>
      <c r="I754" s="178" t="s">
        <v>1815</v>
      </c>
      <c r="J754" s="27" t="s">
        <v>394</v>
      </c>
      <c r="K754" s="27">
        <v>1183</v>
      </c>
      <c r="L754" s="179">
        <v>5548</v>
      </c>
      <c r="M754" s="178" t="s">
        <v>1816</v>
      </c>
      <c r="N754" s="27" t="s">
        <v>394</v>
      </c>
      <c r="O754" s="182" t="s">
        <v>1817</v>
      </c>
    </row>
    <row r="755" spans="2:15">
      <c r="B755" s="174" t="s">
        <v>1100</v>
      </c>
      <c r="C755" s="175" t="s">
        <v>393</v>
      </c>
      <c r="D755" s="176" t="s">
        <v>394</v>
      </c>
      <c r="E755" s="177" t="s">
        <v>1101</v>
      </c>
      <c r="F755" s="175">
        <f t="shared" si="23"/>
        <v>10</v>
      </c>
      <c r="G755" s="175" t="str">
        <f t="shared" si="24"/>
        <v>Montrose</v>
      </c>
      <c r="H755" s="175"/>
      <c r="I755" s="178" t="s">
        <v>1815</v>
      </c>
      <c r="J755" s="27" t="s">
        <v>394</v>
      </c>
      <c r="K755" s="27">
        <v>1183</v>
      </c>
      <c r="L755" s="179">
        <v>5548</v>
      </c>
      <c r="M755" s="178" t="s">
        <v>1816</v>
      </c>
      <c r="N755" s="27" t="s">
        <v>394</v>
      </c>
      <c r="O755" s="182" t="s">
        <v>1817</v>
      </c>
    </row>
    <row r="756" spans="2:15">
      <c r="B756" s="174" t="s">
        <v>2096</v>
      </c>
      <c r="C756" s="175" t="s">
        <v>393</v>
      </c>
      <c r="D756" s="176" t="s">
        <v>394</v>
      </c>
      <c r="E756" s="177" t="s">
        <v>2097</v>
      </c>
      <c r="F756" s="175">
        <f t="shared" si="23"/>
        <v>16</v>
      </c>
      <c r="G756" s="175" t="str">
        <f t="shared" si="24"/>
        <v>Grand Junction</v>
      </c>
      <c r="H756" s="175"/>
      <c r="I756" s="178" t="s">
        <v>1815</v>
      </c>
      <c r="J756" s="27" t="s">
        <v>394</v>
      </c>
      <c r="K756" s="27">
        <v>1183</v>
      </c>
      <c r="L756" s="179">
        <v>5548</v>
      </c>
      <c r="M756" s="178" t="s">
        <v>1816</v>
      </c>
      <c r="N756" s="27" t="s">
        <v>394</v>
      </c>
      <c r="O756" s="182" t="s">
        <v>1817</v>
      </c>
    </row>
    <row r="757" spans="2:15">
      <c r="B757" s="174" t="s">
        <v>2086</v>
      </c>
      <c r="C757" s="175" t="s">
        <v>393</v>
      </c>
      <c r="D757" s="176" t="s">
        <v>394</v>
      </c>
      <c r="E757" s="177" t="s">
        <v>2087</v>
      </c>
      <c r="F757" s="175">
        <f t="shared" si="23"/>
        <v>18</v>
      </c>
      <c r="G757" s="175" t="str">
        <f t="shared" si="24"/>
        <v>Glenwood Springs</v>
      </c>
      <c r="H757" s="175"/>
      <c r="I757" s="178" t="s">
        <v>1815</v>
      </c>
      <c r="J757" s="27" t="s">
        <v>394</v>
      </c>
      <c r="K757" s="27">
        <v>1183</v>
      </c>
      <c r="L757" s="179">
        <v>5548</v>
      </c>
      <c r="M757" s="178" t="s">
        <v>1816</v>
      </c>
      <c r="N757" s="27" t="s">
        <v>394</v>
      </c>
      <c r="O757" s="182" t="s">
        <v>1817</v>
      </c>
    </row>
    <row r="758" spans="2:15">
      <c r="B758" s="174" t="s">
        <v>2466</v>
      </c>
      <c r="C758" s="175" t="s">
        <v>1474</v>
      </c>
      <c r="D758" s="176" t="s">
        <v>1475</v>
      </c>
      <c r="E758" s="177" t="s">
        <v>2467</v>
      </c>
      <c r="F758" s="175">
        <f t="shared" si="23"/>
        <v>10</v>
      </c>
      <c r="G758" s="175" t="str">
        <f t="shared" si="24"/>
        <v>Cheyenne</v>
      </c>
      <c r="H758" s="175"/>
      <c r="I758" s="178" t="s">
        <v>2468</v>
      </c>
      <c r="J758" s="27" t="s">
        <v>1475</v>
      </c>
      <c r="K758" s="27">
        <v>285</v>
      </c>
      <c r="L758" s="179">
        <v>7326</v>
      </c>
      <c r="M758" s="180" t="s">
        <v>2469</v>
      </c>
      <c r="N758" s="181" t="s">
        <v>1475</v>
      </c>
      <c r="O758" s="182" t="s">
        <v>2470</v>
      </c>
    </row>
    <row r="759" spans="2:15">
      <c r="B759" s="174" t="s">
        <v>1926</v>
      </c>
      <c r="C759" s="175" t="s">
        <v>1474</v>
      </c>
      <c r="D759" s="176" t="s">
        <v>1475</v>
      </c>
      <c r="E759" s="177" t="s">
        <v>1927</v>
      </c>
      <c r="F759" s="175">
        <f t="shared" si="23"/>
        <v>20</v>
      </c>
      <c r="G759" s="175" t="str">
        <f t="shared" si="24"/>
        <v>Yellowstone Nat Pk</v>
      </c>
      <c r="H759" s="175"/>
      <c r="I759" s="178" t="s">
        <v>734</v>
      </c>
      <c r="J759" s="27" t="s">
        <v>1488</v>
      </c>
      <c r="K759" s="27">
        <v>386</v>
      </c>
      <c r="L759" s="179">
        <v>8031</v>
      </c>
      <c r="M759" s="180" t="s">
        <v>1417</v>
      </c>
      <c r="N759" s="181" t="s">
        <v>1488</v>
      </c>
      <c r="O759" s="182" t="s">
        <v>1418</v>
      </c>
    </row>
    <row r="760" spans="2:15">
      <c r="B760" s="174" t="s">
        <v>1912</v>
      </c>
      <c r="C760" s="175" t="s">
        <v>1474</v>
      </c>
      <c r="D760" s="176" t="s">
        <v>1475</v>
      </c>
      <c r="E760" s="177" t="s">
        <v>1913</v>
      </c>
      <c r="F760" s="175">
        <f t="shared" si="23"/>
        <v>11</v>
      </c>
      <c r="G760" s="175" t="str">
        <f t="shared" si="24"/>
        <v>Wheatland</v>
      </c>
      <c r="H760" s="175"/>
      <c r="I760" s="178" t="s">
        <v>1914</v>
      </c>
      <c r="J760" s="27" t="s">
        <v>448</v>
      </c>
      <c r="K760" s="27">
        <v>713</v>
      </c>
      <c r="L760" s="179">
        <v>6729</v>
      </c>
      <c r="M760" s="180" t="s">
        <v>2469</v>
      </c>
      <c r="N760" s="181" t="s">
        <v>1475</v>
      </c>
      <c r="O760" s="182" t="s">
        <v>2470</v>
      </c>
    </row>
    <row r="761" spans="2:15">
      <c r="B761" s="174" t="s">
        <v>2604</v>
      </c>
      <c r="C761" s="175" t="s">
        <v>1474</v>
      </c>
      <c r="D761" s="176" t="s">
        <v>1475</v>
      </c>
      <c r="E761" s="177" t="s">
        <v>2605</v>
      </c>
      <c r="F761" s="175">
        <f t="shared" si="23"/>
        <v>9</v>
      </c>
      <c r="G761" s="175" t="str">
        <f t="shared" si="24"/>
        <v>Rawlins</v>
      </c>
      <c r="H761" s="175"/>
      <c r="I761" s="178" t="s">
        <v>2468</v>
      </c>
      <c r="J761" s="27" t="s">
        <v>1475</v>
      </c>
      <c r="K761" s="27">
        <v>285</v>
      </c>
      <c r="L761" s="179">
        <v>7326</v>
      </c>
      <c r="M761" s="180" t="s">
        <v>2469</v>
      </c>
      <c r="N761" s="181" t="s">
        <v>1475</v>
      </c>
      <c r="O761" s="182" t="s">
        <v>2470</v>
      </c>
    </row>
    <row r="762" spans="2:15">
      <c r="B762" s="174" t="s">
        <v>1922</v>
      </c>
      <c r="C762" s="175" t="s">
        <v>1474</v>
      </c>
      <c r="D762" s="176" t="s">
        <v>1475</v>
      </c>
      <c r="E762" s="177" t="s">
        <v>1923</v>
      </c>
      <c r="F762" s="175">
        <f t="shared" si="23"/>
        <v>9</v>
      </c>
      <c r="G762" s="175" t="str">
        <f t="shared" si="24"/>
        <v>Worland</v>
      </c>
      <c r="H762" s="175"/>
      <c r="I762" s="178" t="s">
        <v>89</v>
      </c>
      <c r="J762" s="27" t="s">
        <v>1475</v>
      </c>
      <c r="K762" s="27">
        <v>479</v>
      </c>
      <c r="L762" s="179">
        <v>7889</v>
      </c>
      <c r="M762" s="180" t="s">
        <v>1478</v>
      </c>
      <c r="N762" s="181" t="s">
        <v>1475</v>
      </c>
      <c r="O762" s="182" t="s">
        <v>2418</v>
      </c>
    </row>
    <row r="763" spans="2:15">
      <c r="B763" s="174" t="s">
        <v>289</v>
      </c>
      <c r="C763" s="175" t="s">
        <v>1474</v>
      </c>
      <c r="D763" s="176" t="s">
        <v>1475</v>
      </c>
      <c r="E763" s="177" t="s">
        <v>290</v>
      </c>
      <c r="F763" s="175">
        <f t="shared" si="23"/>
        <v>10</v>
      </c>
      <c r="G763" s="175" t="str">
        <f t="shared" si="24"/>
        <v>Riverton</v>
      </c>
      <c r="H763" s="175"/>
      <c r="I763" s="178" t="s">
        <v>89</v>
      </c>
      <c r="J763" s="27" t="s">
        <v>1475</v>
      </c>
      <c r="K763" s="27">
        <v>479</v>
      </c>
      <c r="L763" s="179">
        <v>7889</v>
      </c>
      <c r="M763" s="180" t="s">
        <v>1478</v>
      </c>
      <c r="N763" s="181" t="s">
        <v>1475</v>
      </c>
      <c r="O763" s="182" t="s">
        <v>2418</v>
      </c>
    </row>
    <row r="764" spans="2:15">
      <c r="B764" s="174" t="s">
        <v>1473</v>
      </c>
      <c r="C764" s="175" t="s">
        <v>1474</v>
      </c>
      <c r="D764" s="176" t="s">
        <v>1475</v>
      </c>
      <c r="E764" s="177" t="s">
        <v>1476</v>
      </c>
      <c r="F764" s="175">
        <f t="shared" si="23"/>
        <v>8</v>
      </c>
      <c r="G764" s="175" t="str">
        <f t="shared" si="24"/>
        <v>Casper</v>
      </c>
      <c r="H764" s="175"/>
      <c r="I764" s="178" t="s">
        <v>1477</v>
      </c>
      <c r="J764" s="27" t="s">
        <v>1475</v>
      </c>
      <c r="K764" s="27">
        <v>439</v>
      </c>
      <c r="L764" s="179">
        <v>7804</v>
      </c>
      <c r="M764" s="180" t="s">
        <v>1478</v>
      </c>
      <c r="N764" s="181" t="s">
        <v>1475</v>
      </c>
      <c r="O764" s="182" t="s">
        <v>2418</v>
      </c>
    </row>
    <row r="765" spans="2:15">
      <c r="B765" s="174" t="s">
        <v>2077</v>
      </c>
      <c r="C765" s="175" t="s">
        <v>1474</v>
      </c>
      <c r="D765" s="176" t="s">
        <v>1475</v>
      </c>
      <c r="E765" s="177" t="s">
        <v>2078</v>
      </c>
      <c r="F765" s="175">
        <f t="shared" si="23"/>
        <v>10</v>
      </c>
      <c r="G765" s="175" t="str">
        <f t="shared" si="24"/>
        <v>Gillette</v>
      </c>
      <c r="H765" s="175"/>
      <c r="I765" s="178" t="s">
        <v>2079</v>
      </c>
      <c r="J765" s="27" t="s">
        <v>1475</v>
      </c>
      <c r="K765" s="27">
        <v>445</v>
      </c>
      <c r="L765" s="179">
        <v>7682</v>
      </c>
      <c r="M765" s="180" t="s">
        <v>1478</v>
      </c>
      <c r="N765" s="181" t="s">
        <v>1475</v>
      </c>
      <c r="O765" s="182" t="s">
        <v>2418</v>
      </c>
    </row>
    <row r="766" spans="2:15">
      <c r="B766" s="174" t="s">
        <v>1356</v>
      </c>
      <c r="C766" s="175" t="s">
        <v>1474</v>
      </c>
      <c r="D766" s="176" t="s">
        <v>1475</v>
      </c>
      <c r="E766" s="177" t="s">
        <v>1357</v>
      </c>
      <c r="F766" s="175">
        <f t="shared" si="23"/>
        <v>10</v>
      </c>
      <c r="G766" s="175" t="str">
        <f t="shared" si="24"/>
        <v>Sheridan</v>
      </c>
      <c r="H766" s="175"/>
      <c r="I766" s="178" t="s">
        <v>1477</v>
      </c>
      <c r="J766" s="27" t="s">
        <v>1475</v>
      </c>
      <c r="K766" s="27">
        <v>439</v>
      </c>
      <c r="L766" s="179">
        <v>7804</v>
      </c>
      <c r="M766" s="180" t="s">
        <v>1478</v>
      </c>
      <c r="N766" s="181" t="s">
        <v>1475</v>
      </c>
      <c r="O766" s="182" t="s">
        <v>2418</v>
      </c>
    </row>
    <row r="767" spans="2:15">
      <c r="B767" s="174" t="s">
        <v>301</v>
      </c>
      <c r="C767" s="175" t="s">
        <v>1474</v>
      </c>
      <c r="D767" s="176" t="s">
        <v>1475</v>
      </c>
      <c r="E767" s="177" t="s">
        <v>302</v>
      </c>
      <c r="F767" s="175">
        <f t="shared" si="23"/>
        <v>14</v>
      </c>
      <c r="G767" s="175" t="str">
        <f t="shared" si="24"/>
        <v>Rock Springs</v>
      </c>
      <c r="H767" s="175"/>
      <c r="I767" s="178" t="s">
        <v>89</v>
      </c>
      <c r="J767" s="27" t="s">
        <v>1475</v>
      </c>
      <c r="K767" s="27">
        <v>479</v>
      </c>
      <c r="L767" s="179">
        <v>7889</v>
      </c>
      <c r="M767" s="180" t="s">
        <v>1478</v>
      </c>
      <c r="N767" s="181" t="s">
        <v>1475</v>
      </c>
      <c r="O767" s="182" t="s">
        <v>2418</v>
      </c>
    </row>
    <row r="768" spans="2:15">
      <c r="B768" s="174" t="s">
        <v>88</v>
      </c>
      <c r="C768" s="175" t="s">
        <v>1474</v>
      </c>
      <c r="D768" s="176" t="s">
        <v>1475</v>
      </c>
      <c r="E768" s="177" t="s">
        <v>83</v>
      </c>
      <c r="F768" s="175">
        <f t="shared" si="23"/>
        <v>9</v>
      </c>
      <c r="G768" s="175" t="str">
        <f t="shared" si="24"/>
        <v>Jackson</v>
      </c>
      <c r="H768" s="175"/>
      <c r="I768" s="178" t="s">
        <v>89</v>
      </c>
      <c r="J768" s="27" t="s">
        <v>1475</v>
      </c>
      <c r="K768" s="27">
        <v>479</v>
      </c>
      <c r="L768" s="179">
        <v>7889</v>
      </c>
      <c r="M768" s="180" t="s">
        <v>1478</v>
      </c>
      <c r="N768" s="181" t="s">
        <v>1475</v>
      </c>
      <c r="O768" s="182" t="s">
        <v>2418</v>
      </c>
    </row>
    <row r="769" spans="2:15">
      <c r="B769" s="174" t="s">
        <v>919</v>
      </c>
      <c r="C769" s="175" t="s">
        <v>1474</v>
      </c>
      <c r="D769" s="176" t="s">
        <v>1475</v>
      </c>
      <c r="E769" s="177" t="s">
        <v>920</v>
      </c>
      <c r="F769" s="175">
        <f t="shared" si="23"/>
        <v>10</v>
      </c>
      <c r="G769" s="175" t="str">
        <f t="shared" si="24"/>
        <v>Kemmerer</v>
      </c>
      <c r="H769" s="175"/>
      <c r="I769" s="178" t="s">
        <v>89</v>
      </c>
      <c r="J769" s="27" t="s">
        <v>1475</v>
      </c>
      <c r="K769" s="27">
        <v>479</v>
      </c>
      <c r="L769" s="179">
        <v>7889</v>
      </c>
      <c r="M769" s="180" t="s">
        <v>1478</v>
      </c>
      <c r="N769" s="181" t="s">
        <v>1475</v>
      </c>
      <c r="O769" s="182" t="s">
        <v>2418</v>
      </c>
    </row>
    <row r="770" spans="2:15">
      <c r="B770" s="174" t="s">
        <v>2551</v>
      </c>
      <c r="C770" s="175" t="s">
        <v>2374</v>
      </c>
      <c r="D770" s="176" t="s">
        <v>2375</v>
      </c>
      <c r="E770" s="177" t="s">
        <v>2552</v>
      </c>
      <c r="F770" s="175">
        <f t="shared" si="23"/>
        <v>11</v>
      </c>
      <c r="G770" s="175" t="str">
        <f t="shared" si="24"/>
        <v>Pocatello</v>
      </c>
      <c r="H770" s="175"/>
      <c r="I770" s="178" t="s">
        <v>63</v>
      </c>
      <c r="J770" s="27" t="s">
        <v>2375</v>
      </c>
      <c r="K770" s="27">
        <v>421</v>
      </c>
      <c r="L770" s="179">
        <v>7180</v>
      </c>
      <c r="M770" s="180" t="s">
        <v>64</v>
      </c>
      <c r="N770" s="181" t="s">
        <v>2375</v>
      </c>
      <c r="O770" s="182" t="s">
        <v>65</v>
      </c>
    </row>
    <row r="771" spans="2:15">
      <c r="B771" s="174" t="s">
        <v>1839</v>
      </c>
      <c r="C771" s="175" t="s">
        <v>2374</v>
      </c>
      <c r="D771" s="176" t="s">
        <v>2375</v>
      </c>
      <c r="E771" s="177" t="s">
        <v>1840</v>
      </c>
      <c r="F771" s="175">
        <f t="shared" si="23"/>
        <v>12</v>
      </c>
      <c r="G771" s="175" t="str">
        <f t="shared" si="24"/>
        <v>Twin Falls</v>
      </c>
      <c r="H771" s="175"/>
      <c r="I771" s="178" t="s">
        <v>63</v>
      </c>
      <c r="J771" s="27" t="s">
        <v>2375</v>
      </c>
      <c r="K771" s="27">
        <v>421</v>
      </c>
      <c r="L771" s="179">
        <v>7180</v>
      </c>
      <c r="M771" s="180" t="s">
        <v>64</v>
      </c>
      <c r="N771" s="181" t="s">
        <v>2375</v>
      </c>
      <c r="O771" s="182" t="s">
        <v>65</v>
      </c>
    </row>
    <row r="772" spans="2:15">
      <c r="B772" s="174" t="s">
        <v>61</v>
      </c>
      <c r="C772" s="175" t="s">
        <v>2374</v>
      </c>
      <c r="D772" s="176" t="s">
        <v>2375</v>
      </c>
      <c r="E772" s="177" t="s">
        <v>62</v>
      </c>
      <c r="F772" s="175">
        <f t="shared" si="23"/>
        <v>13</v>
      </c>
      <c r="G772" s="175" t="str">
        <f t="shared" si="24"/>
        <v>Idaho Falls</v>
      </c>
      <c r="H772" s="175"/>
      <c r="I772" s="178" t="s">
        <v>63</v>
      </c>
      <c r="J772" s="27" t="s">
        <v>2375</v>
      </c>
      <c r="K772" s="27">
        <v>421</v>
      </c>
      <c r="L772" s="179">
        <v>7180</v>
      </c>
      <c r="M772" s="180" t="s">
        <v>64</v>
      </c>
      <c r="N772" s="181" t="s">
        <v>2375</v>
      </c>
      <c r="O772" s="182" t="s">
        <v>65</v>
      </c>
    </row>
    <row r="773" spans="2:15">
      <c r="B773" s="174" t="s">
        <v>2177</v>
      </c>
      <c r="C773" s="175" t="s">
        <v>2374</v>
      </c>
      <c r="D773" s="176" t="s">
        <v>2375</v>
      </c>
      <c r="E773" s="177" t="s">
        <v>2178</v>
      </c>
      <c r="F773" s="175">
        <f t="shared" si="23"/>
        <v>10</v>
      </c>
      <c r="G773" s="175" t="str">
        <f t="shared" si="24"/>
        <v>Lewiston</v>
      </c>
      <c r="H773" s="175"/>
      <c r="I773" s="178" t="s">
        <v>2179</v>
      </c>
      <c r="J773" s="27" t="s">
        <v>2375</v>
      </c>
      <c r="K773" s="27">
        <v>814</v>
      </c>
      <c r="L773" s="179">
        <v>5270</v>
      </c>
      <c r="M773" s="180" t="s">
        <v>1564</v>
      </c>
      <c r="N773" s="181" t="s">
        <v>1699</v>
      </c>
      <c r="O773" s="182" t="s">
        <v>1565</v>
      </c>
    </row>
    <row r="774" spans="2:15">
      <c r="B774" s="174" t="s">
        <v>2373</v>
      </c>
      <c r="C774" s="175" t="s">
        <v>2374</v>
      </c>
      <c r="D774" s="176" t="s">
        <v>2375</v>
      </c>
      <c r="E774" s="177" t="s">
        <v>2376</v>
      </c>
      <c r="F774" s="175">
        <f t="shared" si="23"/>
        <v>7</v>
      </c>
      <c r="G774" s="175" t="str">
        <f t="shared" si="24"/>
        <v>Boise</v>
      </c>
      <c r="H774" s="175"/>
      <c r="I774" s="178" t="s">
        <v>2377</v>
      </c>
      <c r="J774" s="27" t="s">
        <v>2375</v>
      </c>
      <c r="K774" s="27">
        <v>754</v>
      </c>
      <c r="L774" s="179">
        <v>5861</v>
      </c>
      <c r="M774" s="180" t="s">
        <v>2378</v>
      </c>
      <c r="N774" s="181" t="s">
        <v>2375</v>
      </c>
      <c r="O774" s="182" t="s">
        <v>2379</v>
      </c>
    </row>
    <row r="775" spans="2:15">
      <c r="B775" s="174" t="s">
        <v>2380</v>
      </c>
      <c r="C775" s="175" t="s">
        <v>2374</v>
      </c>
      <c r="D775" s="176" t="s">
        <v>2375</v>
      </c>
      <c r="E775" s="177" t="s">
        <v>2376</v>
      </c>
      <c r="F775" s="175">
        <f t="shared" si="23"/>
        <v>7</v>
      </c>
      <c r="G775" s="175" t="str">
        <f t="shared" si="24"/>
        <v>Boise</v>
      </c>
      <c r="H775" s="175"/>
      <c r="I775" s="178" t="s">
        <v>2377</v>
      </c>
      <c r="J775" s="27" t="s">
        <v>2375</v>
      </c>
      <c r="K775" s="27">
        <v>754</v>
      </c>
      <c r="L775" s="179">
        <v>5861</v>
      </c>
      <c r="M775" s="180" t="s">
        <v>2378</v>
      </c>
      <c r="N775" s="181" t="s">
        <v>2375</v>
      </c>
      <c r="O775" s="182" t="s">
        <v>2379</v>
      </c>
    </row>
    <row r="776" spans="2:15">
      <c r="B776" s="174" t="s">
        <v>657</v>
      </c>
      <c r="C776" s="175" t="s">
        <v>2374</v>
      </c>
      <c r="D776" s="176" t="s">
        <v>2375</v>
      </c>
      <c r="E776" s="177" t="s">
        <v>658</v>
      </c>
      <c r="F776" s="175">
        <f t="shared" si="23"/>
        <v>15</v>
      </c>
      <c r="G776" s="175" t="str">
        <f t="shared" si="24"/>
        <v>Coeur D'Alene</v>
      </c>
      <c r="H776" s="175"/>
      <c r="I776" s="178" t="s">
        <v>1563</v>
      </c>
      <c r="J776" s="27" t="s">
        <v>1699</v>
      </c>
      <c r="K776" s="27">
        <v>398</v>
      </c>
      <c r="L776" s="179">
        <v>6842</v>
      </c>
      <c r="M776" s="180" t="s">
        <v>1564</v>
      </c>
      <c r="N776" s="181" t="s">
        <v>1699</v>
      </c>
      <c r="O776" s="182" t="s">
        <v>1565</v>
      </c>
    </row>
    <row r="777" spans="2:15">
      <c r="B777" s="174" t="s">
        <v>360</v>
      </c>
      <c r="C777" s="175" t="s">
        <v>1220</v>
      </c>
      <c r="D777" s="176" t="s">
        <v>1221</v>
      </c>
      <c r="E777" s="177" t="s">
        <v>361</v>
      </c>
      <c r="F777" s="175">
        <f t="shared" si="23"/>
        <v>27</v>
      </c>
      <c r="G777" s="175" t="str">
        <f t="shared" si="24"/>
        <v>Salt Lake City/Heber City</v>
      </c>
      <c r="H777" s="175"/>
      <c r="I777" s="178" t="s">
        <v>1223</v>
      </c>
      <c r="J777" s="27" t="s">
        <v>1221</v>
      </c>
      <c r="K777" s="27">
        <v>1047</v>
      </c>
      <c r="L777" s="179">
        <v>5765</v>
      </c>
      <c r="M777" s="180" t="s">
        <v>1224</v>
      </c>
      <c r="N777" s="181" t="s">
        <v>1221</v>
      </c>
      <c r="O777" s="182" t="s">
        <v>1225</v>
      </c>
    </row>
    <row r="778" spans="2:15">
      <c r="B778" s="174" t="s">
        <v>358</v>
      </c>
      <c r="C778" s="175" t="s">
        <v>1220</v>
      </c>
      <c r="D778" s="176" t="s">
        <v>1221</v>
      </c>
      <c r="E778" s="177" t="s">
        <v>359</v>
      </c>
      <c r="F778" s="175">
        <f t="shared" ref="F778:F841" si="25">LEN(E778)</f>
        <v>16</v>
      </c>
      <c r="G778" s="175" t="str">
        <f t="shared" ref="G778:G841" si="26">MID(E778,2,F778-2)</f>
        <v>Salt Lake City</v>
      </c>
      <c r="H778" s="175"/>
      <c r="I778" s="178" t="s">
        <v>1223</v>
      </c>
      <c r="J778" s="27" t="s">
        <v>1221</v>
      </c>
      <c r="K778" s="27">
        <v>1047</v>
      </c>
      <c r="L778" s="179">
        <v>5765</v>
      </c>
      <c r="M778" s="180" t="s">
        <v>1224</v>
      </c>
      <c r="N778" s="181" t="s">
        <v>1221</v>
      </c>
      <c r="O778" s="182" t="s">
        <v>1225</v>
      </c>
    </row>
    <row r="779" spans="2:15">
      <c r="B779" s="174" t="s">
        <v>1226</v>
      </c>
      <c r="C779" s="175" t="s">
        <v>1220</v>
      </c>
      <c r="D779" s="176" t="s">
        <v>1221</v>
      </c>
      <c r="E779" s="177" t="s">
        <v>1508</v>
      </c>
      <c r="F779" s="175">
        <f t="shared" si="25"/>
        <v>13</v>
      </c>
      <c r="G779" s="175" t="str">
        <f t="shared" si="26"/>
        <v>Ogden/Logan</v>
      </c>
      <c r="H779" s="175"/>
      <c r="I779" s="178" t="s">
        <v>1223</v>
      </c>
      <c r="J779" s="27" t="s">
        <v>1221</v>
      </c>
      <c r="K779" s="27">
        <v>1047</v>
      </c>
      <c r="L779" s="179">
        <v>5765</v>
      </c>
      <c r="M779" s="180" t="s">
        <v>1224</v>
      </c>
      <c r="N779" s="181" t="s">
        <v>1221</v>
      </c>
      <c r="O779" s="182" t="s">
        <v>1225</v>
      </c>
    </row>
    <row r="780" spans="2:15">
      <c r="B780" s="174" t="s">
        <v>1219</v>
      </c>
      <c r="C780" s="175" t="s">
        <v>1220</v>
      </c>
      <c r="D780" s="176" t="s">
        <v>1221</v>
      </c>
      <c r="E780" s="177" t="s">
        <v>1222</v>
      </c>
      <c r="F780" s="175">
        <f t="shared" si="25"/>
        <v>7</v>
      </c>
      <c r="G780" s="175" t="str">
        <f t="shared" si="26"/>
        <v>Ogden</v>
      </c>
      <c r="H780" s="175"/>
      <c r="I780" s="178" t="s">
        <v>1223</v>
      </c>
      <c r="J780" s="27" t="s">
        <v>1221</v>
      </c>
      <c r="K780" s="27">
        <v>1047</v>
      </c>
      <c r="L780" s="179">
        <v>5765</v>
      </c>
      <c r="M780" s="180" t="s">
        <v>1224</v>
      </c>
      <c r="N780" s="181" t="s">
        <v>1221</v>
      </c>
      <c r="O780" s="182" t="s">
        <v>1225</v>
      </c>
    </row>
    <row r="781" spans="2:15">
      <c r="B781" s="174" t="s">
        <v>1284</v>
      </c>
      <c r="C781" s="175" t="s">
        <v>1220</v>
      </c>
      <c r="D781" s="176" t="s">
        <v>1221</v>
      </c>
      <c r="E781" s="177" t="s">
        <v>1285</v>
      </c>
      <c r="F781" s="175">
        <f t="shared" si="25"/>
        <v>28</v>
      </c>
      <c r="G781" s="175" t="str">
        <f t="shared" si="26"/>
        <v>Southeast Utah/Green River</v>
      </c>
      <c r="H781" s="175"/>
      <c r="I781" s="178" t="s">
        <v>1815</v>
      </c>
      <c r="J781" s="27" t="s">
        <v>394</v>
      </c>
      <c r="K781" s="27">
        <v>1183</v>
      </c>
      <c r="L781" s="179">
        <v>5548</v>
      </c>
      <c r="M781" s="178" t="s">
        <v>1816</v>
      </c>
      <c r="N781" s="27" t="s">
        <v>394</v>
      </c>
      <c r="O781" s="182" t="s">
        <v>1817</v>
      </c>
    </row>
    <row r="782" spans="2:15">
      <c r="B782" s="174" t="s">
        <v>2587</v>
      </c>
      <c r="C782" s="175" t="s">
        <v>1220</v>
      </c>
      <c r="D782" s="176" t="s">
        <v>1221</v>
      </c>
      <c r="E782" s="177" t="s">
        <v>2588</v>
      </c>
      <c r="F782" s="175">
        <f t="shared" si="25"/>
        <v>7</v>
      </c>
      <c r="G782" s="175" t="str">
        <f t="shared" si="26"/>
        <v>Provo</v>
      </c>
      <c r="H782" s="175"/>
      <c r="I782" s="178" t="s">
        <v>1223</v>
      </c>
      <c r="J782" s="27" t="s">
        <v>1221</v>
      </c>
      <c r="K782" s="27">
        <v>1047</v>
      </c>
      <c r="L782" s="179">
        <v>5765</v>
      </c>
      <c r="M782" s="180" t="s">
        <v>1224</v>
      </c>
      <c r="N782" s="181" t="s">
        <v>1221</v>
      </c>
      <c r="O782" s="182" t="s">
        <v>1225</v>
      </c>
    </row>
    <row r="783" spans="2:15">
      <c r="B783" s="174" t="s">
        <v>1289</v>
      </c>
      <c r="C783" s="175" t="s">
        <v>1220</v>
      </c>
      <c r="D783" s="176" t="s">
        <v>1221</v>
      </c>
      <c r="E783" s="177" t="s">
        <v>1290</v>
      </c>
      <c r="F783" s="175">
        <f t="shared" si="25"/>
        <v>27</v>
      </c>
      <c r="G783" s="175" t="str">
        <f t="shared" si="26"/>
        <v>Southwest Utah/Cedar City</v>
      </c>
      <c r="H783" s="175"/>
      <c r="I783" s="178" t="s">
        <v>1291</v>
      </c>
      <c r="J783" s="27" t="s">
        <v>1221</v>
      </c>
      <c r="K783" s="27">
        <v>647</v>
      </c>
      <c r="L783" s="179">
        <v>6511</v>
      </c>
      <c r="M783" s="178" t="s">
        <v>1816</v>
      </c>
      <c r="N783" s="27" t="s">
        <v>394</v>
      </c>
      <c r="O783" s="182" t="s">
        <v>1817</v>
      </c>
    </row>
    <row r="784" spans="2:15">
      <c r="B784" s="174" t="s">
        <v>2527</v>
      </c>
      <c r="C784" s="175" t="s">
        <v>1372</v>
      </c>
      <c r="D784" s="176" t="s">
        <v>1373</v>
      </c>
      <c r="E784" s="177" t="s">
        <v>2528</v>
      </c>
      <c r="F784" s="175">
        <f t="shared" si="25"/>
        <v>9</v>
      </c>
      <c r="G784" s="175" t="str">
        <f t="shared" si="26"/>
        <v>Phoenix</v>
      </c>
      <c r="H784" s="175"/>
      <c r="I784" s="178" t="s">
        <v>2529</v>
      </c>
      <c r="J784" s="27" t="s">
        <v>1373</v>
      </c>
      <c r="K784" s="27">
        <v>4162</v>
      </c>
      <c r="L784" s="179">
        <v>1350</v>
      </c>
      <c r="M784" s="178" t="s">
        <v>2530</v>
      </c>
      <c r="N784" s="27" t="s">
        <v>1373</v>
      </c>
      <c r="O784" s="182" t="s">
        <v>2531</v>
      </c>
    </row>
    <row r="785" spans="2:15">
      <c r="B785" s="174" t="s">
        <v>2532</v>
      </c>
      <c r="C785" s="175" t="s">
        <v>1372</v>
      </c>
      <c r="D785" s="176" t="s">
        <v>1373</v>
      </c>
      <c r="E785" s="177" t="s">
        <v>2528</v>
      </c>
      <c r="F785" s="175">
        <f t="shared" si="25"/>
        <v>9</v>
      </c>
      <c r="G785" s="175" t="str">
        <f t="shared" si="26"/>
        <v>Phoenix</v>
      </c>
      <c r="H785" s="175"/>
      <c r="I785" s="178" t="s">
        <v>2529</v>
      </c>
      <c r="J785" s="27" t="s">
        <v>1373</v>
      </c>
      <c r="K785" s="27">
        <v>4162</v>
      </c>
      <c r="L785" s="179">
        <v>1350</v>
      </c>
      <c r="M785" s="178" t="s">
        <v>2530</v>
      </c>
      <c r="N785" s="27" t="s">
        <v>1373</v>
      </c>
      <c r="O785" s="182" t="s">
        <v>2531</v>
      </c>
    </row>
    <row r="786" spans="2:15">
      <c r="B786" s="174" t="s">
        <v>1468</v>
      </c>
      <c r="C786" s="175" t="s">
        <v>1372</v>
      </c>
      <c r="D786" s="176" t="s">
        <v>1373</v>
      </c>
      <c r="E786" s="177" t="s">
        <v>1469</v>
      </c>
      <c r="F786" s="175">
        <f t="shared" si="25"/>
        <v>13</v>
      </c>
      <c r="G786" s="175" t="str">
        <f t="shared" si="26"/>
        <v>Casa Grande</v>
      </c>
      <c r="H786" s="175"/>
      <c r="I786" s="178" t="s">
        <v>1470</v>
      </c>
      <c r="J786" s="27" t="s">
        <v>1373</v>
      </c>
      <c r="K786" s="27">
        <v>2954</v>
      </c>
      <c r="L786" s="179">
        <v>1678</v>
      </c>
      <c r="M786" s="178" t="s">
        <v>1471</v>
      </c>
      <c r="N786" s="27" t="s">
        <v>1373</v>
      </c>
      <c r="O786" s="182" t="s">
        <v>1472</v>
      </c>
    </row>
    <row r="787" spans="2:15">
      <c r="B787" s="174" t="s">
        <v>1371</v>
      </c>
      <c r="C787" s="175" t="s">
        <v>1372</v>
      </c>
      <c r="D787" s="176" t="s">
        <v>1373</v>
      </c>
      <c r="E787" s="177" t="s">
        <v>1374</v>
      </c>
      <c r="F787" s="175">
        <f t="shared" si="25"/>
        <v>14</v>
      </c>
      <c r="G787" s="175" t="str">
        <f t="shared" si="26"/>
        <v>Buckeye/Yuma</v>
      </c>
      <c r="H787" s="175"/>
      <c r="I787" s="178" t="s">
        <v>1375</v>
      </c>
      <c r="J787" s="27" t="s">
        <v>1373</v>
      </c>
      <c r="K787" s="27">
        <v>4305</v>
      </c>
      <c r="L787" s="179">
        <v>927</v>
      </c>
      <c r="M787" s="178" t="s">
        <v>1376</v>
      </c>
      <c r="N787" s="27" t="s">
        <v>1373</v>
      </c>
      <c r="O787" s="182" t="s">
        <v>1377</v>
      </c>
    </row>
    <row r="788" spans="2:15">
      <c r="B788" s="174" t="s">
        <v>2088</v>
      </c>
      <c r="C788" s="175" t="s">
        <v>1372</v>
      </c>
      <c r="D788" s="176" t="s">
        <v>1373</v>
      </c>
      <c r="E788" s="177" t="s">
        <v>2089</v>
      </c>
      <c r="F788" s="175">
        <f t="shared" si="25"/>
        <v>7</v>
      </c>
      <c r="G788" s="175" t="str">
        <f t="shared" si="26"/>
        <v>Globe</v>
      </c>
      <c r="H788" s="175"/>
      <c r="I788" s="178" t="s">
        <v>1470</v>
      </c>
      <c r="J788" s="27" t="s">
        <v>1373</v>
      </c>
      <c r="K788" s="27">
        <v>2954</v>
      </c>
      <c r="L788" s="179">
        <v>1678</v>
      </c>
      <c r="M788" s="178" t="s">
        <v>1471</v>
      </c>
      <c r="N788" s="27" t="s">
        <v>1373</v>
      </c>
      <c r="O788" s="182" t="s">
        <v>1472</v>
      </c>
    </row>
    <row r="789" spans="2:15">
      <c r="B789" s="174" t="s">
        <v>2322</v>
      </c>
      <c r="C789" s="175" t="s">
        <v>1372</v>
      </c>
      <c r="D789" s="176" t="s">
        <v>1373</v>
      </c>
      <c r="E789" s="177" t="s">
        <v>2323</v>
      </c>
      <c r="F789" s="175">
        <f t="shared" si="25"/>
        <v>22</v>
      </c>
      <c r="G789" s="175" t="str">
        <f t="shared" si="26"/>
        <v>Sierra Vista/Nogales</v>
      </c>
      <c r="H789" s="175"/>
      <c r="I789" s="178" t="s">
        <v>1470</v>
      </c>
      <c r="J789" s="27" t="s">
        <v>1373</v>
      </c>
      <c r="K789" s="27">
        <v>2954</v>
      </c>
      <c r="L789" s="179">
        <v>1678</v>
      </c>
      <c r="M789" s="178" t="s">
        <v>1471</v>
      </c>
      <c r="N789" s="27" t="s">
        <v>1373</v>
      </c>
      <c r="O789" s="182" t="s">
        <v>1472</v>
      </c>
    </row>
    <row r="790" spans="2:15">
      <c r="B790" s="174" t="s">
        <v>1827</v>
      </c>
      <c r="C790" s="175" t="s">
        <v>1372</v>
      </c>
      <c r="D790" s="176" t="s">
        <v>1373</v>
      </c>
      <c r="E790" s="177" t="s">
        <v>1828</v>
      </c>
      <c r="F790" s="175">
        <f t="shared" si="25"/>
        <v>8</v>
      </c>
      <c r="G790" s="175" t="str">
        <f t="shared" si="26"/>
        <v>Tucson</v>
      </c>
      <c r="H790" s="175"/>
      <c r="I790" s="178" t="s">
        <v>1470</v>
      </c>
      <c r="J790" s="27" t="s">
        <v>1373</v>
      </c>
      <c r="K790" s="27">
        <v>2954</v>
      </c>
      <c r="L790" s="179">
        <v>1678</v>
      </c>
      <c r="M790" s="178" t="s">
        <v>1471</v>
      </c>
      <c r="N790" s="27" t="s">
        <v>1373</v>
      </c>
      <c r="O790" s="182" t="s">
        <v>1472</v>
      </c>
    </row>
    <row r="791" spans="2:15">
      <c r="B791" s="174" t="s">
        <v>1358</v>
      </c>
      <c r="C791" s="175" t="s">
        <v>1372</v>
      </c>
      <c r="D791" s="176" t="s">
        <v>1373</v>
      </c>
      <c r="E791" s="177" t="s">
        <v>2318</v>
      </c>
      <c r="F791" s="175">
        <f t="shared" si="25"/>
        <v>10</v>
      </c>
      <c r="G791" s="175" t="str">
        <f t="shared" si="26"/>
        <v>Show Low</v>
      </c>
      <c r="H791" s="175"/>
      <c r="I791" s="178" t="s">
        <v>418</v>
      </c>
      <c r="J791" s="27" t="s">
        <v>416</v>
      </c>
      <c r="K791" s="27">
        <v>1244</v>
      </c>
      <c r="L791" s="179">
        <v>4425</v>
      </c>
      <c r="M791" s="180" t="s">
        <v>419</v>
      </c>
      <c r="N791" s="181" t="s">
        <v>416</v>
      </c>
      <c r="O791" s="182" t="s">
        <v>420</v>
      </c>
    </row>
    <row r="792" spans="2:15">
      <c r="B792" s="174" t="s">
        <v>1988</v>
      </c>
      <c r="C792" s="175" t="s">
        <v>1372</v>
      </c>
      <c r="D792" s="176" t="s">
        <v>1373</v>
      </c>
      <c r="E792" s="177" t="s">
        <v>1989</v>
      </c>
      <c r="F792" s="175">
        <f t="shared" si="25"/>
        <v>11</v>
      </c>
      <c r="G792" s="175" t="str">
        <f t="shared" si="26"/>
        <v>Flagstaff</v>
      </c>
      <c r="H792" s="175"/>
      <c r="I792" s="178" t="s">
        <v>1990</v>
      </c>
      <c r="J792" s="27" t="s">
        <v>1373</v>
      </c>
      <c r="K792" s="27">
        <v>145</v>
      </c>
      <c r="L792" s="179">
        <v>7131</v>
      </c>
      <c r="M792" s="178" t="s">
        <v>1991</v>
      </c>
      <c r="N792" s="27" t="s">
        <v>1373</v>
      </c>
      <c r="O792" s="182" t="s">
        <v>1992</v>
      </c>
    </row>
    <row r="793" spans="2:15">
      <c r="B793" s="174" t="s">
        <v>2581</v>
      </c>
      <c r="C793" s="175" t="s">
        <v>1372</v>
      </c>
      <c r="D793" s="176" t="s">
        <v>1373</v>
      </c>
      <c r="E793" s="177" t="s">
        <v>2582</v>
      </c>
      <c r="F793" s="175">
        <f t="shared" si="25"/>
        <v>10</v>
      </c>
      <c r="G793" s="175" t="str">
        <f t="shared" si="26"/>
        <v>Prescott</v>
      </c>
      <c r="H793" s="175"/>
      <c r="I793" s="178" t="s">
        <v>1990</v>
      </c>
      <c r="J793" s="27" t="s">
        <v>1373</v>
      </c>
      <c r="K793" s="27">
        <v>145</v>
      </c>
      <c r="L793" s="179">
        <v>7131</v>
      </c>
      <c r="M793" s="178" t="s">
        <v>1991</v>
      </c>
      <c r="N793" s="27" t="s">
        <v>1373</v>
      </c>
      <c r="O793" s="182" t="s">
        <v>1992</v>
      </c>
    </row>
    <row r="794" spans="2:15">
      <c r="B794" s="174" t="s">
        <v>926</v>
      </c>
      <c r="C794" s="175" t="s">
        <v>1372</v>
      </c>
      <c r="D794" s="176" t="s">
        <v>1373</v>
      </c>
      <c r="E794" s="177" t="s">
        <v>927</v>
      </c>
      <c r="F794" s="175">
        <f t="shared" si="25"/>
        <v>9</v>
      </c>
      <c r="G794" s="175" t="str">
        <f t="shared" si="26"/>
        <v>Kingman</v>
      </c>
      <c r="H794" s="175"/>
      <c r="I794" s="178" t="s">
        <v>928</v>
      </c>
      <c r="J794" s="27" t="s">
        <v>1463</v>
      </c>
      <c r="K794" s="27">
        <v>3201</v>
      </c>
      <c r="L794" s="179">
        <v>2407</v>
      </c>
      <c r="M794" s="180" t="s">
        <v>929</v>
      </c>
      <c r="N794" s="181" t="s">
        <v>1463</v>
      </c>
      <c r="O794" s="182" t="s">
        <v>930</v>
      </c>
    </row>
    <row r="795" spans="2:15">
      <c r="B795" s="174" t="s">
        <v>696</v>
      </c>
      <c r="C795" s="175" t="s">
        <v>1372</v>
      </c>
      <c r="D795" s="176" t="s">
        <v>1373</v>
      </c>
      <c r="E795" s="177" t="s">
        <v>697</v>
      </c>
      <c r="F795" s="175">
        <f t="shared" si="25"/>
        <v>13</v>
      </c>
      <c r="G795" s="175" t="str">
        <f t="shared" si="26"/>
        <v>Window Rock</v>
      </c>
      <c r="H795" s="175"/>
      <c r="I795" s="178" t="s">
        <v>1990</v>
      </c>
      <c r="J795" s="27" t="s">
        <v>1373</v>
      </c>
      <c r="K795" s="27">
        <v>145</v>
      </c>
      <c r="L795" s="179">
        <v>7131</v>
      </c>
      <c r="M795" s="178" t="s">
        <v>1991</v>
      </c>
      <c r="N795" s="27" t="s">
        <v>1373</v>
      </c>
      <c r="O795" s="182" t="s">
        <v>1992</v>
      </c>
    </row>
    <row r="796" spans="2:15">
      <c r="B796" s="174" t="s">
        <v>1484</v>
      </c>
      <c r="C796" s="175" t="s">
        <v>415</v>
      </c>
      <c r="D796" s="176" t="s">
        <v>416</v>
      </c>
      <c r="E796" s="177" t="s">
        <v>1485</v>
      </c>
      <c r="F796" s="175">
        <f t="shared" si="25"/>
        <v>12</v>
      </c>
      <c r="G796" s="175" t="str">
        <f t="shared" si="26"/>
        <v>Bernalillo</v>
      </c>
      <c r="H796" s="175"/>
      <c r="I796" s="178" t="s">
        <v>418</v>
      </c>
      <c r="J796" s="27" t="s">
        <v>416</v>
      </c>
      <c r="K796" s="27">
        <v>1244</v>
      </c>
      <c r="L796" s="179">
        <v>4425</v>
      </c>
      <c r="M796" s="180" t="s">
        <v>419</v>
      </c>
      <c r="N796" s="181" t="s">
        <v>416</v>
      </c>
      <c r="O796" s="182" t="s">
        <v>420</v>
      </c>
    </row>
    <row r="797" spans="2:15">
      <c r="B797" s="174" t="s">
        <v>414</v>
      </c>
      <c r="C797" s="175" t="s">
        <v>415</v>
      </c>
      <c r="D797" s="176" t="s">
        <v>416</v>
      </c>
      <c r="E797" s="177" t="s">
        <v>417</v>
      </c>
      <c r="F797" s="175">
        <f t="shared" si="25"/>
        <v>13</v>
      </c>
      <c r="G797" s="175" t="str">
        <f t="shared" si="26"/>
        <v>Albuquerque</v>
      </c>
      <c r="H797" s="175"/>
      <c r="I797" s="178" t="s">
        <v>418</v>
      </c>
      <c r="J797" s="27" t="s">
        <v>416</v>
      </c>
      <c r="K797" s="27">
        <v>1244</v>
      </c>
      <c r="L797" s="179">
        <v>4425</v>
      </c>
      <c r="M797" s="180" t="s">
        <v>419</v>
      </c>
      <c r="N797" s="181" t="s">
        <v>416</v>
      </c>
      <c r="O797" s="182" t="s">
        <v>420</v>
      </c>
    </row>
    <row r="798" spans="2:15">
      <c r="B798" s="174" t="s">
        <v>421</v>
      </c>
      <c r="C798" s="175" t="s">
        <v>415</v>
      </c>
      <c r="D798" s="176" t="s">
        <v>416</v>
      </c>
      <c r="E798" s="177" t="s">
        <v>417</v>
      </c>
      <c r="F798" s="175">
        <f t="shared" si="25"/>
        <v>13</v>
      </c>
      <c r="G798" s="175" t="str">
        <f t="shared" si="26"/>
        <v>Albuquerque</v>
      </c>
      <c r="H798" s="175"/>
      <c r="I798" s="178" t="s">
        <v>418</v>
      </c>
      <c r="J798" s="27" t="s">
        <v>416</v>
      </c>
      <c r="K798" s="27">
        <v>1244</v>
      </c>
      <c r="L798" s="179">
        <v>4425</v>
      </c>
      <c r="M798" s="180" t="s">
        <v>419</v>
      </c>
      <c r="N798" s="181" t="s">
        <v>416</v>
      </c>
      <c r="O798" s="182" t="s">
        <v>420</v>
      </c>
    </row>
    <row r="799" spans="2:15">
      <c r="B799" s="174" t="s">
        <v>2063</v>
      </c>
      <c r="C799" s="175" t="s">
        <v>415</v>
      </c>
      <c r="D799" s="176" t="s">
        <v>416</v>
      </c>
      <c r="E799" s="177" t="s">
        <v>2064</v>
      </c>
      <c r="F799" s="175">
        <f t="shared" si="25"/>
        <v>8</v>
      </c>
      <c r="G799" s="175" t="str">
        <f t="shared" si="26"/>
        <v>Gallup</v>
      </c>
      <c r="H799" s="175"/>
      <c r="I799" s="178" t="s">
        <v>418</v>
      </c>
      <c r="J799" s="27" t="s">
        <v>416</v>
      </c>
      <c r="K799" s="27">
        <v>1244</v>
      </c>
      <c r="L799" s="179">
        <v>4425</v>
      </c>
      <c r="M799" s="180" t="s">
        <v>419</v>
      </c>
      <c r="N799" s="181" t="s">
        <v>416</v>
      </c>
      <c r="O799" s="182" t="s">
        <v>420</v>
      </c>
    </row>
    <row r="800" spans="2:15">
      <c r="B800" s="174" t="s">
        <v>1979</v>
      </c>
      <c r="C800" s="175" t="s">
        <v>415</v>
      </c>
      <c r="D800" s="176" t="s">
        <v>416</v>
      </c>
      <c r="E800" s="177" t="s">
        <v>1980</v>
      </c>
      <c r="F800" s="175">
        <f t="shared" si="25"/>
        <v>12</v>
      </c>
      <c r="G800" s="175" t="str">
        <f t="shared" si="26"/>
        <v>Farmington</v>
      </c>
      <c r="H800" s="175"/>
      <c r="I800" s="178" t="s">
        <v>1815</v>
      </c>
      <c r="J800" s="27" t="s">
        <v>394</v>
      </c>
      <c r="K800" s="27">
        <v>1183</v>
      </c>
      <c r="L800" s="179">
        <v>5548</v>
      </c>
      <c r="M800" s="178" t="s">
        <v>1816</v>
      </c>
      <c r="N800" s="27" t="s">
        <v>394</v>
      </c>
      <c r="O800" s="182" t="s">
        <v>1817</v>
      </c>
    </row>
    <row r="801" spans="2:15">
      <c r="B801" s="174" t="s">
        <v>1025</v>
      </c>
      <c r="C801" s="175" t="s">
        <v>415</v>
      </c>
      <c r="D801" s="176" t="s">
        <v>416</v>
      </c>
      <c r="E801" s="177" t="s">
        <v>1026</v>
      </c>
      <c r="F801" s="175">
        <f t="shared" si="25"/>
        <v>10</v>
      </c>
      <c r="G801" s="175" t="str">
        <f t="shared" si="26"/>
        <v>Santa Fe</v>
      </c>
      <c r="H801" s="175"/>
      <c r="I801" s="178" t="s">
        <v>418</v>
      </c>
      <c r="J801" s="27" t="s">
        <v>416</v>
      </c>
      <c r="K801" s="27">
        <v>1244</v>
      </c>
      <c r="L801" s="179">
        <v>4425</v>
      </c>
      <c r="M801" s="180" t="s">
        <v>1027</v>
      </c>
      <c r="N801" s="181" t="s">
        <v>416</v>
      </c>
      <c r="O801" s="182" t="s">
        <v>1028</v>
      </c>
    </row>
    <row r="802" spans="2:15">
      <c r="B802" s="174" t="s">
        <v>986</v>
      </c>
      <c r="C802" s="175" t="s">
        <v>415</v>
      </c>
      <c r="D802" s="176" t="s">
        <v>416</v>
      </c>
      <c r="E802" s="177" t="s">
        <v>987</v>
      </c>
      <c r="F802" s="175">
        <f t="shared" si="25"/>
        <v>11</v>
      </c>
      <c r="G802" s="175" t="str">
        <f t="shared" si="26"/>
        <v>Las Vegas</v>
      </c>
      <c r="H802" s="175"/>
      <c r="I802" s="178" t="s">
        <v>2160</v>
      </c>
      <c r="J802" s="27" t="s">
        <v>394</v>
      </c>
      <c r="K802" s="27">
        <v>973</v>
      </c>
      <c r="L802" s="179">
        <v>5413</v>
      </c>
      <c r="M802" s="180" t="s">
        <v>2161</v>
      </c>
      <c r="N802" s="181" t="s">
        <v>394</v>
      </c>
      <c r="O802" s="182" t="s">
        <v>2162</v>
      </c>
    </row>
    <row r="803" spans="2:15">
      <c r="B803" s="174" t="s">
        <v>2336</v>
      </c>
      <c r="C803" s="175" t="s">
        <v>415</v>
      </c>
      <c r="D803" s="176" t="s">
        <v>416</v>
      </c>
      <c r="E803" s="177" t="s">
        <v>2337</v>
      </c>
      <c r="F803" s="175">
        <f t="shared" si="25"/>
        <v>9</v>
      </c>
      <c r="G803" s="175" t="str">
        <f t="shared" si="26"/>
        <v>Socorro</v>
      </c>
      <c r="H803" s="175"/>
      <c r="I803" s="178" t="s">
        <v>418</v>
      </c>
      <c r="J803" s="27" t="s">
        <v>416</v>
      </c>
      <c r="K803" s="27">
        <v>1244</v>
      </c>
      <c r="L803" s="179">
        <v>4425</v>
      </c>
      <c r="M803" s="180" t="s">
        <v>419</v>
      </c>
      <c r="N803" s="181" t="s">
        <v>416</v>
      </c>
      <c r="O803" s="182" t="s">
        <v>420</v>
      </c>
    </row>
    <row r="804" spans="2:15">
      <c r="B804" s="174" t="s">
        <v>1825</v>
      </c>
      <c r="C804" s="175" t="s">
        <v>415</v>
      </c>
      <c r="D804" s="176" t="s">
        <v>416</v>
      </c>
      <c r="E804" s="177" t="s">
        <v>1826</v>
      </c>
      <c r="F804" s="175">
        <f t="shared" si="25"/>
        <v>18</v>
      </c>
      <c r="G804" s="175" t="str">
        <f t="shared" si="26"/>
        <v>Truth or Conseq.</v>
      </c>
      <c r="H804" s="175"/>
      <c r="I804" s="178" t="s">
        <v>44</v>
      </c>
      <c r="J804" s="27" t="s">
        <v>255</v>
      </c>
      <c r="K804" s="27">
        <v>2094</v>
      </c>
      <c r="L804" s="179">
        <v>2708</v>
      </c>
      <c r="M804" s="180" t="s">
        <v>41</v>
      </c>
      <c r="N804" s="181" t="s">
        <v>255</v>
      </c>
      <c r="O804" s="182" t="s">
        <v>42</v>
      </c>
    </row>
    <row r="805" spans="2:15">
      <c r="B805" s="174" t="s">
        <v>984</v>
      </c>
      <c r="C805" s="175" t="s">
        <v>415</v>
      </c>
      <c r="D805" s="176" t="s">
        <v>416</v>
      </c>
      <c r="E805" s="177" t="s">
        <v>985</v>
      </c>
      <c r="F805" s="175">
        <f t="shared" si="25"/>
        <v>12</v>
      </c>
      <c r="G805" s="175" t="str">
        <f t="shared" si="26"/>
        <v>Las Cruces</v>
      </c>
      <c r="H805" s="175"/>
      <c r="I805" s="178" t="s">
        <v>44</v>
      </c>
      <c r="J805" s="27" t="s">
        <v>255</v>
      </c>
      <c r="K805" s="27">
        <v>2094</v>
      </c>
      <c r="L805" s="179">
        <v>2708</v>
      </c>
      <c r="M805" s="180" t="s">
        <v>41</v>
      </c>
      <c r="N805" s="181" t="s">
        <v>255</v>
      </c>
      <c r="O805" s="182" t="s">
        <v>42</v>
      </c>
    </row>
    <row r="806" spans="2:15">
      <c r="B806" s="174" t="s">
        <v>654</v>
      </c>
      <c r="C806" s="175" t="s">
        <v>415</v>
      </c>
      <c r="D806" s="176" t="s">
        <v>416</v>
      </c>
      <c r="E806" s="177" t="s">
        <v>655</v>
      </c>
      <c r="F806" s="175">
        <f t="shared" si="25"/>
        <v>8</v>
      </c>
      <c r="G806" s="175" t="str">
        <f t="shared" si="26"/>
        <v>Clovis</v>
      </c>
      <c r="H806" s="175"/>
      <c r="I806" s="178" t="s">
        <v>656</v>
      </c>
      <c r="J806" s="27" t="s">
        <v>416</v>
      </c>
      <c r="K806" s="27">
        <v>772</v>
      </c>
      <c r="L806" s="179">
        <v>5064</v>
      </c>
      <c r="M806" s="180" t="s">
        <v>271</v>
      </c>
      <c r="N806" s="181" t="s">
        <v>255</v>
      </c>
      <c r="O806" s="182" t="s">
        <v>272</v>
      </c>
    </row>
    <row r="807" spans="2:15">
      <c r="B807" s="174" t="s">
        <v>317</v>
      </c>
      <c r="C807" s="175" t="s">
        <v>415</v>
      </c>
      <c r="D807" s="176" t="s">
        <v>416</v>
      </c>
      <c r="E807" s="177" t="s">
        <v>318</v>
      </c>
      <c r="F807" s="175">
        <f t="shared" si="25"/>
        <v>9</v>
      </c>
      <c r="G807" s="175" t="str">
        <f t="shared" si="26"/>
        <v>Roswell</v>
      </c>
      <c r="H807" s="175"/>
      <c r="I807" s="178" t="s">
        <v>319</v>
      </c>
      <c r="J807" s="27" t="s">
        <v>416</v>
      </c>
      <c r="K807" s="27">
        <v>1776</v>
      </c>
      <c r="L807" s="179">
        <v>3267</v>
      </c>
      <c r="M807" s="180" t="s">
        <v>2480</v>
      </c>
      <c r="N807" s="181" t="s">
        <v>255</v>
      </c>
      <c r="O807" s="182" t="s">
        <v>2481</v>
      </c>
    </row>
    <row r="808" spans="2:15">
      <c r="B808" s="174" t="s">
        <v>1454</v>
      </c>
      <c r="C808" s="175" t="s">
        <v>415</v>
      </c>
      <c r="D808" s="176" t="s">
        <v>416</v>
      </c>
      <c r="E808" s="177" t="s">
        <v>1455</v>
      </c>
      <c r="F808" s="175">
        <f t="shared" si="25"/>
        <v>11</v>
      </c>
      <c r="G808" s="175" t="str">
        <f t="shared" si="26"/>
        <v>Carrizozo</v>
      </c>
      <c r="H808" s="175"/>
      <c r="I808" s="178" t="s">
        <v>418</v>
      </c>
      <c r="J808" s="27" t="s">
        <v>416</v>
      </c>
      <c r="K808" s="27">
        <v>1244</v>
      </c>
      <c r="L808" s="179">
        <v>4425</v>
      </c>
      <c r="M808" s="180" t="s">
        <v>419</v>
      </c>
      <c r="N808" s="181" t="s">
        <v>416</v>
      </c>
      <c r="O808" s="182" t="s">
        <v>420</v>
      </c>
    </row>
    <row r="809" spans="2:15">
      <c r="B809" s="174" t="s">
        <v>1829</v>
      </c>
      <c r="C809" s="175" t="s">
        <v>415</v>
      </c>
      <c r="D809" s="176" t="s">
        <v>416</v>
      </c>
      <c r="E809" s="177" t="s">
        <v>1830</v>
      </c>
      <c r="F809" s="175">
        <f t="shared" si="25"/>
        <v>11</v>
      </c>
      <c r="G809" s="175" t="str">
        <f t="shared" si="26"/>
        <v>Tucumcari</v>
      </c>
      <c r="H809" s="175"/>
      <c r="I809" s="178" t="s">
        <v>656</v>
      </c>
      <c r="J809" s="27" t="s">
        <v>416</v>
      </c>
      <c r="K809" s="27">
        <v>772</v>
      </c>
      <c r="L809" s="179">
        <v>5064</v>
      </c>
      <c r="M809" s="180" t="s">
        <v>271</v>
      </c>
      <c r="N809" s="181" t="s">
        <v>255</v>
      </c>
      <c r="O809" s="182" t="s">
        <v>272</v>
      </c>
    </row>
    <row r="810" spans="2:15">
      <c r="B810" s="174" t="s">
        <v>838</v>
      </c>
      <c r="C810" s="175" t="s">
        <v>1462</v>
      </c>
      <c r="D810" s="176" t="s">
        <v>1463</v>
      </c>
      <c r="E810" s="177" t="s">
        <v>839</v>
      </c>
      <c r="F810" s="175">
        <f t="shared" si="25"/>
        <v>9</v>
      </c>
      <c r="G810" s="175" t="str">
        <f t="shared" si="26"/>
        <v>Tonopah</v>
      </c>
      <c r="H810" s="175"/>
      <c r="I810" s="178" t="s">
        <v>1291</v>
      </c>
      <c r="J810" s="27" t="s">
        <v>1221</v>
      </c>
      <c r="K810" s="27">
        <v>647</v>
      </c>
      <c r="L810" s="179">
        <v>6511</v>
      </c>
      <c r="M810" s="180" t="s">
        <v>929</v>
      </c>
      <c r="N810" s="181" t="s">
        <v>1463</v>
      </c>
      <c r="O810" s="182" t="s">
        <v>930</v>
      </c>
    </row>
    <row r="811" spans="2:15">
      <c r="B811" s="174" t="s">
        <v>2163</v>
      </c>
      <c r="C811" s="175" t="s">
        <v>1462</v>
      </c>
      <c r="D811" s="176" t="s">
        <v>1463</v>
      </c>
      <c r="E811" s="177" t="s">
        <v>987</v>
      </c>
      <c r="F811" s="175">
        <f t="shared" si="25"/>
        <v>11</v>
      </c>
      <c r="G811" s="175" t="str">
        <f t="shared" si="26"/>
        <v>Las Vegas</v>
      </c>
      <c r="H811" s="175"/>
      <c r="I811" s="178" t="s">
        <v>928</v>
      </c>
      <c r="J811" s="27" t="s">
        <v>1463</v>
      </c>
      <c r="K811" s="27">
        <v>3201</v>
      </c>
      <c r="L811" s="179">
        <v>2407</v>
      </c>
      <c r="M811" s="180" t="s">
        <v>929</v>
      </c>
      <c r="N811" s="181" t="s">
        <v>1463</v>
      </c>
      <c r="O811" s="182" t="s">
        <v>930</v>
      </c>
    </row>
    <row r="812" spans="2:15">
      <c r="B812" s="174" t="s">
        <v>1065</v>
      </c>
      <c r="C812" s="175" t="s">
        <v>1462</v>
      </c>
      <c r="D812" s="176" t="s">
        <v>1463</v>
      </c>
      <c r="E812" s="177" t="s">
        <v>1066</v>
      </c>
      <c r="F812" s="175">
        <f t="shared" si="25"/>
        <v>5</v>
      </c>
      <c r="G812" s="175" t="str">
        <f t="shared" si="26"/>
        <v>Ely</v>
      </c>
      <c r="H812" s="175"/>
      <c r="I812" s="178" t="s">
        <v>1067</v>
      </c>
      <c r="J812" s="27" t="s">
        <v>1463</v>
      </c>
      <c r="K812" s="27">
        <v>208</v>
      </c>
      <c r="L812" s="179">
        <v>7621</v>
      </c>
      <c r="M812" s="180" t="s">
        <v>1466</v>
      </c>
      <c r="N812" s="181" t="s">
        <v>1463</v>
      </c>
      <c r="O812" s="182" t="s">
        <v>1467</v>
      </c>
    </row>
    <row r="813" spans="2:15">
      <c r="B813" s="174" t="s">
        <v>2614</v>
      </c>
      <c r="C813" s="175" t="s">
        <v>1462</v>
      </c>
      <c r="D813" s="176" t="s">
        <v>1463</v>
      </c>
      <c r="E813" s="177" t="s">
        <v>2615</v>
      </c>
      <c r="F813" s="175">
        <f t="shared" si="25"/>
        <v>6</v>
      </c>
      <c r="G813" s="175" t="str">
        <f t="shared" si="26"/>
        <v>Reno</v>
      </c>
      <c r="H813" s="175"/>
      <c r="I813" s="178" t="s">
        <v>1465</v>
      </c>
      <c r="J813" s="27" t="s">
        <v>1463</v>
      </c>
      <c r="K813" s="27">
        <v>508</v>
      </c>
      <c r="L813" s="179">
        <v>5674</v>
      </c>
      <c r="M813" s="180" t="s">
        <v>1466</v>
      </c>
      <c r="N813" s="181" t="s">
        <v>1463</v>
      </c>
      <c r="O813" s="182" t="s">
        <v>1467</v>
      </c>
    </row>
    <row r="814" spans="2:15">
      <c r="B814" s="174" t="s">
        <v>2616</v>
      </c>
      <c r="C814" s="175" t="s">
        <v>1462</v>
      </c>
      <c r="D814" s="176" t="s">
        <v>1463</v>
      </c>
      <c r="E814" s="177" t="s">
        <v>2615</v>
      </c>
      <c r="F814" s="175">
        <f t="shared" si="25"/>
        <v>6</v>
      </c>
      <c r="G814" s="175" t="str">
        <f t="shared" si="26"/>
        <v>Reno</v>
      </c>
      <c r="H814" s="175"/>
      <c r="I814" s="178" t="s">
        <v>1465</v>
      </c>
      <c r="J814" s="27" t="s">
        <v>1463</v>
      </c>
      <c r="K814" s="27">
        <v>508</v>
      </c>
      <c r="L814" s="179">
        <v>5674</v>
      </c>
      <c r="M814" s="180" t="s">
        <v>1466</v>
      </c>
      <c r="N814" s="181" t="s">
        <v>1463</v>
      </c>
      <c r="O814" s="182" t="s">
        <v>1467</v>
      </c>
    </row>
    <row r="815" spans="2:15">
      <c r="B815" s="174" t="s">
        <v>2617</v>
      </c>
      <c r="C815" s="175" t="s">
        <v>1462</v>
      </c>
      <c r="D815" s="176" t="s">
        <v>1463</v>
      </c>
      <c r="E815" s="177" t="s">
        <v>2615</v>
      </c>
      <c r="F815" s="175">
        <f t="shared" si="25"/>
        <v>6</v>
      </c>
      <c r="G815" s="175" t="str">
        <f t="shared" si="26"/>
        <v>Reno</v>
      </c>
      <c r="H815" s="175"/>
      <c r="I815" s="178" t="s">
        <v>1465</v>
      </c>
      <c r="J815" s="27" t="s">
        <v>1463</v>
      </c>
      <c r="K815" s="27">
        <v>508</v>
      </c>
      <c r="L815" s="179">
        <v>5674</v>
      </c>
      <c r="M815" s="180" t="s">
        <v>1466</v>
      </c>
      <c r="N815" s="181" t="s">
        <v>1463</v>
      </c>
      <c r="O815" s="182" t="s">
        <v>1467</v>
      </c>
    </row>
    <row r="816" spans="2:15">
      <c r="B816" s="174" t="s">
        <v>1461</v>
      </c>
      <c r="C816" s="175" t="s">
        <v>1462</v>
      </c>
      <c r="D816" s="176" t="s">
        <v>1463</v>
      </c>
      <c r="E816" s="177" t="s">
        <v>1464</v>
      </c>
      <c r="F816" s="175">
        <f t="shared" si="25"/>
        <v>13</v>
      </c>
      <c r="G816" s="175" t="str">
        <f t="shared" si="26"/>
        <v>Carson City</v>
      </c>
      <c r="H816" s="175"/>
      <c r="I816" s="178" t="s">
        <v>1465</v>
      </c>
      <c r="J816" s="27" t="s">
        <v>1463</v>
      </c>
      <c r="K816" s="27">
        <v>508</v>
      </c>
      <c r="L816" s="179">
        <v>5674</v>
      </c>
      <c r="M816" s="180" t="s">
        <v>1466</v>
      </c>
      <c r="N816" s="181" t="s">
        <v>1463</v>
      </c>
      <c r="O816" s="182" t="s">
        <v>1467</v>
      </c>
    </row>
    <row r="817" spans="2:15">
      <c r="B817" s="174" t="s">
        <v>57</v>
      </c>
      <c r="C817" s="175" t="s">
        <v>1462</v>
      </c>
      <c r="D817" s="176" t="s">
        <v>1463</v>
      </c>
      <c r="E817" s="177" t="s">
        <v>58</v>
      </c>
      <c r="F817" s="175">
        <f t="shared" si="25"/>
        <v>6</v>
      </c>
      <c r="G817" s="175" t="str">
        <f t="shared" si="26"/>
        <v>Elko</v>
      </c>
      <c r="H817" s="175"/>
      <c r="I817" s="178" t="s">
        <v>1053</v>
      </c>
      <c r="J817" s="27" t="s">
        <v>1463</v>
      </c>
      <c r="K817" s="27">
        <v>457</v>
      </c>
      <c r="L817" s="179">
        <v>7077</v>
      </c>
      <c r="M817" s="180" t="s">
        <v>1466</v>
      </c>
      <c r="N817" s="181" t="s">
        <v>1463</v>
      </c>
      <c r="O817" s="182" t="s">
        <v>1467</v>
      </c>
    </row>
    <row r="818" spans="2:15">
      <c r="B818" s="174" t="s">
        <v>2207</v>
      </c>
      <c r="C818" s="175" t="s">
        <v>433</v>
      </c>
      <c r="D818" s="176" t="s">
        <v>434</v>
      </c>
      <c r="E818" s="177" t="s">
        <v>2208</v>
      </c>
      <c r="F818" s="175">
        <f t="shared" si="25"/>
        <v>13</v>
      </c>
      <c r="G818" s="175" t="str">
        <f t="shared" si="26"/>
        <v>Los Angeles</v>
      </c>
      <c r="H818" s="175"/>
      <c r="I818" s="178" t="s">
        <v>75</v>
      </c>
      <c r="J818" s="27" t="s">
        <v>434</v>
      </c>
      <c r="K818" s="27">
        <v>727</v>
      </c>
      <c r="L818" s="179">
        <v>1458</v>
      </c>
      <c r="M818" s="178" t="s">
        <v>437</v>
      </c>
      <c r="N818" s="27" t="s">
        <v>434</v>
      </c>
      <c r="O818" s="182" t="s">
        <v>438</v>
      </c>
    </row>
    <row r="819" spans="2:15">
      <c r="B819" s="174" t="s">
        <v>2209</v>
      </c>
      <c r="C819" s="175" t="s">
        <v>433</v>
      </c>
      <c r="D819" s="176" t="s">
        <v>434</v>
      </c>
      <c r="E819" s="177" t="s">
        <v>2208</v>
      </c>
      <c r="F819" s="175">
        <f t="shared" si="25"/>
        <v>13</v>
      </c>
      <c r="G819" s="175" t="str">
        <f t="shared" si="26"/>
        <v>Los Angeles</v>
      </c>
      <c r="H819" s="175"/>
      <c r="I819" s="178" t="s">
        <v>75</v>
      </c>
      <c r="J819" s="27" t="s">
        <v>434</v>
      </c>
      <c r="K819" s="27">
        <v>727</v>
      </c>
      <c r="L819" s="179">
        <v>1458</v>
      </c>
      <c r="M819" s="178" t="s">
        <v>437</v>
      </c>
      <c r="N819" s="27" t="s">
        <v>434</v>
      </c>
      <c r="O819" s="182" t="s">
        <v>438</v>
      </c>
    </row>
    <row r="820" spans="2:15">
      <c r="B820" s="174" t="s">
        <v>2210</v>
      </c>
      <c r="C820" s="175" t="s">
        <v>433</v>
      </c>
      <c r="D820" s="176" t="s">
        <v>434</v>
      </c>
      <c r="E820" s="177" t="s">
        <v>2208</v>
      </c>
      <c r="F820" s="175">
        <f t="shared" si="25"/>
        <v>13</v>
      </c>
      <c r="G820" s="175" t="str">
        <f t="shared" si="26"/>
        <v>Los Angeles</v>
      </c>
      <c r="H820" s="175"/>
      <c r="I820" s="178" t="s">
        <v>75</v>
      </c>
      <c r="J820" s="27" t="s">
        <v>434</v>
      </c>
      <c r="K820" s="27">
        <v>727</v>
      </c>
      <c r="L820" s="179">
        <v>1458</v>
      </c>
      <c r="M820" s="178" t="s">
        <v>437</v>
      </c>
      <c r="N820" s="27" t="s">
        <v>434</v>
      </c>
      <c r="O820" s="182" t="s">
        <v>438</v>
      </c>
    </row>
    <row r="821" spans="2:15">
      <c r="B821" s="174" t="s">
        <v>73</v>
      </c>
      <c r="C821" s="175" t="s">
        <v>433</v>
      </c>
      <c r="D821" s="176" t="s">
        <v>434</v>
      </c>
      <c r="E821" s="177" t="s">
        <v>74</v>
      </c>
      <c r="F821" s="175">
        <f t="shared" si="25"/>
        <v>11</v>
      </c>
      <c r="G821" s="175" t="str">
        <f t="shared" si="26"/>
        <v>Inglewood</v>
      </c>
      <c r="H821" s="175"/>
      <c r="I821" s="178" t="s">
        <v>75</v>
      </c>
      <c r="J821" s="27" t="s">
        <v>434</v>
      </c>
      <c r="K821" s="27">
        <v>727</v>
      </c>
      <c r="L821" s="179">
        <v>1458</v>
      </c>
      <c r="M821" s="178" t="s">
        <v>437</v>
      </c>
      <c r="N821" s="27" t="s">
        <v>434</v>
      </c>
      <c r="O821" s="182" t="s">
        <v>438</v>
      </c>
    </row>
    <row r="822" spans="2:15">
      <c r="B822" s="174" t="s">
        <v>1029</v>
      </c>
      <c r="C822" s="175" t="s">
        <v>433</v>
      </c>
      <c r="D822" s="176" t="s">
        <v>434</v>
      </c>
      <c r="E822" s="177" t="s">
        <v>1030</v>
      </c>
      <c r="F822" s="175">
        <f t="shared" si="25"/>
        <v>14</v>
      </c>
      <c r="G822" s="175" t="str">
        <f t="shared" si="26"/>
        <v>Santa Monica</v>
      </c>
      <c r="H822" s="175"/>
      <c r="I822" s="178" t="s">
        <v>75</v>
      </c>
      <c r="J822" s="27" t="s">
        <v>434</v>
      </c>
      <c r="K822" s="27">
        <v>727</v>
      </c>
      <c r="L822" s="179">
        <v>1458</v>
      </c>
      <c r="M822" s="178" t="s">
        <v>437</v>
      </c>
      <c r="N822" s="27" t="s">
        <v>434</v>
      </c>
      <c r="O822" s="182" t="s">
        <v>438</v>
      </c>
    </row>
    <row r="823" spans="2:15">
      <c r="B823" s="174" t="s">
        <v>844</v>
      </c>
      <c r="C823" s="175" t="s">
        <v>433</v>
      </c>
      <c r="D823" s="176" t="s">
        <v>434</v>
      </c>
      <c r="E823" s="177" t="s">
        <v>845</v>
      </c>
      <c r="F823" s="175">
        <f t="shared" si="25"/>
        <v>10</v>
      </c>
      <c r="G823" s="175" t="str">
        <f t="shared" si="26"/>
        <v>Torrance</v>
      </c>
      <c r="H823" s="175"/>
      <c r="I823" s="178" t="s">
        <v>462</v>
      </c>
      <c r="J823" s="27" t="s">
        <v>434</v>
      </c>
      <c r="K823" s="27">
        <v>1201</v>
      </c>
      <c r="L823" s="179">
        <v>1430</v>
      </c>
      <c r="M823" s="178" t="s">
        <v>437</v>
      </c>
      <c r="N823" s="27" t="s">
        <v>434</v>
      </c>
      <c r="O823" s="182" t="s">
        <v>438</v>
      </c>
    </row>
    <row r="824" spans="2:15">
      <c r="B824" s="174" t="s">
        <v>1921</v>
      </c>
      <c r="C824" s="175" t="s">
        <v>433</v>
      </c>
      <c r="D824" s="176" t="s">
        <v>434</v>
      </c>
      <c r="E824" s="177" t="s">
        <v>669</v>
      </c>
      <c r="F824" s="175">
        <f t="shared" si="25"/>
        <v>10</v>
      </c>
      <c r="G824" s="175" t="str">
        <f t="shared" si="26"/>
        <v>Whittier</v>
      </c>
      <c r="H824" s="175"/>
      <c r="I824" s="178" t="s">
        <v>462</v>
      </c>
      <c r="J824" s="27" t="s">
        <v>434</v>
      </c>
      <c r="K824" s="27">
        <v>1201</v>
      </c>
      <c r="L824" s="179">
        <v>1430</v>
      </c>
      <c r="M824" s="178" t="s">
        <v>437</v>
      </c>
      <c r="N824" s="27" t="s">
        <v>434</v>
      </c>
      <c r="O824" s="182" t="s">
        <v>438</v>
      </c>
    </row>
    <row r="825" spans="2:15">
      <c r="B825" s="174" t="s">
        <v>1015</v>
      </c>
      <c r="C825" s="175" t="s">
        <v>433</v>
      </c>
      <c r="D825" s="176" t="s">
        <v>434</v>
      </c>
      <c r="E825" s="177" t="s">
        <v>1016</v>
      </c>
      <c r="F825" s="175">
        <f t="shared" si="25"/>
        <v>11</v>
      </c>
      <c r="G825" s="175" t="str">
        <f t="shared" si="26"/>
        <v>San Pedro</v>
      </c>
      <c r="H825" s="175"/>
      <c r="I825" s="178" t="s">
        <v>462</v>
      </c>
      <c r="J825" s="27" t="s">
        <v>434</v>
      </c>
      <c r="K825" s="27">
        <v>1201</v>
      </c>
      <c r="L825" s="179">
        <v>1430</v>
      </c>
      <c r="M825" s="178" t="s">
        <v>437</v>
      </c>
      <c r="N825" s="27" t="s">
        <v>434</v>
      </c>
      <c r="O825" s="182" t="s">
        <v>438</v>
      </c>
    </row>
    <row r="826" spans="2:15">
      <c r="B826" s="174" t="s">
        <v>2201</v>
      </c>
      <c r="C826" s="175" t="s">
        <v>433</v>
      </c>
      <c r="D826" s="176" t="s">
        <v>434</v>
      </c>
      <c r="E826" s="177" t="s">
        <v>2202</v>
      </c>
      <c r="F826" s="175">
        <f t="shared" si="25"/>
        <v>12</v>
      </c>
      <c r="G826" s="175" t="str">
        <f t="shared" si="26"/>
        <v>Long Beach</v>
      </c>
      <c r="H826" s="175"/>
      <c r="I826" s="178" t="s">
        <v>462</v>
      </c>
      <c r="J826" s="27" t="s">
        <v>434</v>
      </c>
      <c r="K826" s="27">
        <v>1201</v>
      </c>
      <c r="L826" s="179">
        <v>1430</v>
      </c>
      <c r="M826" s="178" t="s">
        <v>437</v>
      </c>
      <c r="N826" s="27" t="s">
        <v>434</v>
      </c>
      <c r="O826" s="182" t="s">
        <v>438</v>
      </c>
    </row>
    <row r="827" spans="2:15">
      <c r="B827" s="174" t="s">
        <v>569</v>
      </c>
      <c r="C827" s="175" t="s">
        <v>433</v>
      </c>
      <c r="D827" s="176" t="s">
        <v>434</v>
      </c>
      <c r="E827" s="177" t="s">
        <v>570</v>
      </c>
      <c r="F827" s="175">
        <f t="shared" si="25"/>
        <v>10</v>
      </c>
      <c r="G827" s="175" t="str">
        <f t="shared" si="26"/>
        <v>Pasadena</v>
      </c>
      <c r="H827" s="175"/>
      <c r="I827" s="178" t="s">
        <v>436</v>
      </c>
      <c r="J827" s="27" t="s">
        <v>434</v>
      </c>
      <c r="K827" s="27">
        <v>1537</v>
      </c>
      <c r="L827" s="179">
        <v>1154</v>
      </c>
      <c r="M827" s="178" t="s">
        <v>437</v>
      </c>
      <c r="N827" s="27" t="s">
        <v>434</v>
      </c>
      <c r="O827" s="182" t="s">
        <v>438</v>
      </c>
    </row>
    <row r="828" spans="2:15">
      <c r="B828" s="174" t="s">
        <v>571</v>
      </c>
      <c r="C828" s="175" t="s">
        <v>433</v>
      </c>
      <c r="D828" s="176" t="s">
        <v>434</v>
      </c>
      <c r="E828" s="177" t="s">
        <v>570</v>
      </c>
      <c r="F828" s="175">
        <f t="shared" si="25"/>
        <v>10</v>
      </c>
      <c r="G828" s="175" t="str">
        <f t="shared" si="26"/>
        <v>Pasadena</v>
      </c>
      <c r="H828" s="175"/>
      <c r="I828" s="178" t="s">
        <v>436</v>
      </c>
      <c r="J828" s="27" t="s">
        <v>434</v>
      </c>
      <c r="K828" s="27">
        <v>1537</v>
      </c>
      <c r="L828" s="179">
        <v>1154</v>
      </c>
      <c r="M828" s="178" t="s">
        <v>437</v>
      </c>
      <c r="N828" s="27" t="s">
        <v>434</v>
      </c>
      <c r="O828" s="182" t="s">
        <v>438</v>
      </c>
    </row>
    <row r="829" spans="2:15">
      <c r="B829" s="174" t="s">
        <v>2082</v>
      </c>
      <c r="C829" s="175" t="s">
        <v>433</v>
      </c>
      <c r="D829" s="176" t="s">
        <v>434</v>
      </c>
      <c r="E829" s="177" t="s">
        <v>2083</v>
      </c>
      <c r="F829" s="175">
        <f t="shared" si="25"/>
        <v>10</v>
      </c>
      <c r="G829" s="175" t="str">
        <f t="shared" si="26"/>
        <v>Glendale</v>
      </c>
      <c r="H829" s="175"/>
      <c r="I829" s="178" t="s">
        <v>436</v>
      </c>
      <c r="J829" s="27" t="s">
        <v>434</v>
      </c>
      <c r="K829" s="27">
        <v>1537</v>
      </c>
      <c r="L829" s="179">
        <v>1154</v>
      </c>
      <c r="M829" s="178" t="s">
        <v>437</v>
      </c>
      <c r="N829" s="27" t="s">
        <v>434</v>
      </c>
      <c r="O829" s="182" t="s">
        <v>438</v>
      </c>
    </row>
    <row r="830" spans="2:15">
      <c r="B830" s="174" t="s">
        <v>1857</v>
      </c>
      <c r="C830" s="175" t="s">
        <v>433</v>
      </c>
      <c r="D830" s="176" t="s">
        <v>434</v>
      </c>
      <c r="E830" s="177" t="s">
        <v>1858</v>
      </c>
      <c r="F830" s="175">
        <f t="shared" si="25"/>
        <v>10</v>
      </c>
      <c r="G830" s="175" t="str">
        <f t="shared" si="26"/>
        <v>Van Nuys</v>
      </c>
      <c r="H830" s="175"/>
      <c r="I830" s="178" t="s">
        <v>1636</v>
      </c>
      <c r="J830" s="27" t="s">
        <v>434</v>
      </c>
      <c r="K830" s="27">
        <v>2365</v>
      </c>
      <c r="L830" s="179">
        <v>2182</v>
      </c>
      <c r="M830" s="178" t="s">
        <v>437</v>
      </c>
      <c r="N830" s="27" t="s">
        <v>434</v>
      </c>
      <c r="O830" s="182" t="s">
        <v>438</v>
      </c>
    </row>
    <row r="831" spans="2:15">
      <c r="B831" s="174" t="s">
        <v>1859</v>
      </c>
      <c r="C831" s="175" t="s">
        <v>433</v>
      </c>
      <c r="D831" s="176" t="s">
        <v>434</v>
      </c>
      <c r="E831" s="177" t="s">
        <v>1858</v>
      </c>
      <c r="F831" s="175">
        <f t="shared" si="25"/>
        <v>10</v>
      </c>
      <c r="G831" s="175" t="str">
        <f t="shared" si="26"/>
        <v>Van Nuys</v>
      </c>
      <c r="H831" s="175"/>
      <c r="I831" s="178" t="s">
        <v>436</v>
      </c>
      <c r="J831" s="27" t="s">
        <v>434</v>
      </c>
      <c r="K831" s="27">
        <v>1537</v>
      </c>
      <c r="L831" s="179">
        <v>1154</v>
      </c>
      <c r="M831" s="178" t="s">
        <v>437</v>
      </c>
      <c r="N831" s="27" t="s">
        <v>434</v>
      </c>
      <c r="O831" s="182" t="s">
        <v>438</v>
      </c>
    </row>
    <row r="832" spans="2:15">
      <c r="B832" s="174" t="s">
        <v>1391</v>
      </c>
      <c r="C832" s="175" t="s">
        <v>433</v>
      </c>
      <c r="D832" s="176" t="s">
        <v>434</v>
      </c>
      <c r="E832" s="177" t="s">
        <v>1392</v>
      </c>
      <c r="F832" s="175">
        <f t="shared" si="25"/>
        <v>9</v>
      </c>
      <c r="G832" s="175" t="str">
        <f t="shared" si="26"/>
        <v>Burbank</v>
      </c>
      <c r="H832" s="175"/>
      <c r="I832" s="178" t="s">
        <v>436</v>
      </c>
      <c r="J832" s="27" t="s">
        <v>434</v>
      </c>
      <c r="K832" s="27">
        <v>1537</v>
      </c>
      <c r="L832" s="179">
        <v>1154</v>
      </c>
      <c r="M832" s="178" t="s">
        <v>437</v>
      </c>
      <c r="N832" s="27" t="s">
        <v>434</v>
      </c>
      <c r="O832" s="182" t="s">
        <v>438</v>
      </c>
    </row>
    <row r="833" spans="2:15">
      <c r="B833" s="174" t="s">
        <v>1200</v>
      </c>
      <c r="C833" s="175" t="s">
        <v>433</v>
      </c>
      <c r="D833" s="176" t="s">
        <v>434</v>
      </c>
      <c r="E833" s="177" t="s">
        <v>1201</v>
      </c>
      <c r="F833" s="175">
        <f t="shared" si="25"/>
        <v>17</v>
      </c>
      <c r="G833" s="175" t="str">
        <f t="shared" si="26"/>
        <v>North Hollywood</v>
      </c>
      <c r="H833" s="175"/>
      <c r="I833" s="178" t="s">
        <v>436</v>
      </c>
      <c r="J833" s="27" t="s">
        <v>434</v>
      </c>
      <c r="K833" s="27">
        <v>1537</v>
      </c>
      <c r="L833" s="179">
        <v>1154</v>
      </c>
      <c r="M833" s="178" t="s">
        <v>437</v>
      </c>
      <c r="N833" s="27" t="s">
        <v>434</v>
      </c>
      <c r="O833" s="182" t="s">
        <v>438</v>
      </c>
    </row>
    <row r="834" spans="2:15">
      <c r="B834" s="174" t="s">
        <v>1731</v>
      </c>
      <c r="C834" s="175" t="s">
        <v>433</v>
      </c>
      <c r="D834" s="176" t="s">
        <v>434</v>
      </c>
      <c r="E834" s="177" t="s">
        <v>1732</v>
      </c>
      <c r="F834" s="175">
        <f t="shared" si="25"/>
        <v>8</v>
      </c>
      <c r="G834" s="175" t="str">
        <f t="shared" si="26"/>
        <v>Covina</v>
      </c>
      <c r="H834" s="175"/>
      <c r="I834" s="178" t="s">
        <v>462</v>
      </c>
      <c r="J834" s="27" t="s">
        <v>434</v>
      </c>
      <c r="K834" s="27">
        <v>1201</v>
      </c>
      <c r="L834" s="179">
        <v>1430</v>
      </c>
      <c r="M834" s="178" t="s">
        <v>437</v>
      </c>
      <c r="N834" s="27" t="s">
        <v>434</v>
      </c>
      <c r="O834" s="182" t="s">
        <v>438</v>
      </c>
    </row>
    <row r="835" spans="2:15">
      <c r="B835" s="174" t="s">
        <v>432</v>
      </c>
      <c r="C835" s="175" t="s">
        <v>433</v>
      </c>
      <c r="D835" s="176" t="s">
        <v>434</v>
      </c>
      <c r="E835" s="177" t="s">
        <v>435</v>
      </c>
      <c r="F835" s="175">
        <f t="shared" si="25"/>
        <v>10</v>
      </c>
      <c r="G835" s="175" t="str">
        <f t="shared" si="26"/>
        <v>Alhambra</v>
      </c>
      <c r="H835" s="175"/>
      <c r="I835" s="178" t="s">
        <v>436</v>
      </c>
      <c r="J835" s="27" t="s">
        <v>434</v>
      </c>
      <c r="K835" s="27">
        <v>1537</v>
      </c>
      <c r="L835" s="179">
        <v>1154</v>
      </c>
      <c r="M835" s="178" t="s">
        <v>437</v>
      </c>
      <c r="N835" s="27" t="s">
        <v>434</v>
      </c>
      <c r="O835" s="182" t="s">
        <v>438</v>
      </c>
    </row>
    <row r="836" spans="2:15">
      <c r="B836" s="174" t="s">
        <v>374</v>
      </c>
      <c r="C836" s="175" t="s">
        <v>433</v>
      </c>
      <c r="D836" s="176" t="s">
        <v>434</v>
      </c>
      <c r="E836" s="177" t="s">
        <v>375</v>
      </c>
      <c r="F836" s="175">
        <f t="shared" si="25"/>
        <v>11</v>
      </c>
      <c r="G836" s="175" t="str">
        <f t="shared" si="26"/>
        <v>San Diego</v>
      </c>
      <c r="H836" s="175"/>
      <c r="I836" s="178" t="s">
        <v>2390</v>
      </c>
      <c r="J836" s="27" t="s">
        <v>434</v>
      </c>
      <c r="K836" s="27">
        <v>984</v>
      </c>
      <c r="L836" s="179">
        <v>1256</v>
      </c>
      <c r="M836" s="178" t="s">
        <v>2391</v>
      </c>
      <c r="N836" s="27" t="s">
        <v>434</v>
      </c>
      <c r="O836" s="182" t="s">
        <v>2392</v>
      </c>
    </row>
    <row r="837" spans="2:15">
      <c r="B837" s="174" t="s">
        <v>376</v>
      </c>
      <c r="C837" s="175" t="s">
        <v>433</v>
      </c>
      <c r="D837" s="176" t="s">
        <v>434</v>
      </c>
      <c r="E837" s="177" t="s">
        <v>375</v>
      </c>
      <c r="F837" s="175">
        <f t="shared" si="25"/>
        <v>11</v>
      </c>
      <c r="G837" s="175" t="str">
        <f t="shared" si="26"/>
        <v>San Diego</v>
      </c>
      <c r="H837" s="175"/>
      <c r="I837" s="178" t="s">
        <v>462</v>
      </c>
      <c r="J837" s="27" t="s">
        <v>434</v>
      </c>
      <c r="K837" s="27">
        <v>1201</v>
      </c>
      <c r="L837" s="179">
        <v>1430</v>
      </c>
      <c r="M837" s="178" t="s">
        <v>2391</v>
      </c>
      <c r="N837" s="27" t="s">
        <v>434</v>
      </c>
      <c r="O837" s="182" t="s">
        <v>2392</v>
      </c>
    </row>
    <row r="838" spans="2:15">
      <c r="B838" s="174" t="s">
        <v>377</v>
      </c>
      <c r="C838" s="175" t="s">
        <v>433</v>
      </c>
      <c r="D838" s="176" t="s">
        <v>434</v>
      </c>
      <c r="E838" s="177" t="s">
        <v>375</v>
      </c>
      <c r="F838" s="175">
        <f t="shared" si="25"/>
        <v>11</v>
      </c>
      <c r="G838" s="175" t="str">
        <f t="shared" si="26"/>
        <v>San Diego</v>
      </c>
      <c r="H838" s="175"/>
      <c r="I838" s="178" t="s">
        <v>2390</v>
      </c>
      <c r="J838" s="27" t="s">
        <v>434</v>
      </c>
      <c r="K838" s="27">
        <v>984</v>
      </c>
      <c r="L838" s="179">
        <v>1256</v>
      </c>
      <c r="M838" s="178" t="s">
        <v>2391</v>
      </c>
      <c r="N838" s="27" t="s">
        <v>434</v>
      </c>
      <c r="O838" s="182" t="s">
        <v>2392</v>
      </c>
    </row>
    <row r="839" spans="2:15">
      <c r="B839" s="174" t="s">
        <v>2388</v>
      </c>
      <c r="C839" s="175" t="s">
        <v>433</v>
      </c>
      <c r="D839" s="176" t="s">
        <v>434</v>
      </c>
      <c r="E839" s="177" t="s">
        <v>2389</v>
      </c>
      <c r="F839" s="175">
        <f t="shared" si="25"/>
        <v>14</v>
      </c>
      <c r="G839" s="175" t="str">
        <f t="shared" si="26"/>
        <v>Palm Springs</v>
      </c>
      <c r="H839" s="175"/>
      <c r="I839" s="178" t="s">
        <v>2390</v>
      </c>
      <c r="J839" s="27" t="s">
        <v>434</v>
      </c>
      <c r="K839" s="27">
        <v>984</v>
      </c>
      <c r="L839" s="179">
        <v>1256</v>
      </c>
      <c r="M839" s="178" t="s">
        <v>2391</v>
      </c>
      <c r="N839" s="27" t="s">
        <v>434</v>
      </c>
      <c r="O839" s="182" t="s">
        <v>2392</v>
      </c>
    </row>
    <row r="840" spans="2:15">
      <c r="B840" s="174" t="s">
        <v>370</v>
      </c>
      <c r="C840" s="175" t="s">
        <v>433</v>
      </c>
      <c r="D840" s="176" t="s">
        <v>434</v>
      </c>
      <c r="E840" s="177" t="s">
        <v>371</v>
      </c>
      <c r="F840" s="175">
        <f t="shared" si="25"/>
        <v>32</v>
      </c>
      <c r="G840" s="175" t="str">
        <f t="shared" si="26"/>
        <v>San Bern./Victorville/Redlands</v>
      </c>
      <c r="H840" s="175"/>
      <c r="I840" s="178" t="s">
        <v>928</v>
      </c>
      <c r="J840" s="27" t="s">
        <v>1463</v>
      </c>
      <c r="K840" s="27">
        <v>3201</v>
      </c>
      <c r="L840" s="179">
        <v>2407</v>
      </c>
      <c r="M840" s="180" t="s">
        <v>929</v>
      </c>
      <c r="N840" s="181" t="s">
        <v>1463</v>
      </c>
      <c r="O840" s="182" t="s">
        <v>930</v>
      </c>
    </row>
    <row r="841" spans="2:15">
      <c r="B841" s="174" t="s">
        <v>372</v>
      </c>
      <c r="C841" s="175" t="s">
        <v>433</v>
      </c>
      <c r="D841" s="176" t="s">
        <v>434</v>
      </c>
      <c r="E841" s="177" t="s">
        <v>373</v>
      </c>
      <c r="F841" s="175">
        <f t="shared" si="25"/>
        <v>16</v>
      </c>
      <c r="G841" s="175" t="str">
        <f t="shared" si="26"/>
        <v>San Bernardino</v>
      </c>
      <c r="H841" s="175"/>
      <c r="I841" s="178" t="s">
        <v>436</v>
      </c>
      <c r="J841" s="27" t="s">
        <v>434</v>
      </c>
      <c r="K841" s="27">
        <v>1537</v>
      </c>
      <c r="L841" s="179">
        <v>1154</v>
      </c>
      <c r="M841" s="178" t="s">
        <v>437</v>
      </c>
      <c r="N841" s="27" t="s">
        <v>434</v>
      </c>
      <c r="O841" s="182" t="s">
        <v>438</v>
      </c>
    </row>
    <row r="842" spans="2:15">
      <c r="B842" s="174" t="s">
        <v>287</v>
      </c>
      <c r="C842" s="175" t="s">
        <v>433</v>
      </c>
      <c r="D842" s="176" t="s">
        <v>434</v>
      </c>
      <c r="E842" s="177" t="s">
        <v>288</v>
      </c>
      <c r="F842" s="175">
        <f t="shared" ref="F842:F905" si="27">LEN(E842)</f>
        <v>11</v>
      </c>
      <c r="G842" s="175" t="str">
        <f t="shared" ref="G842:G905" si="28">MID(E842,2,F842-2)</f>
        <v>Riverside</v>
      </c>
      <c r="H842" s="175"/>
      <c r="I842" s="178" t="s">
        <v>436</v>
      </c>
      <c r="J842" s="27" t="s">
        <v>434</v>
      </c>
      <c r="K842" s="27">
        <v>1537</v>
      </c>
      <c r="L842" s="179">
        <v>1154</v>
      </c>
      <c r="M842" s="178" t="s">
        <v>437</v>
      </c>
      <c r="N842" s="27" t="s">
        <v>434</v>
      </c>
      <c r="O842" s="182" t="s">
        <v>438</v>
      </c>
    </row>
    <row r="843" spans="2:15">
      <c r="B843" s="174" t="s">
        <v>1019</v>
      </c>
      <c r="C843" s="175" t="s">
        <v>433</v>
      </c>
      <c r="D843" s="176" t="s">
        <v>434</v>
      </c>
      <c r="E843" s="177" t="s">
        <v>1020</v>
      </c>
      <c r="F843" s="175">
        <f t="shared" si="27"/>
        <v>11</v>
      </c>
      <c r="G843" s="175" t="str">
        <f t="shared" si="28"/>
        <v>Santa Ana</v>
      </c>
      <c r="H843" s="175"/>
      <c r="I843" s="178" t="s">
        <v>462</v>
      </c>
      <c r="J843" s="27" t="s">
        <v>434</v>
      </c>
      <c r="K843" s="27">
        <v>1201</v>
      </c>
      <c r="L843" s="179">
        <v>1430</v>
      </c>
      <c r="M843" s="178" t="s">
        <v>437</v>
      </c>
      <c r="N843" s="27" t="s">
        <v>434</v>
      </c>
      <c r="O843" s="182" t="s">
        <v>438</v>
      </c>
    </row>
    <row r="844" spans="2:15">
      <c r="B844" s="174" t="s">
        <v>1021</v>
      </c>
      <c r="C844" s="175" t="s">
        <v>433</v>
      </c>
      <c r="D844" s="176" t="s">
        <v>434</v>
      </c>
      <c r="E844" s="177" t="s">
        <v>1020</v>
      </c>
      <c r="F844" s="175">
        <f t="shared" si="27"/>
        <v>11</v>
      </c>
      <c r="G844" s="175" t="str">
        <f t="shared" si="28"/>
        <v>Santa Ana</v>
      </c>
      <c r="H844" s="175"/>
      <c r="I844" s="178" t="s">
        <v>462</v>
      </c>
      <c r="J844" s="27" t="s">
        <v>434</v>
      </c>
      <c r="K844" s="27">
        <v>1201</v>
      </c>
      <c r="L844" s="179">
        <v>1430</v>
      </c>
      <c r="M844" s="178" t="s">
        <v>437</v>
      </c>
      <c r="N844" s="27" t="s">
        <v>434</v>
      </c>
      <c r="O844" s="182" t="s">
        <v>438</v>
      </c>
    </row>
    <row r="845" spans="2:15">
      <c r="B845" s="174" t="s">
        <v>460</v>
      </c>
      <c r="C845" s="175" t="s">
        <v>433</v>
      </c>
      <c r="D845" s="176" t="s">
        <v>434</v>
      </c>
      <c r="E845" s="177" t="s">
        <v>461</v>
      </c>
      <c r="F845" s="175">
        <f t="shared" si="27"/>
        <v>9</v>
      </c>
      <c r="G845" s="175" t="str">
        <f t="shared" si="28"/>
        <v>Anaheim</v>
      </c>
      <c r="H845" s="175"/>
      <c r="I845" s="178" t="s">
        <v>462</v>
      </c>
      <c r="J845" s="27" t="s">
        <v>434</v>
      </c>
      <c r="K845" s="27">
        <v>1201</v>
      </c>
      <c r="L845" s="179">
        <v>1430</v>
      </c>
      <c r="M845" s="178" t="s">
        <v>437</v>
      </c>
      <c r="N845" s="27" t="s">
        <v>434</v>
      </c>
      <c r="O845" s="182" t="s">
        <v>438</v>
      </c>
    </row>
    <row r="846" spans="2:15">
      <c r="B846" s="174" t="s">
        <v>1862</v>
      </c>
      <c r="C846" s="175" t="s">
        <v>433</v>
      </c>
      <c r="D846" s="176" t="s">
        <v>434</v>
      </c>
      <c r="E846" s="177" t="s">
        <v>1863</v>
      </c>
      <c r="F846" s="175">
        <f t="shared" si="27"/>
        <v>16</v>
      </c>
      <c r="G846" s="175" t="str">
        <f t="shared" si="28"/>
        <v>Ventura/Oxnard</v>
      </c>
      <c r="H846" s="175"/>
      <c r="I846" s="178" t="s">
        <v>1636</v>
      </c>
      <c r="J846" s="27" t="s">
        <v>434</v>
      </c>
      <c r="K846" s="27">
        <v>2365</v>
      </c>
      <c r="L846" s="179">
        <v>2182</v>
      </c>
      <c r="M846" s="178" t="s">
        <v>437</v>
      </c>
      <c r="N846" s="27" t="s">
        <v>434</v>
      </c>
      <c r="O846" s="182" t="s">
        <v>438</v>
      </c>
    </row>
    <row r="847" spans="2:15">
      <c r="B847" s="174" t="s">
        <v>1022</v>
      </c>
      <c r="C847" s="175" t="s">
        <v>433</v>
      </c>
      <c r="D847" s="176" t="s">
        <v>434</v>
      </c>
      <c r="E847" s="177" t="s">
        <v>1023</v>
      </c>
      <c r="F847" s="175">
        <f t="shared" si="27"/>
        <v>15</v>
      </c>
      <c r="G847" s="175" t="str">
        <f t="shared" si="28"/>
        <v>Santa Barbara</v>
      </c>
      <c r="H847" s="175"/>
      <c r="I847" s="178" t="s">
        <v>1024</v>
      </c>
      <c r="J847" s="27" t="s">
        <v>434</v>
      </c>
      <c r="K847" s="27">
        <v>289</v>
      </c>
      <c r="L847" s="179">
        <v>2438</v>
      </c>
      <c r="M847" s="178" t="s">
        <v>437</v>
      </c>
      <c r="N847" s="27" t="s">
        <v>434</v>
      </c>
      <c r="O847" s="182" t="s">
        <v>438</v>
      </c>
    </row>
    <row r="848" spans="2:15">
      <c r="B848" s="174" t="s">
        <v>1639</v>
      </c>
      <c r="C848" s="175" t="s">
        <v>433</v>
      </c>
      <c r="D848" s="176" t="s">
        <v>434</v>
      </c>
      <c r="E848" s="177" t="s">
        <v>1640</v>
      </c>
      <c r="F848" s="175">
        <f t="shared" si="27"/>
        <v>21</v>
      </c>
      <c r="G848" s="175" t="str">
        <f t="shared" si="28"/>
        <v>Bakersfield/Visalia</v>
      </c>
      <c r="H848" s="175"/>
      <c r="I848" s="178" t="s">
        <v>1641</v>
      </c>
      <c r="J848" s="27" t="s">
        <v>434</v>
      </c>
      <c r="K848" s="27">
        <v>1967</v>
      </c>
      <c r="L848" s="179">
        <v>2556</v>
      </c>
      <c r="M848" s="178" t="s">
        <v>1637</v>
      </c>
      <c r="N848" s="27" t="s">
        <v>434</v>
      </c>
      <c r="O848" s="182" t="s">
        <v>1638</v>
      </c>
    </row>
    <row r="849" spans="2:15">
      <c r="B849" s="174" t="s">
        <v>1634</v>
      </c>
      <c r="C849" s="175" t="s">
        <v>433</v>
      </c>
      <c r="D849" s="176" t="s">
        <v>434</v>
      </c>
      <c r="E849" s="177" t="s">
        <v>1635</v>
      </c>
      <c r="F849" s="175">
        <f t="shared" si="27"/>
        <v>13</v>
      </c>
      <c r="G849" s="175" t="str">
        <f t="shared" si="28"/>
        <v>Bakersfield</v>
      </c>
      <c r="H849" s="175"/>
      <c r="I849" s="178" t="s">
        <v>1636</v>
      </c>
      <c r="J849" s="27" t="s">
        <v>434</v>
      </c>
      <c r="K849" s="27">
        <v>2365</v>
      </c>
      <c r="L849" s="179">
        <v>2182</v>
      </c>
      <c r="M849" s="178" t="s">
        <v>1637</v>
      </c>
      <c r="N849" s="27" t="s">
        <v>434</v>
      </c>
      <c r="O849" s="182" t="s">
        <v>1638</v>
      </c>
    </row>
    <row r="850" spans="2:15">
      <c r="B850" s="174" t="s">
        <v>1010</v>
      </c>
      <c r="C850" s="175" t="s">
        <v>433</v>
      </c>
      <c r="D850" s="176" t="s">
        <v>434</v>
      </c>
      <c r="E850" s="177" t="s">
        <v>1011</v>
      </c>
      <c r="F850" s="175">
        <f t="shared" si="27"/>
        <v>17</v>
      </c>
      <c r="G850" s="175" t="str">
        <f t="shared" si="28"/>
        <v>San Luis Obispo</v>
      </c>
      <c r="H850" s="175"/>
      <c r="I850" s="178" t="s">
        <v>1012</v>
      </c>
      <c r="J850" s="27" t="s">
        <v>434</v>
      </c>
      <c r="K850" s="27">
        <v>169</v>
      </c>
      <c r="L850" s="179">
        <v>2984</v>
      </c>
      <c r="M850" s="178" t="s">
        <v>1637</v>
      </c>
      <c r="N850" s="27" t="s">
        <v>434</v>
      </c>
      <c r="O850" s="182" t="s">
        <v>1638</v>
      </c>
    </row>
    <row r="851" spans="2:15">
      <c r="B851" s="174" t="s">
        <v>969</v>
      </c>
      <c r="C851" s="175" t="s">
        <v>433</v>
      </c>
      <c r="D851" s="176" t="s">
        <v>434</v>
      </c>
      <c r="E851" s="177" t="s">
        <v>970</v>
      </c>
      <c r="F851" s="175">
        <f t="shared" si="27"/>
        <v>11</v>
      </c>
      <c r="G851" s="175" t="str">
        <f t="shared" si="28"/>
        <v>Lancaster</v>
      </c>
      <c r="H851" s="175"/>
      <c r="I851" s="178" t="s">
        <v>971</v>
      </c>
      <c r="J851" s="27" t="s">
        <v>434</v>
      </c>
      <c r="K851" s="27">
        <v>1039</v>
      </c>
      <c r="L851" s="179">
        <v>4310</v>
      </c>
      <c r="M851" s="180" t="s">
        <v>1466</v>
      </c>
      <c r="N851" s="181" t="s">
        <v>1463</v>
      </c>
      <c r="O851" s="182" t="s">
        <v>1467</v>
      </c>
    </row>
    <row r="852" spans="2:15">
      <c r="B852" s="174" t="s">
        <v>2048</v>
      </c>
      <c r="C852" s="175" t="s">
        <v>433</v>
      </c>
      <c r="D852" s="176" t="s">
        <v>434</v>
      </c>
      <c r="E852" s="177" t="s">
        <v>2049</v>
      </c>
      <c r="F852" s="175">
        <f t="shared" si="27"/>
        <v>8</v>
      </c>
      <c r="G852" s="175" t="str">
        <f t="shared" si="28"/>
        <v>Fresno</v>
      </c>
      <c r="H852" s="175"/>
      <c r="I852" s="178" t="s">
        <v>1641</v>
      </c>
      <c r="J852" s="27" t="s">
        <v>434</v>
      </c>
      <c r="K852" s="27">
        <v>1967</v>
      </c>
      <c r="L852" s="179">
        <v>2556</v>
      </c>
      <c r="M852" s="178" t="s">
        <v>1637</v>
      </c>
      <c r="N852" s="27" t="s">
        <v>434</v>
      </c>
      <c r="O852" s="182" t="s">
        <v>1638</v>
      </c>
    </row>
    <row r="853" spans="2:15">
      <c r="B853" s="174" t="s">
        <v>2050</v>
      </c>
      <c r="C853" s="175" t="s">
        <v>433</v>
      </c>
      <c r="D853" s="176" t="s">
        <v>434</v>
      </c>
      <c r="E853" s="177" t="s">
        <v>2049</v>
      </c>
      <c r="F853" s="175">
        <f t="shared" si="27"/>
        <v>8</v>
      </c>
      <c r="G853" s="175" t="str">
        <f t="shared" si="28"/>
        <v>Fresno</v>
      </c>
      <c r="H853" s="175"/>
      <c r="I853" s="178" t="s">
        <v>1641</v>
      </c>
      <c r="J853" s="27" t="s">
        <v>434</v>
      </c>
      <c r="K853" s="27">
        <v>1967</v>
      </c>
      <c r="L853" s="179">
        <v>2556</v>
      </c>
      <c r="M853" s="178" t="s">
        <v>1637</v>
      </c>
      <c r="N853" s="27" t="s">
        <v>434</v>
      </c>
      <c r="O853" s="182" t="s">
        <v>1638</v>
      </c>
    </row>
    <row r="854" spans="2:15">
      <c r="B854" s="174" t="s">
        <v>185</v>
      </c>
      <c r="C854" s="175" t="s">
        <v>433</v>
      </c>
      <c r="D854" s="176" t="s">
        <v>434</v>
      </c>
      <c r="E854" s="177" t="s">
        <v>186</v>
      </c>
      <c r="F854" s="175">
        <f t="shared" si="27"/>
        <v>10</v>
      </c>
      <c r="G854" s="175" t="str">
        <f t="shared" si="28"/>
        <v>Monterey</v>
      </c>
      <c r="H854" s="175"/>
      <c r="I854" s="178" t="s">
        <v>187</v>
      </c>
      <c r="J854" s="27" t="s">
        <v>434</v>
      </c>
      <c r="K854" s="27">
        <v>65</v>
      </c>
      <c r="L854" s="179">
        <v>3005</v>
      </c>
      <c r="M854" s="178" t="s">
        <v>188</v>
      </c>
      <c r="N854" s="27" t="s">
        <v>434</v>
      </c>
      <c r="O854" s="182" t="s">
        <v>189</v>
      </c>
    </row>
    <row r="855" spans="2:15">
      <c r="B855" s="174" t="s">
        <v>2334</v>
      </c>
      <c r="C855" s="175" t="s">
        <v>433</v>
      </c>
      <c r="D855" s="176" t="s">
        <v>434</v>
      </c>
      <c r="E855" s="177" t="s">
        <v>2335</v>
      </c>
      <c r="F855" s="175">
        <f t="shared" si="27"/>
        <v>19</v>
      </c>
      <c r="G855" s="175" t="str">
        <f t="shared" si="28"/>
        <v>So. San Francisco</v>
      </c>
      <c r="H855" s="175"/>
      <c r="I855" s="178" t="s">
        <v>187</v>
      </c>
      <c r="J855" s="27" t="s">
        <v>434</v>
      </c>
      <c r="K855" s="27">
        <v>65</v>
      </c>
      <c r="L855" s="179">
        <v>3005</v>
      </c>
      <c r="M855" s="178" t="s">
        <v>188</v>
      </c>
      <c r="N855" s="27" t="s">
        <v>434</v>
      </c>
      <c r="O855" s="182" t="s">
        <v>189</v>
      </c>
    </row>
    <row r="856" spans="2:15">
      <c r="B856" s="174" t="s">
        <v>378</v>
      </c>
      <c r="C856" s="175" t="s">
        <v>433</v>
      </c>
      <c r="D856" s="176" t="s">
        <v>434</v>
      </c>
      <c r="E856" s="177" t="s">
        <v>379</v>
      </c>
      <c r="F856" s="175">
        <f t="shared" si="27"/>
        <v>15</v>
      </c>
      <c r="G856" s="175" t="str">
        <f t="shared" si="28"/>
        <v>San Francisco</v>
      </c>
      <c r="H856" s="175"/>
      <c r="I856" s="178" t="s">
        <v>187</v>
      </c>
      <c r="J856" s="27" t="s">
        <v>434</v>
      </c>
      <c r="K856" s="27">
        <v>65</v>
      </c>
      <c r="L856" s="179">
        <v>3005</v>
      </c>
      <c r="M856" s="178" t="s">
        <v>188</v>
      </c>
      <c r="N856" s="27" t="s">
        <v>434</v>
      </c>
      <c r="O856" s="182" t="s">
        <v>189</v>
      </c>
    </row>
    <row r="857" spans="2:15">
      <c r="B857" s="174" t="s">
        <v>329</v>
      </c>
      <c r="C857" s="175" t="s">
        <v>433</v>
      </c>
      <c r="D857" s="176" t="s">
        <v>434</v>
      </c>
      <c r="E857" s="177" t="s">
        <v>330</v>
      </c>
      <c r="F857" s="175">
        <f t="shared" si="27"/>
        <v>24</v>
      </c>
      <c r="G857" s="175" t="str">
        <f t="shared" si="28"/>
        <v>Sacramento/Placerville</v>
      </c>
      <c r="H857" s="175"/>
      <c r="I857" s="178" t="s">
        <v>1481</v>
      </c>
      <c r="J857" s="27" t="s">
        <v>434</v>
      </c>
      <c r="K857" s="27">
        <v>145</v>
      </c>
      <c r="L857" s="179">
        <v>3016</v>
      </c>
      <c r="M857" s="178" t="s">
        <v>595</v>
      </c>
      <c r="N857" s="27" t="s">
        <v>434</v>
      </c>
      <c r="O857" s="182" t="s">
        <v>596</v>
      </c>
    </row>
    <row r="858" spans="2:15">
      <c r="B858" s="174" t="s">
        <v>2393</v>
      </c>
      <c r="C858" s="175" t="s">
        <v>433</v>
      </c>
      <c r="D858" s="176" t="s">
        <v>434</v>
      </c>
      <c r="E858" s="177" t="s">
        <v>561</v>
      </c>
      <c r="F858" s="175">
        <f t="shared" si="27"/>
        <v>11</v>
      </c>
      <c r="G858" s="175" t="str">
        <f t="shared" si="28"/>
        <v>Palo Alto</v>
      </c>
      <c r="H858" s="175"/>
      <c r="I858" s="178" t="s">
        <v>1481</v>
      </c>
      <c r="J858" s="27" t="s">
        <v>434</v>
      </c>
      <c r="K858" s="27">
        <v>145</v>
      </c>
      <c r="L858" s="179">
        <v>3016</v>
      </c>
      <c r="M858" s="178" t="s">
        <v>1482</v>
      </c>
      <c r="N858" s="27" t="s">
        <v>434</v>
      </c>
      <c r="O858" s="182" t="s">
        <v>1483</v>
      </c>
    </row>
    <row r="859" spans="2:15">
      <c r="B859" s="174" t="s">
        <v>1013</v>
      </c>
      <c r="C859" s="175" t="s">
        <v>433</v>
      </c>
      <c r="D859" s="176" t="s">
        <v>434</v>
      </c>
      <c r="E859" s="177" t="s">
        <v>1014</v>
      </c>
      <c r="F859" s="175">
        <f t="shared" si="27"/>
        <v>11</v>
      </c>
      <c r="G859" s="175" t="str">
        <f t="shared" si="28"/>
        <v>San Mateo</v>
      </c>
      <c r="H859" s="175"/>
      <c r="I859" s="178" t="s">
        <v>1481</v>
      </c>
      <c r="J859" s="27" t="s">
        <v>434</v>
      </c>
      <c r="K859" s="27">
        <v>145</v>
      </c>
      <c r="L859" s="179">
        <v>3016</v>
      </c>
      <c r="M859" s="178" t="s">
        <v>1482</v>
      </c>
      <c r="N859" s="27" t="s">
        <v>434</v>
      </c>
      <c r="O859" s="182" t="s">
        <v>1483</v>
      </c>
    </row>
    <row r="860" spans="2:15">
      <c r="B860" s="174" t="s">
        <v>592</v>
      </c>
      <c r="C860" s="175" t="s">
        <v>433</v>
      </c>
      <c r="D860" s="176" t="s">
        <v>434</v>
      </c>
      <c r="E860" s="177" t="s">
        <v>593</v>
      </c>
      <c r="F860" s="175">
        <f t="shared" si="27"/>
        <v>9</v>
      </c>
      <c r="G860" s="175" t="str">
        <f t="shared" si="28"/>
        <v>Concord</v>
      </c>
      <c r="H860" s="175"/>
      <c r="I860" s="178" t="s">
        <v>594</v>
      </c>
      <c r="J860" s="27" t="s">
        <v>434</v>
      </c>
      <c r="K860" s="27">
        <v>1237</v>
      </c>
      <c r="L860" s="179">
        <v>2749</v>
      </c>
      <c r="M860" s="178" t="s">
        <v>595</v>
      </c>
      <c r="N860" s="27" t="s">
        <v>434</v>
      </c>
      <c r="O860" s="182" t="s">
        <v>596</v>
      </c>
    </row>
    <row r="861" spans="2:15">
      <c r="B861" s="174" t="s">
        <v>1212</v>
      </c>
      <c r="C861" s="175" t="s">
        <v>433</v>
      </c>
      <c r="D861" s="176" t="s">
        <v>434</v>
      </c>
      <c r="E861" s="177" t="s">
        <v>1213</v>
      </c>
      <c r="F861" s="175">
        <f t="shared" si="27"/>
        <v>9</v>
      </c>
      <c r="G861" s="175" t="str">
        <f t="shared" si="28"/>
        <v>Oakland</v>
      </c>
      <c r="H861" s="175"/>
      <c r="I861" s="178" t="s">
        <v>1481</v>
      </c>
      <c r="J861" s="27" t="s">
        <v>434</v>
      </c>
      <c r="K861" s="27">
        <v>145</v>
      </c>
      <c r="L861" s="179">
        <v>3016</v>
      </c>
      <c r="M861" s="178" t="s">
        <v>1482</v>
      </c>
      <c r="N861" s="27" t="s">
        <v>434</v>
      </c>
      <c r="O861" s="182" t="s">
        <v>1483</v>
      </c>
    </row>
    <row r="862" spans="2:15">
      <c r="B862" s="174" t="s">
        <v>1479</v>
      </c>
      <c r="C862" s="175" t="s">
        <v>433</v>
      </c>
      <c r="D862" s="176" t="s">
        <v>434</v>
      </c>
      <c r="E862" s="177" t="s">
        <v>1480</v>
      </c>
      <c r="F862" s="175">
        <f t="shared" si="27"/>
        <v>10</v>
      </c>
      <c r="G862" s="175" t="str">
        <f t="shared" si="28"/>
        <v>Berkeley</v>
      </c>
      <c r="H862" s="175"/>
      <c r="I862" s="178" t="s">
        <v>1481</v>
      </c>
      <c r="J862" s="27" t="s">
        <v>434</v>
      </c>
      <c r="K862" s="27">
        <v>145</v>
      </c>
      <c r="L862" s="179">
        <v>3016</v>
      </c>
      <c r="M862" s="178" t="s">
        <v>1482</v>
      </c>
      <c r="N862" s="27" t="s">
        <v>434</v>
      </c>
      <c r="O862" s="182" t="s">
        <v>1483</v>
      </c>
    </row>
    <row r="863" spans="2:15">
      <c r="B863" s="174" t="s">
        <v>25</v>
      </c>
      <c r="C863" s="175" t="s">
        <v>433</v>
      </c>
      <c r="D863" s="176" t="s">
        <v>434</v>
      </c>
      <c r="E863" s="177" t="s">
        <v>26</v>
      </c>
      <c r="F863" s="175">
        <f t="shared" si="27"/>
        <v>10</v>
      </c>
      <c r="G863" s="175" t="str">
        <f t="shared" si="28"/>
        <v>Richmond</v>
      </c>
      <c r="H863" s="175"/>
      <c r="I863" s="178" t="s">
        <v>1481</v>
      </c>
      <c r="J863" s="27" t="s">
        <v>434</v>
      </c>
      <c r="K863" s="27">
        <v>145</v>
      </c>
      <c r="L863" s="179">
        <v>3016</v>
      </c>
      <c r="M863" s="178" t="s">
        <v>1482</v>
      </c>
      <c r="N863" s="27" t="s">
        <v>434</v>
      </c>
      <c r="O863" s="182" t="s">
        <v>1483</v>
      </c>
    </row>
    <row r="864" spans="2:15">
      <c r="B864" s="174" t="s">
        <v>1017</v>
      </c>
      <c r="C864" s="175" t="s">
        <v>433</v>
      </c>
      <c r="D864" s="176" t="s">
        <v>434</v>
      </c>
      <c r="E864" s="177" t="s">
        <v>1018</v>
      </c>
      <c r="F864" s="175">
        <f t="shared" si="27"/>
        <v>12</v>
      </c>
      <c r="G864" s="175" t="str">
        <f t="shared" si="28"/>
        <v>San Rafael</v>
      </c>
      <c r="H864" s="175"/>
      <c r="I864" s="178" t="s">
        <v>1481</v>
      </c>
      <c r="J864" s="27" t="s">
        <v>434</v>
      </c>
      <c r="K864" s="27">
        <v>145</v>
      </c>
      <c r="L864" s="179">
        <v>3016</v>
      </c>
      <c r="M864" s="178" t="s">
        <v>1482</v>
      </c>
      <c r="N864" s="27" t="s">
        <v>434</v>
      </c>
      <c r="O864" s="182" t="s">
        <v>1483</v>
      </c>
    </row>
    <row r="865" spans="2:15">
      <c r="B865" s="174" t="s">
        <v>2080</v>
      </c>
      <c r="C865" s="175" t="s">
        <v>433</v>
      </c>
      <c r="D865" s="176" t="s">
        <v>434</v>
      </c>
      <c r="E865" s="177" t="s">
        <v>2081</v>
      </c>
      <c r="F865" s="175">
        <f t="shared" si="27"/>
        <v>8</v>
      </c>
      <c r="G865" s="175" t="str">
        <f t="shared" si="28"/>
        <v>Gilroy</v>
      </c>
      <c r="H865" s="175"/>
      <c r="I865" s="178" t="s">
        <v>1481</v>
      </c>
      <c r="J865" s="27" t="s">
        <v>434</v>
      </c>
      <c r="K865" s="27">
        <v>145</v>
      </c>
      <c r="L865" s="179">
        <v>3016</v>
      </c>
      <c r="M865" s="178" t="s">
        <v>1482</v>
      </c>
      <c r="N865" s="27" t="s">
        <v>434</v>
      </c>
      <c r="O865" s="182" t="s">
        <v>1483</v>
      </c>
    </row>
    <row r="866" spans="2:15">
      <c r="B866" s="174" t="s">
        <v>1001</v>
      </c>
      <c r="C866" s="175" t="s">
        <v>433</v>
      </c>
      <c r="D866" s="176" t="s">
        <v>434</v>
      </c>
      <c r="E866" s="177" t="s">
        <v>1002</v>
      </c>
      <c r="F866" s="175">
        <f t="shared" si="27"/>
        <v>10</v>
      </c>
      <c r="G866" s="175" t="str">
        <f t="shared" si="28"/>
        <v>San Jose</v>
      </c>
      <c r="H866" s="175"/>
      <c r="I866" s="178" t="s">
        <v>1481</v>
      </c>
      <c r="J866" s="27" t="s">
        <v>434</v>
      </c>
      <c r="K866" s="27">
        <v>145</v>
      </c>
      <c r="L866" s="179">
        <v>3016</v>
      </c>
      <c r="M866" s="178" t="s">
        <v>1482</v>
      </c>
      <c r="N866" s="27" t="s">
        <v>434</v>
      </c>
      <c r="O866" s="182" t="s">
        <v>1483</v>
      </c>
    </row>
    <row r="867" spans="2:15">
      <c r="B867" s="174" t="s">
        <v>790</v>
      </c>
      <c r="C867" s="175" t="s">
        <v>433</v>
      </c>
      <c r="D867" s="176" t="s">
        <v>434</v>
      </c>
      <c r="E867" s="177" t="s">
        <v>791</v>
      </c>
      <c r="F867" s="175">
        <f t="shared" si="27"/>
        <v>10</v>
      </c>
      <c r="G867" s="175" t="str">
        <f t="shared" si="28"/>
        <v>Stockton</v>
      </c>
      <c r="H867" s="175"/>
      <c r="I867" s="178" t="s">
        <v>792</v>
      </c>
      <c r="J867" s="27" t="s">
        <v>434</v>
      </c>
      <c r="K867" s="27">
        <v>1470</v>
      </c>
      <c r="L867" s="179">
        <v>2707</v>
      </c>
      <c r="M867" s="178" t="s">
        <v>595</v>
      </c>
      <c r="N867" s="27" t="s">
        <v>434</v>
      </c>
      <c r="O867" s="182" t="s">
        <v>596</v>
      </c>
    </row>
    <row r="868" spans="2:15">
      <c r="B868" s="174" t="s">
        <v>1256</v>
      </c>
      <c r="C868" s="175" t="s">
        <v>433</v>
      </c>
      <c r="D868" s="176" t="s">
        <v>434</v>
      </c>
      <c r="E868" s="177" t="s">
        <v>1257</v>
      </c>
      <c r="F868" s="175">
        <f t="shared" si="27"/>
        <v>8</v>
      </c>
      <c r="G868" s="175" t="str">
        <f t="shared" si="28"/>
        <v>Merced</v>
      </c>
      <c r="H868" s="175"/>
      <c r="I868" s="178" t="s">
        <v>594</v>
      </c>
      <c r="J868" s="27" t="s">
        <v>434</v>
      </c>
      <c r="K868" s="27">
        <v>1237</v>
      </c>
      <c r="L868" s="179">
        <v>2749</v>
      </c>
      <c r="M868" s="178" t="s">
        <v>595</v>
      </c>
      <c r="N868" s="27" t="s">
        <v>434</v>
      </c>
      <c r="O868" s="182" t="s">
        <v>596</v>
      </c>
    </row>
    <row r="869" spans="2:15">
      <c r="B869" s="174" t="s">
        <v>1031</v>
      </c>
      <c r="C869" s="175" t="s">
        <v>433</v>
      </c>
      <c r="D869" s="176" t="s">
        <v>434</v>
      </c>
      <c r="E869" s="177" t="s">
        <v>1032</v>
      </c>
      <c r="F869" s="175">
        <f t="shared" si="27"/>
        <v>12</v>
      </c>
      <c r="G869" s="175" t="str">
        <f t="shared" si="28"/>
        <v>Santa Rosa</v>
      </c>
      <c r="H869" s="175"/>
      <c r="I869" s="178" t="s">
        <v>594</v>
      </c>
      <c r="J869" s="27" t="s">
        <v>434</v>
      </c>
      <c r="K869" s="27">
        <v>1237</v>
      </c>
      <c r="L869" s="179">
        <v>2749</v>
      </c>
      <c r="M869" s="178" t="s">
        <v>595</v>
      </c>
      <c r="N869" s="27" t="s">
        <v>434</v>
      </c>
      <c r="O869" s="182" t="s">
        <v>596</v>
      </c>
    </row>
    <row r="870" spans="2:15">
      <c r="B870" s="174" t="s">
        <v>536</v>
      </c>
      <c r="C870" s="175" t="s">
        <v>433</v>
      </c>
      <c r="D870" s="176" t="s">
        <v>434</v>
      </c>
      <c r="E870" s="177" t="s">
        <v>537</v>
      </c>
      <c r="F870" s="175">
        <f t="shared" si="27"/>
        <v>8</v>
      </c>
      <c r="G870" s="175" t="str">
        <f t="shared" si="28"/>
        <v>Eureka</v>
      </c>
      <c r="H870" s="175"/>
      <c r="I870" s="178" t="s">
        <v>538</v>
      </c>
      <c r="J870" s="27" t="s">
        <v>434</v>
      </c>
      <c r="K870" s="188">
        <v>725</v>
      </c>
      <c r="L870" s="179">
        <v>4496</v>
      </c>
      <c r="M870" s="180" t="s">
        <v>539</v>
      </c>
      <c r="N870" s="181" t="s">
        <v>1695</v>
      </c>
      <c r="O870" s="182" t="s">
        <v>540</v>
      </c>
    </row>
    <row r="871" spans="2:15">
      <c r="B871" s="174" t="s">
        <v>331</v>
      </c>
      <c r="C871" s="175" t="s">
        <v>433</v>
      </c>
      <c r="D871" s="176" t="s">
        <v>434</v>
      </c>
      <c r="E871" s="177" t="s">
        <v>330</v>
      </c>
      <c r="F871" s="175">
        <f t="shared" si="27"/>
        <v>24</v>
      </c>
      <c r="G871" s="175" t="str">
        <f t="shared" si="28"/>
        <v>Sacramento/Placerville</v>
      </c>
      <c r="H871" s="175"/>
      <c r="I871" s="178" t="s">
        <v>594</v>
      </c>
      <c r="J871" s="27" t="s">
        <v>434</v>
      </c>
      <c r="K871" s="27">
        <v>1237</v>
      </c>
      <c r="L871" s="179">
        <v>2749</v>
      </c>
      <c r="M871" s="178" t="s">
        <v>595</v>
      </c>
      <c r="N871" s="27" t="s">
        <v>434</v>
      </c>
      <c r="O871" s="182" t="s">
        <v>596</v>
      </c>
    </row>
    <row r="872" spans="2:15">
      <c r="B872" s="174" t="s">
        <v>2553</v>
      </c>
      <c r="C872" s="175" t="s">
        <v>433</v>
      </c>
      <c r="D872" s="176" t="s">
        <v>434</v>
      </c>
      <c r="E872" s="177" t="s">
        <v>2554</v>
      </c>
      <c r="F872" s="175">
        <f t="shared" si="27"/>
        <v>15</v>
      </c>
      <c r="G872" s="175" t="str">
        <f t="shared" si="28"/>
        <v>Pollock Pines</v>
      </c>
      <c r="H872" s="175"/>
      <c r="I872" s="178" t="s">
        <v>1465</v>
      </c>
      <c r="J872" s="27" t="s">
        <v>1463</v>
      </c>
      <c r="K872" s="27">
        <v>508</v>
      </c>
      <c r="L872" s="179">
        <v>5674</v>
      </c>
      <c r="M872" s="180" t="s">
        <v>1466</v>
      </c>
      <c r="N872" s="181" t="s">
        <v>1463</v>
      </c>
      <c r="O872" s="182" t="s">
        <v>1467</v>
      </c>
    </row>
    <row r="873" spans="2:15">
      <c r="B873" s="174" t="s">
        <v>327</v>
      </c>
      <c r="C873" s="175" t="s">
        <v>433</v>
      </c>
      <c r="D873" s="176" t="s">
        <v>434</v>
      </c>
      <c r="E873" s="177" t="s">
        <v>328</v>
      </c>
      <c r="F873" s="175">
        <f t="shared" si="27"/>
        <v>12</v>
      </c>
      <c r="G873" s="175" t="str">
        <f t="shared" si="28"/>
        <v>Sacramento</v>
      </c>
      <c r="H873" s="175"/>
      <c r="I873" s="178" t="s">
        <v>594</v>
      </c>
      <c r="J873" s="27" t="s">
        <v>434</v>
      </c>
      <c r="K873" s="27">
        <v>1237</v>
      </c>
      <c r="L873" s="179">
        <v>2749</v>
      </c>
      <c r="M873" s="178" t="s">
        <v>595</v>
      </c>
      <c r="N873" s="27" t="s">
        <v>434</v>
      </c>
      <c r="O873" s="182" t="s">
        <v>596</v>
      </c>
    </row>
    <row r="874" spans="2:15">
      <c r="B874" s="174" t="s">
        <v>1180</v>
      </c>
      <c r="C874" s="175" t="s">
        <v>433</v>
      </c>
      <c r="D874" s="176" t="s">
        <v>434</v>
      </c>
      <c r="E874" s="177" t="s">
        <v>1181</v>
      </c>
      <c r="F874" s="175">
        <f t="shared" si="27"/>
        <v>12</v>
      </c>
      <c r="G874" s="175" t="str">
        <f t="shared" si="28"/>
        <v>Marysville</v>
      </c>
      <c r="H874" s="175"/>
      <c r="I874" s="178" t="s">
        <v>594</v>
      </c>
      <c r="J874" s="27" t="s">
        <v>434</v>
      </c>
      <c r="K874" s="27">
        <v>1237</v>
      </c>
      <c r="L874" s="179">
        <v>2749</v>
      </c>
      <c r="M874" s="178" t="s">
        <v>595</v>
      </c>
      <c r="N874" s="27" t="s">
        <v>434</v>
      </c>
      <c r="O874" s="182" t="s">
        <v>596</v>
      </c>
    </row>
    <row r="875" spans="2:15">
      <c r="B875" s="174" t="s">
        <v>2611</v>
      </c>
      <c r="C875" s="175" t="s">
        <v>433</v>
      </c>
      <c r="D875" s="176" t="s">
        <v>434</v>
      </c>
      <c r="E875" s="177" t="s">
        <v>2612</v>
      </c>
      <c r="F875" s="175">
        <f t="shared" si="27"/>
        <v>9</v>
      </c>
      <c r="G875" s="175" t="str">
        <f t="shared" si="28"/>
        <v>Redding</v>
      </c>
      <c r="H875" s="175"/>
      <c r="I875" s="178" t="s">
        <v>2613</v>
      </c>
      <c r="J875" s="27" t="s">
        <v>434</v>
      </c>
      <c r="K875" s="27">
        <v>1797</v>
      </c>
      <c r="L875" s="179">
        <v>2855</v>
      </c>
      <c r="M875" s="178" t="s">
        <v>595</v>
      </c>
      <c r="N875" s="27" t="s">
        <v>434</v>
      </c>
      <c r="O875" s="182" t="s">
        <v>596</v>
      </c>
    </row>
    <row r="876" spans="2:15">
      <c r="B876" s="174" t="s">
        <v>803</v>
      </c>
      <c r="C876" s="175" t="s">
        <v>433</v>
      </c>
      <c r="D876" s="176" t="s">
        <v>434</v>
      </c>
      <c r="E876" s="177" t="s">
        <v>804</v>
      </c>
      <c r="F876" s="175">
        <f t="shared" si="27"/>
        <v>12</v>
      </c>
      <c r="G876" s="175" t="str">
        <f t="shared" si="28"/>
        <v>Susanville</v>
      </c>
      <c r="H876" s="175"/>
      <c r="I876" s="178" t="s">
        <v>805</v>
      </c>
      <c r="J876" s="27" t="s">
        <v>1463</v>
      </c>
      <c r="K876" s="27">
        <v>538</v>
      </c>
      <c r="L876" s="179">
        <v>6315</v>
      </c>
      <c r="M876" s="178" t="s">
        <v>595</v>
      </c>
      <c r="N876" s="27" t="s">
        <v>434</v>
      </c>
      <c r="O876" s="182" t="s">
        <v>596</v>
      </c>
    </row>
    <row r="877" spans="2:15">
      <c r="B877" s="174" t="s">
        <v>742</v>
      </c>
      <c r="C877" s="175" t="s">
        <v>743</v>
      </c>
      <c r="D877" s="176" t="s">
        <v>744</v>
      </c>
      <c r="E877" s="177" t="s">
        <v>745</v>
      </c>
      <c r="F877" s="175">
        <f t="shared" si="27"/>
        <v>10</v>
      </c>
      <c r="G877" s="175" t="str">
        <f t="shared" si="28"/>
        <v>Honolulu</v>
      </c>
      <c r="H877" s="175"/>
      <c r="I877" s="178" t="s">
        <v>746</v>
      </c>
      <c r="J877" s="27" t="s">
        <v>744</v>
      </c>
      <c r="K877" s="27">
        <v>3284</v>
      </c>
      <c r="L877" s="179">
        <v>0</v>
      </c>
      <c r="M877" s="178" t="s">
        <v>747</v>
      </c>
      <c r="N877" s="27" t="s">
        <v>744</v>
      </c>
      <c r="O877" s="182" t="s">
        <v>748</v>
      </c>
    </row>
    <row r="878" spans="2:15">
      <c r="B878" s="174" t="s">
        <v>749</v>
      </c>
      <c r="C878" s="175" t="s">
        <v>743</v>
      </c>
      <c r="D878" s="176" t="s">
        <v>744</v>
      </c>
      <c r="E878" s="177" t="s">
        <v>745</v>
      </c>
      <c r="F878" s="175">
        <f t="shared" si="27"/>
        <v>10</v>
      </c>
      <c r="G878" s="175" t="str">
        <f t="shared" si="28"/>
        <v>Honolulu</v>
      </c>
      <c r="H878" s="175"/>
      <c r="I878" s="178" t="s">
        <v>750</v>
      </c>
      <c r="J878" s="27" t="s">
        <v>744</v>
      </c>
      <c r="K878" s="27">
        <v>4474</v>
      </c>
      <c r="L878" s="179">
        <v>0</v>
      </c>
      <c r="M878" s="178" t="s">
        <v>747</v>
      </c>
      <c r="N878" s="27" t="s">
        <v>744</v>
      </c>
      <c r="O878" s="182" t="s">
        <v>748</v>
      </c>
    </row>
    <row r="879" spans="2:15">
      <c r="B879" s="174">
        <v>969</v>
      </c>
      <c r="C879" s="175" t="s">
        <v>2244</v>
      </c>
      <c r="D879" s="176" t="s">
        <v>2245</v>
      </c>
      <c r="E879" s="177" t="s">
        <v>2246</v>
      </c>
      <c r="F879" s="175">
        <f t="shared" si="27"/>
        <v>10</v>
      </c>
      <c r="G879" s="175" t="str">
        <f t="shared" si="28"/>
        <v>Mangilao</v>
      </c>
      <c r="H879" s="175"/>
      <c r="I879" s="178" t="s">
        <v>1167</v>
      </c>
      <c r="J879" s="27" t="s">
        <v>1168</v>
      </c>
      <c r="K879" s="27">
        <v>5034</v>
      </c>
      <c r="L879" s="179">
        <v>0</v>
      </c>
      <c r="M879" s="178" t="s">
        <v>747</v>
      </c>
      <c r="N879" s="27" t="s">
        <v>744</v>
      </c>
      <c r="O879" s="182" t="s">
        <v>748</v>
      </c>
    </row>
    <row r="880" spans="2:15">
      <c r="B880" s="174" t="s">
        <v>751</v>
      </c>
      <c r="C880" s="175" t="s">
        <v>1694</v>
      </c>
      <c r="D880" s="176" t="s">
        <v>1695</v>
      </c>
      <c r="E880" s="177" t="s">
        <v>752</v>
      </c>
      <c r="F880" s="175">
        <f t="shared" si="27"/>
        <v>12</v>
      </c>
      <c r="G880" s="175" t="str">
        <f t="shared" si="28"/>
        <v>Hood River</v>
      </c>
      <c r="H880" s="175"/>
      <c r="I880" s="178" t="s">
        <v>753</v>
      </c>
      <c r="J880" s="27" t="s">
        <v>1695</v>
      </c>
      <c r="K880" s="27">
        <v>247</v>
      </c>
      <c r="L880" s="179">
        <v>4927</v>
      </c>
      <c r="M880" s="178" t="s">
        <v>754</v>
      </c>
      <c r="N880" s="27" t="s">
        <v>1695</v>
      </c>
      <c r="O880" s="182" t="s">
        <v>755</v>
      </c>
    </row>
    <row r="881" spans="2:15">
      <c r="B881" s="174" t="s">
        <v>2567</v>
      </c>
      <c r="C881" s="175" t="s">
        <v>1694</v>
      </c>
      <c r="D881" s="176" t="s">
        <v>1695</v>
      </c>
      <c r="E881" s="177" t="s">
        <v>2565</v>
      </c>
      <c r="F881" s="175">
        <f t="shared" si="27"/>
        <v>10</v>
      </c>
      <c r="G881" s="175" t="str">
        <f t="shared" si="28"/>
        <v>Portland</v>
      </c>
      <c r="H881" s="175"/>
      <c r="I881" s="178" t="s">
        <v>2568</v>
      </c>
      <c r="J881" s="27" t="s">
        <v>1695</v>
      </c>
      <c r="K881" s="27">
        <v>371</v>
      </c>
      <c r="L881" s="179">
        <v>4522</v>
      </c>
      <c r="M881" s="180" t="s">
        <v>1620</v>
      </c>
      <c r="N881" s="181" t="s">
        <v>1695</v>
      </c>
      <c r="O881" s="182" t="s">
        <v>2569</v>
      </c>
    </row>
    <row r="882" spans="2:15">
      <c r="B882" s="174" t="s">
        <v>2570</v>
      </c>
      <c r="C882" s="175" t="s">
        <v>1694</v>
      </c>
      <c r="D882" s="176" t="s">
        <v>1695</v>
      </c>
      <c r="E882" s="177" t="s">
        <v>2565</v>
      </c>
      <c r="F882" s="175">
        <f t="shared" si="27"/>
        <v>10</v>
      </c>
      <c r="G882" s="175" t="str">
        <f t="shared" si="28"/>
        <v>Portland</v>
      </c>
      <c r="H882" s="175"/>
      <c r="I882" s="178" t="s">
        <v>2568</v>
      </c>
      <c r="J882" s="27" t="s">
        <v>1695</v>
      </c>
      <c r="K882" s="27">
        <v>371</v>
      </c>
      <c r="L882" s="179">
        <v>4522</v>
      </c>
      <c r="M882" s="180" t="s">
        <v>1620</v>
      </c>
      <c r="N882" s="181" t="s">
        <v>1695</v>
      </c>
      <c r="O882" s="182" t="s">
        <v>2569</v>
      </c>
    </row>
    <row r="883" spans="2:15">
      <c r="B883" s="174" t="s">
        <v>349</v>
      </c>
      <c r="C883" s="175" t="s">
        <v>1694</v>
      </c>
      <c r="D883" s="176" t="s">
        <v>1695</v>
      </c>
      <c r="E883" s="177" t="s">
        <v>350</v>
      </c>
      <c r="F883" s="175">
        <f t="shared" si="27"/>
        <v>7</v>
      </c>
      <c r="G883" s="175" t="str">
        <f t="shared" si="28"/>
        <v>Salem</v>
      </c>
      <c r="H883" s="175"/>
      <c r="I883" s="178" t="s">
        <v>753</v>
      </c>
      <c r="J883" s="27" t="s">
        <v>1695</v>
      </c>
      <c r="K883" s="27">
        <v>247</v>
      </c>
      <c r="L883" s="179">
        <v>4927</v>
      </c>
      <c r="M883" s="178" t="s">
        <v>754</v>
      </c>
      <c r="N883" s="27" t="s">
        <v>1695</v>
      </c>
      <c r="O883" s="182" t="s">
        <v>755</v>
      </c>
    </row>
    <row r="884" spans="2:15">
      <c r="B884" s="174" t="s">
        <v>531</v>
      </c>
      <c r="C884" s="175" t="s">
        <v>1694</v>
      </c>
      <c r="D884" s="176" t="s">
        <v>1695</v>
      </c>
      <c r="E884" s="177" t="s">
        <v>532</v>
      </c>
      <c r="F884" s="175">
        <f t="shared" si="27"/>
        <v>8</v>
      </c>
      <c r="G884" s="175" t="str">
        <f t="shared" si="28"/>
        <v>Eugene</v>
      </c>
      <c r="H884" s="175"/>
      <c r="I884" s="178" t="s">
        <v>533</v>
      </c>
      <c r="J884" s="27" t="s">
        <v>1695</v>
      </c>
      <c r="K884" s="27">
        <v>300</v>
      </c>
      <c r="L884" s="179">
        <v>4546</v>
      </c>
      <c r="M884" s="180" t="s">
        <v>534</v>
      </c>
      <c r="N884" s="181" t="s">
        <v>1695</v>
      </c>
      <c r="O884" s="182" t="s">
        <v>535</v>
      </c>
    </row>
    <row r="885" spans="2:15">
      <c r="B885" s="174" t="s">
        <v>1156</v>
      </c>
      <c r="C885" s="175" t="s">
        <v>1694</v>
      </c>
      <c r="D885" s="176" t="s">
        <v>1695</v>
      </c>
      <c r="E885" s="177" t="s">
        <v>1157</v>
      </c>
      <c r="F885" s="175">
        <f t="shared" si="27"/>
        <v>9</v>
      </c>
      <c r="G885" s="175" t="str">
        <f t="shared" si="28"/>
        <v>Medford</v>
      </c>
      <c r="H885" s="175"/>
      <c r="I885" s="178" t="s">
        <v>943</v>
      </c>
      <c r="J885" s="27" t="s">
        <v>1695</v>
      </c>
      <c r="K885" s="27">
        <v>725</v>
      </c>
      <c r="L885" s="179">
        <v>4611</v>
      </c>
      <c r="M885" s="180" t="s">
        <v>539</v>
      </c>
      <c r="N885" s="181" t="s">
        <v>1695</v>
      </c>
      <c r="O885" s="182" t="s">
        <v>540</v>
      </c>
    </row>
    <row r="886" spans="2:15">
      <c r="B886" s="174" t="s">
        <v>941</v>
      </c>
      <c r="C886" s="175" t="s">
        <v>1694</v>
      </c>
      <c r="D886" s="176" t="s">
        <v>1695</v>
      </c>
      <c r="E886" s="177" t="s">
        <v>942</v>
      </c>
      <c r="F886" s="175">
        <f t="shared" si="27"/>
        <v>15</v>
      </c>
      <c r="G886" s="175" t="str">
        <f t="shared" si="28"/>
        <v>Klamath Falls</v>
      </c>
      <c r="H886" s="175"/>
      <c r="I886" s="178" t="s">
        <v>943</v>
      </c>
      <c r="J886" s="27" t="s">
        <v>1695</v>
      </c>
      <c r="K886" s="27">
        <v>725</v>
      </c>
      <c r="L886" s="179">
        <v>4611</v>
      </c>
      <c r="M886" s="180" t="s">
        <v>539</v>
      </c>
      <c r="N886" s="181" t="s">
        <v>1695</v>
      </c>
      <c r="O886" s="182" t="s">
        <v>540</v>
      </c>
    </row>
    <row r="887" spans="2:15">
      <c r="B887" s="174" t="s">
        <v>1693</v>
      </c>
      <c r="C887" s="175" t="s">
        <v>1694</v>
      </c>
      <c r="D887" s="176" t="s">
        <v>1695</v>
      </c>
      <c r="E887" s="177" t="s">
        <v>1696</v>
      </c>
      <c r="F887" s="175">
        <f t="shared" si="27"/>
        <v>6</v>
      </c>
      <c r="G887" s="175" t="str">
        <f t="shared" si="28"/>
        <v>Bend</v>
      </c>
      <c r="H887" s="175"/>
      <c r="I887" s="178" t="s">
        <v>1697</v>
      </c>
      <c r="J887" s="27" t="s">
        <v>1695</v>
      </c>
      <c r="K887" s="27">
        <v>202</v>
      </c>
      <c r="L887" s="179">
        <v>7785</v>
      </c>
      <c r="M887" s="180" t="s">
        <v>1698</v>
      </c>
      <c r="N887" s="181" t="s">
        <v>1699</v>
      </c>
      <c r="O887" s="182" t="s">
        <v>1700</v>
      </c>
    </row>
    <row r="888" spans="2:15">
      <c r="B888" s="174" t="s">
        <v>575</v>
      </c>
      <c r="C888" s="175" t="s">
        <v>1694</v>
      </c>
      <c r="D888" s="176" t="s">
        <v>1695</v>
      </c>
      <c r="E888" s="177" t="s">
        <v>576</v>
      </c>
      <c r="F888" s="175">
        <f t="shared" si="27"/>
        <v>11</v>
      </c>
      <c r="G888" s="175" t="str">
        <f t="shared" si="28"/>
        <v>Pendleton</v>
      </c>
      <c r="H888" s="175"/>
      <c r="I888" s="178" t="s">
        <v>549</v>
      </c>
      <c r="J888" s="27" t="s">
        <v>1695</v>
      </c>
      <c r="K888" s="27">
        <v>701</v>
      </c>
      <c r="L888" s="179">
        <v>5294</v>
      </c>
      <c r="M888" s="180" t="s">
        <v>1698</v>
      </c>
      <c r="N888" s="181" t="s">
        <v>1699</v>
      </c>
      <c r="O888" s="182" t="s">
        <v>1700</v>
      </c>
    </row>
    <row r="889" spans="2:15">
      <c r="B889" s="174" t="s">
        <v>1521</v>
      </c>
      <c r="C889" s="175" t="s">
        <v>1694</v>
      </c>
      <c r="D889" s="176" t="s">
        <v>1695</v>
      </c>
      <c r="E889" s="177" t="s">
        <v>1522</v>
      </c>
      <c r="F889" s="175">
        <f t="shared" si="27"/>
        <v>9</v>
      </c>
      <c r="G889" s="175" t="str">
        <f t="shared" si="28"/>
        <v>Ontario</v>
      </c>
      <c r="H889" s="175"/>
      <c r="I889" s="178" t="s">
        <v>2377</v>
      </c>
      <c r="J889" s="27" t="s">
        <v>2375</v>
      </c>
      <c r="K889" s="27">
        <v>754</v>
      </c>
      <c r="L889" s="179">
        <v>5861</v>
      </c>
      <c r="M889" s="180" t="s">
        <v>2378</v>
      </c>
      <c r="N889" s="181" t="s">
        <v>2375</v>
      </c>
      <c r="O889" s="182" t="s">
        <v>2379</v>
      </c>
    </row>
    <row r="890" spans="2:15">
      <c r="B890" s="174" t="s">
        <v>1041</v>
      </c>
      <c r="C890" s="175" t="s">
        <v>547</v>
      </c>
      <c r="D890" s="176" t="s">
        <v>1699</v>
      </c>
      <c r="E890" s="177" t="s">
        <v>1338</v>
      </c>
      <c r="F890" s="175">
        <f t="shared" si="27"/>
        <v>9</v>
      </c>
      <c r="G890" s="175" t="str">
        <f t="shared" si="28"/>
        <v>Seattle</v>
      </c>
      <c r="H890" s="175"/>
      <c r="I890" s="178" t="s">
        <v>1339</v>
      </c>
      <c r="J890" s="27" t="s">
        <v>1699</v>
      </c>
      <c r="K890" s="27">
        <v>167</v>
      </c>
      <c r="L890" s="179">
        <v>4611</v>
      </c>
      <c r="M890" s="180" t="s">
        <v>2506</v>
      </c>
      <c r="N890" s="181" t="s">
        <v>1699</v>
      </c>
      <c r="O890" s="182" t="s">
        <v>2507</v>
      </c>
    </row>
    <row r="891" spans="2:15">
      <c r="B891" s="174" t="s">
        <v>1340</v>
      </c>
      <c r="C891" s="175" t="s">
        <v>547</v>
      </c>
      <c r="D891" s="176" t="s">
        <v>1699</v>
      </c>
      <c r="E891" s="177" t="s">
        <v>1338</v>
      </c>
      <c r="F891" s="175">
        <f t="shared" si="27"/>
        <v>9</v>
      </c>
      <c r="G891" s="175" t="str">
        <f t="shared" si="28"/>
        <v>Seattle</v>
      </c>
      <c r="H891" s="175"/>
      <c r="I891" s="178" t="s">
        <v>1339</v>
      </c>
      <c r="J891" s="27" t="s">
        <v>1699</v>
      </c>
      <c r="K891" s="27">
        <v>167</v>
      </c>
      <c r="L891" s="179">
        <v>4611</v>
      </c>
      <c r="M891" s="180" t="s">
        <v>2506</v>
      </c>
      <c r="N891" s="181" t="s">
        <v>1699</v>
      </c>
      <c r="O891" s="182" t="s">
        <v>2507</v>
      </c>
    </row>
    <row r="892" spans="2:15">
      <c r="B892" s="174" t="s">
        <v>2503</v>
      </c>
      <c r="C892" s="175" t="s">
        <v>547</v>
      </c>
      <c r="D892" s="176" t="s">
        <v>1699</v>
      </c>
      <c r="E892" s="177" t="s">
        <v>2504</v>
      </c>
      <c r="F892" s="175">
        <f t="shared" si="27"/>
        <v>9</v>
      </c>
      <c r="G892" s="175" t="str">
        <f t="shared" si="28"/>
        <v>Everett</v>
      </c>
      <c r="H892" s="175"/>
      <c r="I892" s="178" t="s">
        <v>2505</v>
      </c>
      <c r="J892" s="27" t="s">
        <v>1699</v>
      </c>
      <c r="K892" s="27">
        <v>6</v>
      </c>
      <c r="L892" s="179">
        <v>5858</v>
      </c>
      <c r="M892" s="180" t="s">
        <v>2506</v>
      </c>
      <c r="N892" s="181" t="s">
        <v>1699</v>
      </c>
      <c r="O892" s="182" t="s">
        <v>2507</v>
      </c>
    </row>
    <row r="893" spans="2:15">
      <c r="B893" s="174" t="s">
        <v>812</v>
      </c>
      <c r="C893" s="175" t="s">
        <v>547</v>
      </c>
      <c r="D893" s="176" t="s">
        <v>1699</v>
      </c>
      <c r="E893" s="177" t="s">
        <v>813</v>
      </c>
      <c r="F893" s="175">
        <f t="shared" si="27"/>
        <v>8</v>
      </c>
      <c r="G893" s="175" t="str">
        <f t="shared" si="28"/>
        <v>Tacoma</v>
      </c>
      <c r="H893" s="175"/>
      <c r="I893" s="178" t="s">
        <v>814</v>
      </c>
      <c r="J893" s="27" t="s">
        <v>1699</v>
      </c>
      <c r="K893" s="27">
        <v>190</v>
      </c>
      <c r="L893" s="179">
        <v>4908</v>
      </c>
      <c r="M893" s="180" t="s">
        <v>2506</v>
      </c>
      <c r="N893" s="181" t="s">
        <v>1699</v>
      </c>
      <c r="O893" s="182" t="s">
        <v>2507</v>
      </c>
    </row>
    <row r="894" spans="2:15">
      <c r="B894" s="174" t="s">
        <v>815</v>
      </c>
      <c r="C894" s="175" t="s">
        <v>547</v>
      </c>
      <c r="D894" s="176" t="s">
        <v>1699</v>
      </c>
      <c r="E894" s="177" t="s">
        <v>813</v>
      </c>
      <c r="F894" s="175">
        <f t="shared" si="27"/>
        <v>8</v>
      </c>
      <c r="G894" s="175" t="str">
        <f t="shared" si="28"/>
        <v>Tacoma</v>
      </c>
      <c r="H894" s="175"/>
      <c r="I894" s="178" t="s">
        <v>814</v>
      </c>
      <c r="J894" s="27" t="s">
        <v>1699</v>
      </c>
      <c r="K894" s="27">
        <v>190</v>
      </c>
      <c r="L894" s="179">
        <v>4908</v>
      </c>
      <c r="M894" s="180" t="s">
        <v>2506</v>
      </c>
      <c r="N894" s="181" t="s">
        <v>1699</v>
      </c>
      <c r="O894" s="182" t="s">
        <v>2507</v>
      </c>
    </row>
    <row r="895" spans="2:15">
      <c r="B895" s="174" t="s">
        <v>1514</v>
      </c>
      <c r="C895" s="175" t="s">
        <v>547</v>
      </c>
      <c r="D895" s="176" t="s">
        <v>1699</v>
      </c>
      <c r="E895" s="177" t="s">
        <v>1515</v>
      </c>
      <c r="F895" s="175">
        <f t="shared" si="27"/>
        <v>9</v>
      </c>
      <c r="G895" s="175" t="str">
        <f t="shared" si="28"/>
        <v>Olympia</v>
      </c>
      <c r="H895" s="175"/>
      <c r="I895" s="178" t="s">
        <v>1516</v>
      </c>
      <c r="J895" s="27" t="s">
        <v>1699</v>
      </c>
      <c r="K895" s="27">
        <v>101</v>
      </c>
      <c r="L895" s="179">
        <v>5655</v>
      </c>
      <c r="M895" s="180" t="s">
        <v>2506</v>
      </c>
      <c r="N895" s="181" t="s">
        <v>1699</v>
      </c>
      <c r="O895" s="182" t="s">
        <v>2507</v>
      </c>
    </row>
    <row r="896" spans="2:15">
      <c r="B896" s="174" t="s">
        <v>1860</v>
      </c>
      <c r="C896" s="175" t="s">
        <v>547</v>
      </c>
      <c r="D896" s="176" t="s">
        <v>1699</v>
      </c>
      <c r="E896" s="177" t="s">
        <v>1861</v>
      </c>
      <c r="F896" s="175">
        <f t="shared" si="27"/>
        <v>11</v>
      </c>
      <c r="G896" s="175" t="str">
        <f t="shared" si="28"/>
        <v>Vancouver</v>
      </c>
      <c r="H896" s="175"/>
      <c r="I896" s="178" t="s">
        <v>2568</v>
      </c>
      <c r="J896" s="27" t="s">
        <v>1695</v>
      </c>
      <c r="K896" s="27">
        <v>371</v>
      </c>
      <c r="L896" s="179">
        <v>4522</v>
      </c>
      <c r="M896" s="180" t="s">
        <v>1620</v>
      </c>
      <c r="N896" s="181" t="s">
        <v>1695</v>
      </c>
      <c r="O896" s="182" t="s">
        <v>2569</v>
      </c>
    </row>
    <row r="897" spans="2:15">
      <c r="B897" s="174" t="s">
        <v>1900</v>
      </c>
      <c r="C897" s="175" t="s">
        <v>547</v>
      </c>
      <c r="D897" s="176" t="s">
        <v>1699</v>
      </c>
      <c r="E897" s="177" t="s">
        <v>1901</v>
      </c>
      <c r="F897" s="175">
        <f t="shared" si="27"/>
        <v>11</v>
      </c>
      <c r="G897" s="175" t="str">
        <f t="shared" si="28"/>
        <v>Wenatchee</v>
      </c>
      <c r="H897" s="175"/>
      <c r="I897" s="178" t="s">
        <v>1902</v>
      </c>
      <c r="J897" s="27" t="s">
        <v>1699</v>
      </c>
      <c r="K897" s="27">
        <v>458</v>
      </c>
      <c r="L897" s="179">
        <v>5967</v>
      </c>
      <c r="M897" s="180" t="s">
        <v>1698</v>
      </c>
      <c r="N897" s="181" t="s">
        <v>1699</v>
      </c>
      <c r="O897" s="182" t="s">
        <v>1700</v>
      </c>
    </row>
    <row r="898" spans="2:15">
      <c r="B898" s="174" t="s">
        <v>1924</v>
      </c>
      <c r="C898" s="175" t="s">
        <v>547</v>
      </c>
      <c r="D898" s="176" t="s">
        <v>1699</v>
      </c>
      <c r="E898" s="177" t="s">
        <v>1925</v>
      </c>
      <c r="F898" s="175">
        <f t="shared" si="27"/>
        <v>8</v>
      </c>
      <c r="G898" s="175" t="str">
        <f t="shared" si="28"/>
        <v>Yakima</v>
      </c>
      <c r="H898" s="175"/>
      <c r="I898" s="178" t="s">
        <v>1902</v>
      </c>
      <c r="J898" s="27" t="s">
        <v>1699</v>
      </c>
      <c r="K898" s="27">
        <v>458</v>
      </c>
      <c r="L898" s="179">
        <v>5967</v>
      </c>
      <c r="M898" s="180" t="s">
        <v>1698</v>
      </c>
      <c r="N898" s="181" t="s">
        <v>1699</v>
      </c>
      <c r="O898" s="182" t="s">
        <v>1700</v>
      </c>
    </row>
    <row r="899" spans="2:15">
      <c r="B899" s="174" t="s">
        <v>1296</v>
      </c>
      <c r="C899" s="175" t="s">
        <v>547</v>
      </c>
      <c r="D899" s="176" t="s">
        <v>1699</v>
      </c>
      <c r="E899" s="177" t="s">
        <v>1297</v>
      </c>
      <c r="F899" s="175">
        <f t="shared" si="27"/>
        <v>9</v>
      </c>
      <c r="G899" s="175" t="str">
        <f t="shared" si="28"/>
        <v>Spokane</v>
      </c>
      <c r="H899" s="175"/>
      <c r="I899" s="178" t="s">
        <v>1563</v>
      </c>
      <c r="J899" s="27" t="s">
        <v>1699</v>
      </c>
      <c r="K899" s="27">
        <v>398</v>
      </c>
      <c r="L899" s="179">
        <v>6842</v>
      </c>
      <c r="M899" s="180" t="s">
        <v>1564</v>
      </c>
      <c r="N899" s="181" t="s">
        <v>1699</v>
      </c>
      <c r="O899" s="182" t="s">
        <v>1565</v>
      </c>
    </row>
    <row r="900" spans="2:15">
      <c r="B900" s="174" t="s">
        <v>1298</v>
      </c>
      <c r="C900" s="175" t="s">
        <v>547</v>
      </c>
      <c r="D900" s="176" t="s">
        <v>1699</v>
      </c>
      <c r="E900" s="177" t="s">
        <v>1297</v>
      </c>
      <c r="F900" s="175">
        <f t="shared" si="27"/>
        <v>9</v>
      </c>
      <c r="G900" s="175" t="str">
        <f t="shared" si="28"/>
        <v>Spokane</v>
      </c>
      <c r="H900" s="175"/>
      <c r="I900" s="178" t="s">
        <v>1563</v>
      </c>
      <c r="J900" s="27" t="s">
        <v>1699</v>
      </c>
      <c r="K900" s="27">
        <v>398</v>
      </c>
      <c r="L900" s="179">
        <v>6842</v>
      </c>
      <c r="M900" s="180" t="s">
        <v>1564</v>
      </c>
      <c r="N900" s="181" t="s">
        <v>1699</v>
      </c>
      <c r="O900" s="182" t="s">
        <v>1565</v>
      </c>
    </row>
    <row r="901" spans="2:15">
      <c r="B901" s="174" t="s">
        <v>1299</v>
      </c>
      <c r="C901" s="175" t="s">
        <v>547</v>
      </c>
      <c r="D901" s="176" t="s">
        <v>1699</v>
      </c>
      <c r="E901" s="177" t="s">
        <v>1297</v>
      </c>
      <c r="F901" s="175">
        <f t="shared" si="27"/>
        <v>9</v>
      </c>
      <c r="G901" s="175" t="str">
        <f t="shared" si="28"/>
        <v>Spokane</v>
      </c>
      <c r="H901" s="175"/>
      <c r="I901" s="178" t="s">
        <v>1563</v>
      </c>
      <c r="J901" s="27" t="s">
        <v>1699</v>
      </c>
      <c r="K901" s="27">
        <v>398</v>
      </c>
      <c r="L901" s="179">
        <v>6842</v>
      </c>
      <c r="M901" s="180" t="s">
        <v>1564</v>
      </c>
      <c r="N901" s="181" t="s">
        <v>1699</v>
      </c>
      <c r="O901" s="182" t="s">
        <v>1565</v>
      </c>
    </row>
    <row r="902" spans="2:15">
      <c r="B902" s="174" t="s">
        <v>23</v>
      </c>
      <c r="C902" s="175" t="s">
        <v>547</v>
      </c>
      <c r="D902" s="176" t="s">
        <v>1699</v>
      </c>
      <c r="E902" s="177" t="s">
        <v>24</v>
      </c>
      <c r="F902" s="175">
        <f t="shared" si="27"/>
        <v>10</v>
      </c>
      <c r="G902" s="175" t="str">
        <f t="shared" si="28"/>
        <v>Richland</v>
      </c>
      <c r="H902" s="175"/>
      <c r="I902" s="178" t="s">
        <v>549</v>
      </c>
      <c r="J902" s="27" t="s">
        <v>1695</v>
      </c>
      <c r="K902" s="27">
        <v>701</v>
      </c>
      <c r="L902" s="179">
        <v>5294</v>
      </c>
      <c r="M902" s="180" t="s">
        <v>1698</v>
      </c>
      <c r="N902" s="181" t="s">
        <v>1699</v>
      </c>
      <c r="O902" s="182" t="s">
        <v>1700</v>
      </c>
    </row>
    <row r="903" spans="2:15">
      <c r="B903" s="174" t="s">
        <v>546</v>
      </c>
      <c r="C903" s="175" t="s">
        <v>547</v>
      </c>
      <c r="D903" s="176" t="s">
        <v>1699</v>
      </c>
      <c r="E903" s="177" t="s">
        <v>548</v>
      </c>
      <c r="F903" s="175">
        <f t="shared" si="27"/>
        <v>11</v>
      </c>
      <c r="G903" s="175" t="str">
        <f t="shared" si="28"/>
        <v>Clarkston</v>
      </c>
      <c r="H903" s="175"/>
      <c r="I903" s="178" t="s">
        <v>549</v>
      </c>
      <c r="J903" s="27" t="s">
        <v>1695</v>
      </c>
      <c r="K903" s="27">
        <v>701</v>
      </c>
      <c r="L903" s="179">
        <v>5294</v>
      </c>
      <c r="M903" s="180" t="s">
        <v>1698</v>
      </c>
      <c r="N903" s="181" t="s">
        <v>1699</v>
      </c>
      <c r="O903" s="182" t="s">
        <v>1700</v>
      </c>
    </row>
    <row r="904" spans="2:15">
      <c r="B904" s="174" t="s">
        <v>463</v>
      </c>
      <c r="C904" s="175" t="s">
        <v>464</v>
      </c>
      <c r="D904" s="176" t="s">
        <v>465</v>
      </c>
      <c r="E904" s="177" t="s">
        <v>466</v>
      </c>
      <c r="F904" s="175">
        <f t="shared" si="27"/>
        <v>11</v>
      </c>
      <c r="G904" s="175" t="str">
        <f t="shared" si="28"/>
        <v>Anchorage</v>
      </c>
      <c r="H904" s="175"/>
      <c r="I904" s="178" t="s">
        <v>467</v>
      </c>
      <c r="J904" s="27" t="s">
        <v>465</v>
      </c>
      <c r="K904" s="27">
        <v>0</v>
      </c>
      <c r="L904" s="179">
        <v>10570</v>
      </c>
      <c r="M904" s="178" t="s">
        <v>468</v>
      </c>
      <c r="N904" s="27" t="s">
        <v>465</v>
      </c>
      <c r="O904" s="187" t="s">
        <v>469</v>
      </c>
    </row>
    <row r="905" spans="2:15">
      <c r="B905" s="174" t="s">
        <v>470</v>
      </c>
      <c r="C905" s="175" t="s">
        <v>464</v>
      </c>
      <c r="D905" s="176" t="s">
        <v>465</v>
      </c>
      <c r="E905" s="177" t="s">
        <v>466</v>
      </c>
      <c r="F905" s="175">
        <f t="shared" si="27"/>
        <v>11</v>
      </c>
      <c r="G905" s="175" t="str">
        <f t="shared" si="28"/>
        <v>Anchorage</v>
      </c>
      <c r="H905" s="175"/>
      <c r="I905" s="178" t="s">
        <v>467</v>
      </c>
      <c r="J905" s="27" t="s">
        <v>465</v>
      </c>
      <c r="K905" s="27">
        <v>0</v>
      </c>
      <c r="L905" s="179">
        <v>10570</v>
      </c>
      <c r="M905" s="178" t="s">
        <v>468</v>
      </c>
      <c r="N905" s="27" t="s">
        <v>465</v>
      </c>
      <c r="O905" s="187" t="s">
        <v>469</v>
      </c>
    </row>
    <row r="906" spans="2:15">
      <c r="B906" s="174" t="s">
        <v>2510</v>
      </c>
      <c r="C906" s="175" t="s">
        <v>464</v>
      </c>
      <c r="D906" s="176" t="s">
        <v>465</v>
      </c>
      <c r="E906" s="177" t="s">
        <v>2511</v>
      </c>
      <c r="F906" s="175">
        <f>LEN(E906)</f>
        <v>11</v>
      </c>
      <c r="G906" s="175" t="str">
        <f>MID(E906,2,F906-2)</f>
        <v>Fairbanks</v>
      </c>
      <c r="H906" s="175"/>
      <c r="I906" s="178" t="s">
        <v>2512</v>
      </c>
      <c r="J906" s="27" t="s">
        <v>465</v>
      </c>
      <c r="K906" s="27">
        <v>84</v>
      </c>
      <c r="L906" s="179">
        <v>13940</v>
      </c>
      <c r="M906" s="178" t="s">
        <v>2513</v>
      </c>
      <c r="N906" s="27" t="s">
        <v>465</v>
      </c>
      <c r="O906" s="187" t="s">
        <v>2514</v>
      </c>
    </row>
    <row r="907" spans="2:15">
      <c r="B907" s="174" t="s">
        <v>115</v>
      </c>
      <c r="C907" s="175" t="s">
        <v>464</v>
      </c>
      <c r="D907" s="176" t="s">
        <v>465</v>
      </c>
      <c r="E907" s="177" t="s">
        <v>116</v>
      </c>
      <c r="F907" s="175">
        <f>LEN(E907)</f>
        <v>8</v>
      </c>
      <c r="G907" s="175" t="str">
        <f>MID(E907,2,F907-2)</f>
        <v>Juneau</v>
      </c>
      <c r="H907" s="175"/>
      <c r="I907" s="178" t="s">
        <v>117</v>
      </c>
      <c r="J907" s="27" t="s">
        <v>465</v>
      </c>
      <c r="K907" s="27">
        <v>0</v>
      </c>
      <c r="L907" s="179">
        <v>8897</v>
      </c>
      <c r="M907" s="178" t="s">
        <v>118</v>
      </c>
      <c r="N907" s="27" t="s">
        <v>465</v>
      </c>
      <c r="O907" s="182" t="s">
        <v>119</v>
      </c>
    </row>
    <row r="908" spans="2:15">
      <c r="B908" s="174" t="s">
        <v>921</v>
      </c>
      <c r="C908" s="175" t="s">
        <v>464</v>
      </c>
      <c r="D908" s="176" t="s">
        <v>465</v>
      </c>
      <c r="E908" s="177" t="s">
        <v>922</v>
      </c>
      <c r="F908" s="175">
        <f>LEN(E908)</f>
        <v>11</v>
      </c>
      <c r="G908" s="175" t="str">
        <f>MID(E908,2,F908-2)</f>
        <v>Ketchikan</v>
      </c>
      <c r="H908" s="175"/>
      <c r="I908" s="178" t="s">
        <v>923</v>
      </c>
      <c r="J908" s="27" t="s">
        <v>465</v>
      </c>
      <c r="K908" s="27">
        <v>0</v>
      </c>
      <c r="L908" s="179">
        <v>11456</v>
      </c>
      <c r="M908" s="178" t="s">
        <v>118</v>
      </c>
      <c r="N908" s="27" t="s">
        <v>465</v>
      </c>
      <c r="O908" s="182" t="s">
        <v>119</v>
      </c>
    </row>
    <row r="909" spans="2:15">
      <c r="B909" s="189"/>
      <c r="C909" s="190"/>
      <c r="D909" s="181"/>
      <c r="E909" s="191"/>
      <c r="F909" s="190"/>
      <c r="G909" s="190"/>
      <c r="H909" s="190"/>
      <c r="I909" s="192"/>
      <c r="J909" s="190"/>
      <c r="K909" s="190"/>
      <c r="L909" s="191"/>
      <c r="M909" s="192"/>
      <c r="N909" s="190"/>
      <c r="O909" s="191"/>
    </row>
    <row r="910" spans="2:15">
      <c r="B910" s="189"/>
      <c r="C910" s="190"/>
      <c r="D910" s="181"/>
      <c r="E910" s="191"/>
      <c r="F910" s="190"/>
      <c r="G910" s="190"/>
      <c r="H910" s="190"/>
      <c r="I910" s="192"/>
      <c r="J910" s="190"/>
      <c r="K910" s="190"/>
      <c r="L910" s="191"/>
      <c r="M910" s="192"/>
      <c r="N910" s="190"/>
      <c r="O910" s="191"/>
    </row>
    <row r="911" spans="2:15" ht="12.75" thickBot="1">
      <c r="B911" s="193"/>
      <c r="C911" s="194"/>
      <c r="D911" s="195"/>
      <c r="E911" s="196"/>
      <c r="F911" s="194"/>
      <c r="G911" s="194"/>
      <c r="H911" s="194"/>
      <c r="I911" s="197"/>
      <c r="J911" s="194"/>
      <c r="K911" s="194"/>
      <c r="L911" s="196"/>
      <c r="M911" s="197"/>
      <c r="N911" s="194"/>
      <c r="O911" s="196"/>
    </row>
    <row r="912" spans="2:15" ht="21" thickBot="1">
      <c r="B912" s="745" t="s">
        <v>1939</v>
      </c>
      <c r="C912" s="746"/>
      <c r="D912" s="746"/>
      <c r="E912" s="747"/>
      <c r="F912" s="198"/>
      <c r="G912" s="198"/>
      <c r="H912" s="198"/>
      <c r="I912" s="745" t="s">
        <v>1940</v>
      </c>
      <c r="J912" s="746"/>
      <c r="K912" s="746"/>
      <c r="L912" s="747"/>
      <c r="M912" s="745" t="s">
        <v>1941</v>
      </c>
      <c r="N912" s="746"/>
      <c r="O912" s="747"/>
    </row>
  </sheetData>
  <mergeCells count="6">
    <mergeCell ref="I1:L1"/>
    <mergeCell ref="P1:R1"/>
    <mergeCell ref="M1:O1"/>
    <mergeCell ref="B912:E912"/>
    <mergeCell ref="I912:L912"/>
    <mergeCell ref="M912:O912"/>
  </mergeCells>
  <phoneticPr fontId="0" type="noConversion"/>
  <pageMargins left="0.75" right="0.75" top="1" bottom="1" header="0.5" footer="0.5"/>
  <pageSetup scale="36" fitToHeight="16" orientation="portrait" horizontalDpi="300" verticalDpi="300" r:id="rId1"/>
  <headerFooter alignWithMargins="0"/>
</worksheet>
</file>

<file path=xl/worksheets/sheet24.xml><?xml version="1.0" encoding="utf-8"?>
<worksheet xmlns="http://schemas.openxmlformats.org/spreadsheetml/2006/main" xmlns:r="http://schemas.openxmlformats.org/officeDocument/2006/relationships">
  <sheetPr codeName="Sheet21">
    <pageSetUpPr fitToPage="1"/>
  </sheetPr>
  <dimension ref="A1:AC320"/>
  <sheetViews>
    <sheetView topLeftCell="A3" zoomScale="75" workbookViewId="0">
      <selection activeCell="U45" sqref="U45"/>
    </sheetView>
  </sheetViews>
  <sheetFormatPr defaultRowHeight="12.75"/>
  <cols>
    <col min="1" max="1" width="21.28515625" customWidth="1"/>
    <col min="2" max="2" width="18.28515625" bestFit="1" customWidth="1"/>
    <col min="3" max="3" width="15.42578125" customWidth="1"/>
    <col min="4" max="4" width="18.28515625" customWidth="1"/>
    <col min="5" max="5" width="12.7109375" bestFit="1" customWidth="1"/>
    <col min="6" max="6" width="13.7109375" customWidth="1"/>
    <col min="7" max="7" width="11.28515625" bestFit="1" customWidth="1"/>
    <col min="9" max="9" width="11.85546875" customWidth="1"/>
    <col min="11" max="11" width="7.5703125" customWidth="1"/>
    <col min="13" max="13" width="20" customWidth="1"/>
    <col min="14" max="14" width="7.85546875" customWidth="1"/>
    <col min="15" max="15" width="5.42578125" customWidth="1"/>
    <col min="16" max="16" width="6" customWidth="1"/>
    <col min="17" max="17" width="6.42578125" customWidth="1"/>
    <col min="18" max="18" width="6.28515625" customWidth="1"/>
    <col min="19" max="19" width="10" customWidth="1"/>
    <col min="20" max="20" width="7.7109375" customWidth="1"/>
  </cols>
  <sheetData>
    <row r="1" spans="1:25" ht="18">
      <c r="A1" s="29" t="s">
        <v>1965</v>
      </c>
      <c r="B1" s="3"/>
      <c r="C1" s="3"/>
    </row>
    <row r="2" spans="1:25" ht="18">
      <c r="A2" s="2" t="s">
        <v>1966</v>
      </c>
    </row>
    <row r="4" spans="1:25" ht="13.5" thickBot="1"/>
    <row r="5" spans="1:25" ht="18">
      <c r="A5" s="30" t="s">
        <v>1966</v>
      </c>
      <c r="B5" s="31"/>
      <c r="C5" s="31"/>
      <c r="D5" s="31"/>
      <c r="E5" s="31"/>
      <c r="F5" s="31"/>
      <c r="G5" s="31"/>
      <c r="H5" s="31"/>
      <c r="I5" s="31"/>
      <c r="J5" s="31"/>
      <c r="K5" s="32"/>
    </row>
    <row r="6" spans="1:25" ht="13.5" thickBot="1">
      <c r="A6" s="33"/>
      <c r="B6" s="34"/>
      <c r="C6" s="34"/>
      <c r="D6" s="34"/>
      <c r="E6" s="34"/>
      <c r="F6" s="34"/>
      <c r="G6" s="34"/>
      <c r="H6" s="34"/>
      <c r="I6" s="34"/>
      <c r="J6" s="34"/>
      <c r="K6" s="35"/>
    </row>
    <row r="7" spans="1:25" ht="15.75" thickBot="1">
      <c r="A7" s="269"/>
      <c r="B7" s="270" t="s">
        <v>1967</v>
      </c>
      <c r="C7" s="271" t="s">
        <v>1968</v>
      </c>
      <c r="D7" s="753" t="s">
        <v>1969</v>
      </c>
      <c r="E7" s="754"/>
      <c r="F7" s="754"/>
      <c r="G7" s="755"/>
      <c r="H7" s="753" t="s">
        <v>1970</v>
      </c>
      <c r="I7" s="754"/>
      <c r="J7" s="754"/>
      <c r="K7" s="755"/>
      <c r="M7" s="10" t="s">
        <v>30</v>
      </c>
    </row>
    <row r="8" spans="1:25" ht="20.25" customHeight="1">
      <c r="A8" s="36" t="s">
        <v>1971</v>
      </c>
      <c r="B8" s="37" t="e">
        <f>C8/N10</f>
        <v>#REF!</v>
      </c>
      <c r="C8" s="37" t="e">
        <f>N14</f>
        <v>#REF!</v>
      </c>
      <c r="D8" s="38"/>
      <c r="E8" s="39" t="s">
        <v>1972</v>
      </c>
      <c r="F8" s="274" t="e">
        <f ca="1">+(F9*'Side Calcs - Baseline'!J16/(10.3/3.412))+(F9*'Side Calcs - Baseline'!K16/1.024)+(F9*'Side Calcs - Baseline'!L16)+(F9*'Side Calcs - Baseline'!M16/1.38)+(F9*'Side Calcs - Baseline'!N16)</f>
        <v>#REF!</v>
      </c>
      <c r="G8" s="275" t="s">
        <v>233</v>
      </c>
      <c r="H8" s="40"/>
      <c r="I8" s="41" t="s">
        <v>1082</v>
      </c>
      <c r="J8" s="42">
        <f>+G39</f>
        <v>11.246855500000001</v>
      </c>
      <c r="K8" s="43" t="s">
        <v>1083</v>
      </c>
      <c r="P8" t="s">
        <v>1084</v>
      </c>
    </row>
    <row r="9" spans="1:25" ht="15.75">
      <c r="A9" s="36" t="s">
        <v>1085</v>
      </c>
      <c r="B9" s="44" t="e">
        <f>B12*B16</f>
        <v>#REF!</v>
      </c>
      <c r="C9" s="45"/>
      <c r="D9" s="40"/>
      <c r="E9" s="39" t="s">
        <v>1086</v>
      </c>
      <c r="F9" s="276" t="e">
        <f>+EXP('Worksheet - Design - Baseline'!C76)</f>
        <v>#REF!</v>
      </c>
      <c r="G9" s="275" t="s">
        <v>233</v>
      </c>
      <c r="H9" s="46"/>
      <c r="I9" s="47"/>
      <c r="J9" s="7"/>
      <c r="K9" s="43"/>
      <c r="N9" t="s">
        <v>519</v>
      </c>
      <c r="O9" t="s">
        <v>1084</v>
      </c>
      <c r="P9" s="10" t="s">
        <v>1087</v>
      </c>
    </row>
    <row r="10" spans="1:25" ht="15.75">
      <c r="A10" s="36" t="s">
        <v>1088</v>
      </c>
      <c r="B10" s="48" t="e">
        <f>B17*B18</f>
        <v>#REF!</v>
      </c>
      <c r="C10" s="45"/>
      <c r="D10" s="46"/>
      <c r="E10" s="49"/>
      <c r="F10" s="50"/>
      <c r="G10" s="43"/>
      <c r="H10" s="46"/>
      <c r="I10" s="47"/>
      <c r="J10" s="51"/>
      <c r="K10" s="43"/>
      <c r="M10" s="83"/>
      <c r="N10" s="277" t="e">
        <f>#REF!</f>
        <v>#REF!</v>
      </c>
      <c r="O10" s="277" t="e">
        <f>#REF!</f>
        <v>#REF!</v>
      </c>
      <c r="P10" t="e">
        <f>O10/N10</f>
        <v>#REF!</v>
      </c>
    </row>
    <row r="11" spans="1:25" ht="15.75">
      <c r="A11" s="36" t="s">
        <v>1089</v>
      </c>
      <c r="B11" s="48" t="e">
        <f>O10/N10</f>
        <v>#REF!</v>
      </c>
      <c r="C11" s="45"/>
      <c r="D11" s="46"/>
      <c r="E11" s="49"/>
      <c r="F11" s="50"/>
      <c r="G11" s="43"/>
      <c r="H11" s="46"/>
      <c r="I11" s="47"/>
      <c r="J11" s="51"/>
      <c r="K11" s="43"/>
      <c r="M11" s="83"/>
      <c r="N11" s="277"/>
    </row>
    <row r="12" spans="1:25" ht="16.5" thickBot="1">
      <c r="A12" s="52" t="s">
        <v>31</v>
      </c>
      <c r="B12" s="53" t="e">
        <f>'ZipCode Map'!K5</f>
        <v>#REF!</v>
      </c>
      <c r="C12" s="45"/>
      <c r="D12" s="46"/>
      <c r="E12" s="54" t="s">
        <v>1090</v>
      </c>
      <c r="F12" s="55" t="e">
        <f ca="1">IF(B25&lt;'Worksheet - Design - Baseline'!C51,100,LOOKUP(B25,'Worksheet - Design - Baseline'!C51:C149,'Worksheet - Design - Baseline'!A51:A149)-1)</f>
        <v>#REF!</v>
      </c>
      <c r="G12" s="43"/>
      <c r="H12" s="46"/>
      <c r="I12" s="56"/>
      <c r="J12" s="7"/>
      <c r="K12" s="43"/>
    </row>
    <row r="13" spans="1:25" ht="51.75">
      <c r="A13" s="52"/>
      <c r="B13" s="53"/>
      <c r="C13" s="45"/>
      <c r="D13" s="46"/>
      <c r="E13" s="7"/>
      <c r="F13" s="7"/>
      <c r="G13" s="43"/>
      <c r="H13" s="40"/>
      <c r="I13" s="41" t="s">
        <v>1091</v>
      </c>
      <c r="J13" s="57" t="e">
        <f>$D$40+$D$41*LN(B8)+$D$42*B9+$D$43*B10+D44*B11</f>
        <v>#REF!</v>
      </c>
      <c r="K13" s="43" t="s">
        <v>1083</v>
      </c>
      <c r="M13" s="58" t="s">
        <v>1092</v>
      </c>
      <c r="N13" s="58" t="s">
        <v>1093</v>
      </c>
      <c r="O13" s="58" t="s">
        <v>1094</v>
      </c>
      <c r="P13" s="58" t="s">
        <v>1095</v>
      </c>
      <c r="Q13" s="58" t="s">
        <v>1227</v>
      </c>
      <c r="R13" s="58" t="s">
        <v>1228</v>
      </c>
      <c r="S13" s="58" t="s">
        <v>193</v>
      </c>
      <c r="T13" s="58" t="s">
        <v>194</v>
      </c>
      <c r="U13" s="58" t="s">
        <v>195</v>
      </c>
    </row>
    <row r="14" spans="1:25" ht="15.75">
      <c r="A14" s="52"/>
      <c r="B14" s="37"/>
      <c r="C14" s="45"/>
      <c r="D14" s="38"/>
      <c r="E14" s="39" t="s">
        <v>196</v>
      </c>
      <c r="F14" s="274" t="e">
        <f ca="1">+(F15*'Side Calcs - Baseline'!J16/(10.3/3.412))+(F15*'Side Calcs - Baseline'!K16/1.024)+(F15*'Side Calcs - Baseline'!L16)+(F15*'Side Calcs - Baseline'!M16/1.38)+(F15*'Side Calcs - Baseline'!N16)</f>
        <v>#REF!</v>
      </c>
      <c r="G14" s="275" t="s">
        <v>233</v>
      </c>
      <c r="H14" s="46"/>
      <c r="I14" s="47"/>
      <c r="J14" s="59"/>
      <c r="K14" s="43"/>
      <c r="M14" s="60" t="e">
        <f>#REF!</f>
        <v>#REF!</v>
      </c>
      <c r="N14" s="61" t="e">
        <f>#REF!</f>
        <v>#REF!</v>
      </c>
      <c r="O14" s="61"/>
      <c r="P14" s="61"/>
      <c r="Q14" s="61" t="e">
        <f>#REF!</f>
        <v>#REF!</v>
      </c>
      <c r="R14" s="61"/>
      <c r="S14" s="278" t="e">
        <f ca="1">S21-S15</f>
        <v>#REF!</v>
      </c>
      <c r="T14" s="278" t="e">
        <f ca="1">S14/N10</f>
        <v>#REF!</v>
      </c>
      <c r="U14" s="61"/>
    </row>
    <row r="15" spans="1:25" ht="15.75">
      <c r="A15" s="52"/>
      <c r="B15" s="37"/>
      <c r="C15" s="45"/>
      <c r="D15" s="40"/>
      <c r="E15" s="39" t="s">
        <v>197</v>
      </c>
      <c r="F15" s="276" t="e">
        <f ca="1">F9*N10+SUM(S15:S19)</f>
        <v>#REF!</v>
      </c>
      <c r="G15" s="275" t="s">
        <v>233</v>
      </c>
      <c r="H15" s="46"/>
      <c r="I15" s="47"/>
      <c r="J15" s="59"/>
      <c r="K15" s="43"/>
      <c r="M15" s="60" t="e">
        <f>#REF!</f>
        <v>#REF!</v>
      </c>
      <c r="N15" s="61" t="e">
        <f>#REF!</f>
        <v>#REF!</v>
      </c>
      <c r="O15" s="61"/>
      <c r="P15" s="61"/>
      <c r="Q15" s="61" t="e">
        <f>#REF!</f>
        <v>#REF!</v>
      </c>
      <c r="R15" s="61"/>
      <c r="S15" s="278" t="e">
        <f ca="1">0.75*S$21*N15/N$22</f>
        <v>#REF!</v>
      </c>
      <c r="T15" s="278"/>
      <c r="U15" s="62" t="s">
        <v>198</v>
      </c>
      <c r="V15" s="63"/>
      <c r="W15" s="63"/>
      <c r="X15" s="63"/>
      <c r="Y15" s="63"/>
    </row>
    <row r="16" spans="1:25" ht="15.75">
      <c r="A16" s="36" t="s">
        <v>199</v>
      </c>
      <c r="B16" s="64" t="e">
        <f>(#REF!)/#REF!</f>
        <v>#REF!</v>
      </c>
      <c r="C16" s="45"/>
      <c r="D16" s="46"/>
      <c r="E16" s="56"/>
      <c r="F16" s="65"/>
      <c r="G16" s="66"/>
      <c r="H16" s="46"/>
      <c r="I16" s="47"/>
      <c r="J16" s="59"/>
      <c r="K16" s="43"/>
      <c r="M16" s="60" t="e">
        <f>#REF!</f>
        <v>#REF!</v>
      </c>
      <c r="N16" s="61" t="e">
        <f>#REF!</f>
        <v>#REF!</v>
      </c>
      <c r="O16" s="61"/>
      <c r="P16" s="61"/>
      <c r="Q16" s="61" t="e">
        <f>#REF!</f>
        <v>#REF!</v>
      </c>
      <c r="R16" s="61"/>
      <c r="S16" s="278" t="e">
        <f>200*N16</f>
        <v>#REF!</v>
      </c>
      <c r="T16" s="278"/>
      <c r="U16" s="62" t="s">
        <v>200</v>
      </c>
      <c r="V16" s="63"/>
      <c r="W16" s="63"/>
      <c r="X16" s="63"/>
      <c r="Y16" s="63"/>
    </row>
    <row r="17" spans="1:25" ht="15.75">
      <c r="A17" s="36" t="s">
        <v>32</v>
      </c>
      <c r="B17" s="48" t="e">
        <f>+'ZipCode Map'!L5</f>
        <v>#REF!</v>
      </c>
      <c r="C17" s="45"/>
      <c r="D17" s="46"/>
      <c r="E17" s="5"/>
      <c r="F17" s="67"/>
      <c r="G17" s="66"/>
      <c r="H17" s="46"/>
      <c r="I17" s="47" t="s">
        <v>201</v>
      </c>
      <c r="J17" s="68" t="e">
        <f>+J13/J8</f>
        <v>#REF!</v>
      </c>
      <c r="K17" s="43"/>
      <c r="M17" s="60" t="e">
        <f>#REF!</f>
        <v>#REF!</v>
      </c>
      <c r="N17" s="61" t="e">
        <f>#REF!</f>
        <v>#REF!</v>
      </c>
      <c r="O17" s="61">
        <v>168</v>
      </c>
      <c r="P17" s="61" t="s">
        <v>202</v>
      </c>
      <c r="Q17" s="61" t="s">
        <v>202</v>
      </c>
      <c r="R17" s="69">
        <v>1.46</v>
      </c>
      <c r="S17" s="278" t="e">
        <f>N17*O17*R17*10.3/1000</f>
        <v>#REF!</v>
      </c>
      <c r="T17" s="278"/>
      <c r="U17" s="69"/>
    </row>
    <row r="18" spans="1:25" ht="15.75">
      <c r="A18" s="36" t="s">
        <v>203</v>
      </c>
      <c r="B18" s="64" t="e">
        <f>(#REF!)/#REF!</f>
        <v>#REF!</v>
      </c>
      <c r="C18" s="45"/>
      <c r="D18" s="46"/>
      <c r="E18" s="56"/>
      <c r="F18" s="65"/>
      <c r="G18" s="66"/>
      <c r="H18" s="46"/>
      <c r="I18" s="7"/>
      <c r="J18" s="7"/>
      <c r="K18" s="43"/>
      <c r="M18" s="60" t="e">
        <f>#REF!</f>
        <v>#REF!</v>
      </c>
      <c r="N18" s="61" t="e">
        <f>#REF!</f>
        <v>#REF!</v>
      </c>
      <c r="O18" s="61">
        <v>168</v>
      </c>
      <c r="P18" s="61" t="s">
        <v>202</v>
      </c>
      <c r="Q18" s="61" t="s">
        <v>202</v>
      </c>
      <c r="R18" s="69">
        <v>0.26</v>
      </c>
      <c r="S18" s="278" t="e">
        <f>N18*O18*R18*10.3/1000</f>
        <v>#REF!</v>
      </c>
      <c r="T18" s="278"/>
      <c r="U18" s="69"/>
    </row>
    <row r="19" spans="1:25" ht="15" thickBot="1">
      <c r="B19" s="70"/>
      <c r="C19" s="45"/>
      <c r="D19" s="46"/>
      <c r="E19" s="56"/>
      <c r="F19" s="65"/>
      <c r="G19" s="66"/>
      <c r="H19" s="46"/>
      <c r="I19" s="7"/>
      <c r="J19" s="7"/>
      <c r="K19" s="43"/>
      <c r="M19" s="71" t="e">
        <f>#REF!</f>
        <v>#REF!</v>
      </c>
      <c r="N19" s="72" t="e">
        <f>#REF!</f>
        <v>#REF!</v>
      </c>
      <c r="O19" s="72">
        <v>84</v>
      </c>
      <c r="P19" s="72" t="s">
        <v>202</v>
      </c>
      <c r="Q19" s="72" t="s">
        <v>202</v>
      </c>
      <c r="R19" s="73">
        <v>0.12</v>
      </c>
      <c r="S19" s="279" t="e">
        <f>N19*O19*R19*10.3/1000</f>
        <v>#REF!</v>
      </c>
      <c r="T19" s="279"/>
      <c r="U19" s="62" t="s">
        <v>204</v>
      </c>
      <c r="V19" s="63"/>
      <c r="W19" s="63"/>
      <c r="X19" s="63"/>
      <c r="Y19" s="63"/>
    </row>
    <row r="20" spans="1:25" ht="15.75">
      <c r="A20" s="52" t="s">
        <v>205</v>
      </c>
      <c r="B20" s="280" t="e">
        <f ca="1">+#REF!*'Side Calcs - Baseline'!K4+#REF!*'Side Calcs - Baseline'!O4+#REF!*'Side Calcs - Baseline'!S4+#REF!*'Side Calcs - Baseline'!W4+#REF!*'Side Calcs - Baseline'!AA4</f>
        <v>#REF!</v>
      </c>
      <c r="C20" s="45" t="s">
        <v>2263</v>
      </c>
      <c r="D20" s="46"/>
      <c r="E20" s="56"/>
      <c r="F20" s="7"/>
      <c r="G20" s="43"/>
      <c r="H20" s="46"/>
      <c r="I20" s="47"/>
      <c r="J20" s="281"/>
      <c r="K20" s="282"/>
      <c r="M20" s="74" t="s">
        <v>2264</v>
      </c>
      <c r="N20" s="49"/>
      <c r="S20" s="283" t="e">
        <f ca="1">B22</f>
        <v>#REF!</v>
      </c>
      <c r="T20" s="283"/>
    </row>
    <row r="21" spans="1:25" ht="15.75">
      <c r="A21" s="52" t="s">
        <v>2265</v>
      </c>
      <c r="B21" s="280"/>
      <c r="C21" s="45"/>
      <c r="D21" s="46"/>
      <c r="E21" s="56"/>
      <c r="F21" s="7"/>
      <c r="G21" s="43"/>
      <c r="H21" s="46"/>
      <c r="I21" s="47"/>
      <c r="J21" s="281"/>
      <c r="K21" s="282"/>
      <c r="M21" t="s">
        <v>2266</v>
      </c>
      <c r="S21" s="283" t="e">
        <f ca="1">S20-S16-S17-S18-S19</f>
        <v>#REF!</v>
      </c>
      <c r="T21" s="283"/>
    </row>
    <row r="22" spans="1:25" ht="15.75">
      <c r="A22" s="52" t="s">
        <v>2267</v>
      </c>
      <c r="B22" s="280" t="e">
        <f ca="1">+#REF!*'Side Calcs - Baseline'!J4+#REF!*'Side Calcs - Baseline'!N4+#REF!*'Side Calcs - Baseline'!R4+#REF!*'Side Calcs - Baseline'!V4+#REF!*'Side Calcs - Baseline'!Z4</f>
        <v>#REF!</v>
      </c>
      <c r="C22" s="45" t="s">
        <v>2263</v>
      </c>
      <c r="D22" s="46"/>
      <c r="E22" s="7"/>
      <c r="F22" s="59"/>
      <c r="G22" s="43"/>
      <c r="H22" s="46"/>
      <c r="I22" s="47"/>
      <c r="J22" s="7"/>
      <c r="K22" s="75"/>
      <c r="M22" t="s">
        <v>2268</v>
      </c>
      <c r="N22" s="76" t="e">
        <f>SUM(N14:N15)</f>
        <v>#REF!</v>
      </c>
      <c r="S22" s="283" t="e">
        <f ca="1">SUM(S14:S15)</f>
        <v>#REF!</v>
      </c>
      <c r="T22" s="283"/>
    </row>
    <row r="23" spans="1:25" ht="15.75">
      <c r="A23" s="52" t="s">
        <v>2269</v>
      </c>
      <c r="B23" s="77"/>
      <c r="C23" s="45"/>
      <c r="D23" s="40"/>
      <c r="E23" s="41" t="s">
        <v>2270</v>
      </c>
      <c r="F23" s="284" t="e">
        <f ca="1">+(F24*'Side Calcs - Baseline'!J16/(10.3/3.412))+(F24*'Side Calcs - Baseline'!K16/1.024)+(F24*'Side Calcs - Baseline'!L16)+(F24*'Side Calcs - Baseline'!M16/1.38)+(F24*'Side Calcs - Baseline'!N16)</f>
        <v>#REF!</v>
      </c>
      <c r="G23" s="275" t="s">
        <v>233</v>
      </c>
      <c r="H23" s="46"/>
      <c r="I23" s="7"/>
      <c r="J23" s="7"/>
      <c r="K23" s="43"/>
      <c r="M23" t="s">
        <v>2271</v>
      </c>
      <c r="S23" s="78" t="e">
        <f>SUM(S16:S19)</f>
        <v>#REF!</v>
      </c>
    </row>
    <row r="24" spans="1:25" ht="15.75">
      <c r="A24" s="52" t="s">
        <v>2272</v>
      </c>
      <c r="B24" s="77"/>
      <c r="C24" s="45"/>
      <c r="D24" s="40"/>
      <c r="E24" s="41" t="s">
        <v>2273</v>
      </c>
      <c r="F24" s="285" t="e">
        <f>EXP(C101)</f>
        <v>#REF!</v>
      </c>
      <c r="G24" s="275" t="s">
        <v>233</v>
      </c>
      <c r="H24" s="46"/>
      <c r="I24" s="7"/>
      <c r="J24" s="7"/>
      <c r="K24" s="43"/>
    </row>
    <row r="25" spans="1:25" ht="16.5" thickBot="1">
      <c r="A25" s="36" t="s">
        <v>2274</v>
      </c>
      <c r="B25" s="79" t="e">
        <f ca="1">LN(T14)</f>
        <v>#REF!</v>
      </c>
      <c r="C25" s="80"/>
      <c r="D25" s="40"/>
      <c r="E25" s="41" t="s">
        <v>2275</v>
      </c>
      <c r="F25" s="284" t="e">
        <f ca="1">+(F26*'Side Calcs - Baseline'!J18/(10.3/3.412))+(F26*'Side Calcs - Baseline'!K18/1.024)+(F26*'Side Calcs - Baseline'!L18)+(F26*'Side Calcs - Baseline'!M18/1.38)+(F26*'Side Calcs - Baseline'!N18)</f>
        <v>#REF!</v>
      </c>
      <c r="G25" s="275" t="s">
        <v>233</v>
      </c>
      <c r="H25" s="11"/>
      <c r="I25" s="81"/>
      <c r="J25" s="81"/>
      <c r="K25" s="13"/>
      <c r="N25" t="s">
        <v>2276</v>
      </c>
    </row>
    <row r="26" spans="1:25" ht="14.25">
      <c r="D26" s="40"/>
      <c r="E26" s="41" t="s">
        <v>2277</v>
      </c>
      <c r="F26" s="285" t="e">
        <f ca="1">F24*N10+SUM(S15:S19)</f>
        <v>#REF!</v>
      </c>
      <c r="G26" s="275" t="s">
        <v>233</v>
      </c>
      <c r="N26" t="s">
        <v>2278</v>
      </c>
    </row>
    <row r="27" spans="1:25" ht="14.25">
      <c r="I27" s="47"/>
      <c r="J27" s="82"/>
      <c r="M27" s="83"/>
      <c r="N27" s="83"/>
      <c r="P27" s="83"/>
      <c r="Q27" s="83"/>
    </row>
    <row r="28" spans="1:25" ht="14.25">
      <c r="A28" s="1" t="s">
        <v>2279</v>
      </c>
      <c r="I28" s="47"/>
      <c r="J28" s="82"/>
      <c r="M28" s="83"/>
      <c r="N28" s="83" t="s">
        <v>2280</v>
      </c>
      <c r="O28" s="83"/>
      <c r="P28" s="83"/>
      <c r="Q28" s="83"/>
    </row>
    <row r="29" spans="1:25" ht="12.75" hidden="1" customHeight="1"/>
    <row r="30" spans="1:25">
      <c r="A30" s="84" t="s">
        <v>2281</v>
      </c>
      <c r="B30" s="3"/>
      <c r="C30" s="3"/>
      <c r="D30" s="3"/>
    </row>
    <row r="31" spans="1:25">
      <c r="A31" s="9"/>
      <c r="N31" t="s">
        <v>2282</v>
      </c>
    </row>
    <row r="32" spans="1:25" ht="12.75" hidden="1" customHeight="1">
      <c r="A32" s="9"/>
    </row>
    <row r="33" spans="1:21" ht="12.75" hidden="1" customHeight="1"/>
    <row r="34" spans="1:21" ht="12.75" hidden="1" customHeight="1">
      <c r="A34" s="9"/>
    </row>
    <row r="35" spans="1:21" ht="12.75" hidden="1" customHeight="1"/>
    <row r="36" spans="1:21" ht="13.5" thickBot="1"/>
    <row r="37" spans="1:21" ht="18.75" thickBot="1">
      <c r="A37" s="85" t="s">
        <v>2283</v>
      </c>
      <c r="B37" s="86"/>
      <c r="C37" s="86"/>
      <c r="D37" s="12"/>
      <c r="K37" s="87"/>
      <c r="N37" t="s">
        <v>2284</v>
      </c>
    </row>
    <row r="38" spans="1:21" ht="14.25">
      <c r="A38" s="88"/>
      <c r="B38" s="89"/>
      <c r="C38" s="89"/>
      <c r="D38" s="90" t="s">
        <v>2285</v>
      </c>
      <c r="E38" s="7"/>
      <c r="F38" s="91" t="s">
        <v>2286</v>
      </c>
      <c r="G38" s="92" t="s">
        <v>2287</v>
      </c>
      <c r="H38" s="92" t="s">
        <v>2288</v>
      </c>
      <c r="I38" s="93" t="s">
        <v>2289</v>
      </c>
      <c r="K38" s="94"/>
      <c r="N38" t="s">
        <v>2290</v>
      </c>
    </row>
    <row r="39" spans="1:21" s="1" customFormat="1" ht="14.25">
      <c r="A39" s="95" t="s">
        <v>2286</v>
      </c>
      <c r="B39" s="96" t="s">
        <v>2291</v>
      </c>
      <c r="C39" s="97" t="s">
        <v>2285</v>
      </c>
      <c r="D39" s="98" t="s">
        <v>2292</v>
      </c>
      <c r="E39" s="97"/>
      <c r="F39" s="99" t="s">
        <v>2293</v>
      </c>
      <c r="G39" s="100">
        <v>11.246855500000001</v>
      </c>
      <c r="H39" s="101">
        <v>9.7327645</v>
      </c>
      <c r="I39" s="102">
        <v>12.207849100000001</v>
      </c>
      <c r="J39" s="103" t="s">
        <v>2294</v>
      </c>
      <c r="K39" s="104"/>
      <c r="L39"/>
      <c r="M39"/>
      <c r="N39"/>
      <c r="O39"/>
      <c r="P39"/>
      <c r="Q39"/>
      <c r="R39"/>
      <c r="S39"/>
      <c r="T39"/>
      <c r="U39"/>
    </row>
    <row r="40" spans="1:21" s="1" customFormat="1" ht="14.25">
      <c r="A40" s="105" t="s">
        <v>2295</v>
      </c>
      <c r="B40" s="106">
        <v>1</v>
      </c>
      <c r="C40" s="106" t="s">
        <v>212</v>
      </c>
      <c r="D40" s="107">
        <v>6.4144199999999998</v>
      </c>
      <c r="E40" s="97"/>
      <c r="F40" s="108"/>
      <c r="G40" s="109"/>
      <c r="H40" s="106"/>
      <c r="I40" s="110"/>
      <c r="K40" s="104"/>
      <c r="L40" s="111"/>
    </row>
    <row r="41" spans="1:21" ht="14.25">
      <c r="A41" s="112" t="s">
        <v>213</v>
      </c>
      <c r="B41" s="106">
        <v>1</v>
      </c>
      <c r="C41" s="106" t="s">
        <v>214</v>
      </c>
      <c r="D41" s="113">
        <v>0.69635999999999998</v>
      </c>
      <c r="E41" s="59"/>
      <c r="F41" s="99" t="s">
        <v>215</v>
      </c>
      <c r="G41" s="114">
        <v>6.5994793999999999</v>
      </c>
      <c r="H41" s="101">
        <v>5.7990927000000001</v>
      </c>
      <c r="I41" s="102">
        <v>7.4024514999999997</v>
      </c>
      <c r="J41" t="s">
        <v>216</v>
      </c>
      <c r="L41" s="115">
        <f>EXP(G41)</f>
        <v>734.71259828352083</v>
      </c>
    </row>
    <row r="42" spans="1:21" ht="14.25">
      <c r="A42" s="112" t="s">
        <v>217</v>
      </c>
      <c r="B42" s="106">
        <v>1</v>
      </c>
      <c r="C42" s="106" t="s">
        <v>218</v>
      </c>
      <c r="D42" s="116">
        <v>5.3000000000000001E-5</v>
      </c>
      <c r="E42" s="7"/>
      <c r="F42" s="99" t="s">
        <v>1085</v>
      </c>
      <c r="G42" s="117">
        <v>569.07824230000006</v>
      </c>
      <c r="H42" s="101">
        <v>0</v>
      </c>
      <c r="I42" s="102">
        <v>5736</v>
      </c>
      <c r="K42" s="104"/>
      <c r="L42" s="4"/>
      <c r="S42" s="118"/>
    </row>
    <row r="43" spans="1:21" ht="14.25">
      <c r="A43" s="112" t="s">
        <v>219</v>
      </c>
      <c r="B43" s="106">
        <v>1</v>
      </c>
      <c r="C43" s="106" t="s">
        <v>220</v>
      </c>
      <c r="D43" s="116">
        <v>2.779E-5</v>
      </c>
      <c r="E43" s="7"/>
      <c r="F43" s="99" t="s">
        <v>1088</v>
      </c>
      <c r="G43" s="117">
        <v>4484.58</v>
      </c>
      <c r="H43" s="101">
        <v>0</v>
      </c>
      <c r="I43" s="102">
        <v>8200</v>
      </c>
      <c r="K43" s="104"/>
      <c r="L43" s="4"/>
    </row>
    <row r="44" spans="1:21" ht="14.25">
      <c r="A44" s="112" t="s">
        <v>221</v>
      </c>
      <c r="B44" s="106">
        <v>1</v>
      </c>
      <c r="C44" s="106" t="s">
        <v>222</v>
      </c>
      <c r="D44" s="113">
        <v>6.2050000000000001E-2</v>
      </c>
      <c r="E44" s="7"/>
      <c r="F44" s="99" t="s">
        <v>223</v>
      </c>
      <c r="G44" s="119">
        <v>1.3225806</v>
      </c>
      <c r="H44" s="101">
        <v>0</v>
      </c>
      <c r="I44" s="102">
        <v>4</v>
      </c>
    </row>
    <row r="45" spans="1:21" ht="15" thickBot="1">
      <c r="A45" s="120"/>
      <c r="B45" s="121"/>
      <c r="C45" s="121"/>
      <c r="D45" s="122"/>
      <c r="E45" s="7"/>
      <c r="F45" s="99"/>
      <c r="G45" s="119"/>
      <c r="H45" s="101"/>
      <c r="I45" s="102"/>
    </row>
    <row r="46" spans="1:21" ht="13.5" thickBot="1">
      <c r="A46" s="108"/>
      <c r="B46" s="106"/>
      <c r="C46" s="106"/>
      <c r="D46" s="110"/>
      <c r="E46" s="123"/>
      <c r="F46" s="124"/>
      <c r="G46" s="125"/>
      <c r="H46" s="121"/>
      <c r="I46" s="126"/>
    </row>
    <row r="47" spans="1:21" ht="13.5" thickBot="1">
      <c r="A47" s="124"/>
      <c r="B47" s="121"/>
      <c r="C47" s="121"/>
      <c r="D47" s="126"/>
      <c r="E47" s="123"/>
      <c r="F47" s="7"/>
      <c r="G47" s="7"/>
      <c r="H47" s="7"/>
    </row>
    <row r="49" spans="1:13" ht="13.5" thickBot="1">
      <c r="F49" s="756"/>
      <c r="G49" s="756"/>
      <c r="H49" s="756"/>
      <c r="I49" s="756"/>
      <c r="K49" s="756"/>
      <c r="L49" s="756"/>
    </row>
    <row r="50" spans="1:13" s="1" customFormat="1" ht="26.25" thickBot="1">
      <c r="A50" s="6" t="s">
        <v>224</v>
      </c>
      <c r="B50" s="127" t="s">
        <v>225</v>
      </c>
      <c r="C50" s="128" t="s">
        <v>226</v>
      </c>
      <c r="D50" s="128" t="s">
        <v>227</v>
      </c>
      <c r="E50" s="128"/>
      <c r="F50" s="128"/>
      <c r="G50" s="20"/>
      <c r="H50" s="20"/>
      <c r="I50" s="20"/>
      <c r="K50" s="272"/>
      <c r="L50" s="20"/>
    </row>
    <row r="51" spans="1:13" s="1" customFormat="1">
      <c r="A51" s="268">
        <v>100</v>
      </c>
      <c r="B51" s="129">
        <v>10.294499999999999</v>
      </c>
      <c r="C51" s="19" t="e">
        <f>+(B51*$J$17)</f>
        <v>#REF!</v>
      </c>
      <c r="E51" s="97"/>
      <c r="F51" s="272"/>
      <c r="G51"/>
      <c r="H51" s="20"/>
      <c r="I51" s="20"/>
      <c r="K51" s="130"/>
      <c r="L51" s="20"/>
      <c r="M51" s="131"/>
    </row>
    <row r="52" spans="1:13" ht="15">
      <c r="A52" s="268">
        <v>99</v>
      </c>
      <c r="B52" s="132">
        <v>10.511799999999999</v>
      </c>
      <c r="C52" s="19" t="e">
        <f>+(B52*$J$17)</f>
        <v>#REF!</v>
      </c>
      <c r="E52" s="7"/>
      <c r="F52" s="17"/>
      <c r="H52" s="21"/>
      <c r="I52" s="21"/>
      <c r="K52" s="17"/>
      <c r="L52" s="18"/>
    </row>
    <row r="53" spans="1:13" ht="15">
      <c r="A53" s="268">
        <v>98</v>
      </c>
      <c r="B53" s="132">
        <v>10.541</v>
      </c>
      <c r="C53" s="19" t="e">
        <f>+(B53*$J$17)</f>
        <v>#REF!</v>
      </c>
      <c r="E53" s="7"/>
      <c r="F53" s="22"/>
      <c r="H53" s="133" t="s">
        <v>228</v>
      </c>
      <c r="I53" s="134"/>
      <c r="J53" s="9" t="s">
        <v>2260</v>
      </c>
      <c r="K53" s="135" t="s">
        <v>229</v>
      </c>
      <c r="L53" s="136"/>
      <c r="M53" s="9" t="s">
        <v>230</v>
      </c>
    </row>
    <row r="54" spans="1:13">
      <c r="A54" s="268">
        <v>97</v>
      </c>
      <c r="B54" s="132">
        <v>10.557</v>
      </c>
      <c r="C54" s="19" t="e">
        <f t="shared" ref="C54:C117" si="0">+(B54*$J$17)</f>
        <v>#REF!</v>
      </c>
      <c r="E54" s="137"/>
      <c r="F54" s="138"/>
      <c r="G54" s="139" t="s">
        <v>231</v>
      </c>
      <c r="H54" s="751" t="e">
        <f ca="1">F15</f>
        <v>#REF!</v>
      </c>
      <c r="I54" s="752"/>
      <c r="J54" s="15" t="e">
        <f ca="1">F26</f>
        <v>#REF!</v>
      </c>
      <c r="K54" s="751" t="e">
        <f ca="1">(+#REF!*'Side Calcs - Baseline'!J4+#REF!*'Side Calcs - Baseline'!N4+#REF!*'Side Calcs - Baseline'!R4+#REF!*'Side Calcs - Baseline'!V4+#REF!*'Side Calcs - Baseline'!Z4)</f>
        <v>#REF!</v>
      </c>
      <c r="L54" s="752"/>
      <c r="M54" s="16" t="e">
        <f ca="1">K54-H54</f>
        <v>#REF!</v>
      </c>
    </row>
    <row r="55" spans="1:13">
      <c r="A55" s="268">
        <v>96</v>
      </c>
      <c r="B55" s="132">
        <v>10.5913</v>
      </c>
      <c r="C55" s="19" t="e">
        <f t="shared" si="0"/>
        <v>#REF!</v>
      </c>
      <c r="E55" s="7"/>
      <c r="F55" s="25"/>
      <c r="H55" s="27"/>
      <c r="I55" s="27"/>
      <c r="K55" s="25"/>
      <c r="L55" s="26"/>
    </row>
    <row r="56" spans="1:13">
      <c r="A56" s="268">
        <v>95</v>
      </c>
      <c r="B56" s="132">
        <v>10.615600000000001</v>
      </c>
      <c r="C56" s="19" t="e">
        <f t="shared" si="0"/>
        <v>#REF!</v>
      </c>
      <c r="E56" s="137"/>
      <c r="F56" s="138"/>
      <c r="G56" s="139" t="s">
        <v>232</v>
      </c>
      <c r="H56" s="751" t="e">
        <f ca="1">H54/#REF!</f>
        <v>#REF!</v>
      </c>
      <c r="I56" s="752"/>
      <c r="J56" s="15" t="e">
        <f ca="1">J54/#REF!</f>
        <v>#REF!</v>
      </c>
      <c r="K56" s="751" t="e">
        <f ca="1">K54/#REF!</f>
        <v>#REF!</v>
      </c>
      <c r="L56" s="752"/>
    </row>
    <row r="57" spans="1:13">
      <c r="A57" s="268">
        <v>94</v>
      </c>
      <c r="B57" s="132">
        <v>10.6668</v>
      </c>
      <c r="C57" s="19" t="e">
        <f t="shared" si="0"/>
        <v>#REF!</v>
      </c>
      <c r="E57" s="7"/>
      <c r="F57" s="25"/>
      <c r="H57" s="27"/>
      <c r="I57" s="27"/>
      <c r="K57" s="25"/>
      <c r="L57" s="26"/>
    </row>
    <row r="58" spans="1:13">
      <c r="A58" s="268">
        <v>93</v>
      </c>
      <c r="B58" s="132">
        <v>10.696400000000001</v>
      </c>
      <c r="C58" s="19" t="e">
        <f t="shared" si="0"/>
        <v>#REF!</v>
      </c>
      <c r="E58" s="7"/>
      <c r="F58" s="25"/>
      <c r="H58" s="27"/>
      <c r="I58" s="27"/>
      <c r="K58" s="25"/>
      <c r="L58" s="26"/>
    </row>
    <row r="59" spans="1:13">
      <c r="A59" s="268">
        <v>92</v>
      </c>
      <c r="B59" s="132">
        <v>10.710900000000001</v>
      </c>
      <c r="C59" s="19" t="e">
        <f t="shared" si="0"/>
        <v>#REF!</v>
      </c>
      <c r="E59" s="7"/>
      <c r="F59" s="25"/>
      <c r="I59" s="27"/>
      <c r="K59" s="25"/>
      <c r="L59" s="26"/>
    </row>
    <row r="60" spans="1:13">
      <c r="A60" s="268">
        <v>91</v>
      </c>
      <c r="B60" s="132">
        <v>10.766500000000001</v>
      </c>
      <c r="C60" s="19" t="e">
        <f t="shared" si="0"/>
        <v>#REF!</v>
      </c>
      <c r="F60" s="25"/>
      <c r="H60" s="27"/>
      <c r="I60" s="27"/>
      <c r="K60" s="25"/>
      <c r="L60" s="26"/>
    </row>
    <row r="61" spans="1:13">
      <c r="A61" s="268">
        <v>90</v>
      </c>
      <c r="B61" s="132">
        <v>10.7783</v>
      </c>
      <c r="C61" s="19" t="e">
        <f t="shared" si="0"/>
        <v>#REF!</v>
      </c>
      <c r="F61" s="25"/>
      <c r="H61" s="27"/>
      <c r="I61" s="27"/>
      <c r="K61" s="25"/>
      <c r="L61" s="26"/>
    </row>
    <row r="62" spans="1:13">
      <c r="A62" s="268">
        <v>89</v>
      </c>
      <c r="B62" s="132">
        <v>10.807</v>
      </c>
      <c r="C62" s="19" t="e">
        <f t="shared" si="0"/>
        <v>#REF!</v>
      </c>
      <c r="F62" s="25"/>
      <c r="H62" s="27"/>
      <c r="I62" s="27"/>
      <c r="K62" s="25"/>
      <c r="L62" s="26"/>
    </row>
    <row r="63" spans="1:13">
      <c r="A63" s="268">
        <v>88</v>
      </c>
      <c r="B63" s="132">
        <v>10.8187</v>
      </c>
      <c r="C63" s="19" t="e">
        <f t="shared" si="0"/>
        <v>#REF!</v>
      </c>
      <c r="F63" s="25"/>
      <c r="H63" s="27"/>
      <c r="I63" s="27"/>
      <c r="K63" s="25"/>
      <c r="L63" s="26"/>
    </row>
    <row r="64" spans="1:13">
      <c r="A64" s="268">
        <v>87</v>
      </c>
      <c r="B64" s="132">
        <v>10.8301</v>
      </c>
      <c r="C64" s="19" t="e">
        <f t="shared" si="0"/>
        <v>#REF!</v>
      </c>
      <c r="F64" s="25"/>
      <c r="H64" s="27"/>
      <c r="I64" s="27"/>
      <c r="K64" s="25"/>
      <c r="L64" s="26"/>
    </row>
    <row r="65" spans="1:12">
      <c r="A65" s="268">
        <v>86</v>
      </c>
      <c r="B65" s="132">
        <v>10.848599999999999</v>
      </c>
      <c r="C65" s="19" t="e">
        <f t="shared" si="0"/>
        <v>#REF!</v>
      </c>
      <c r="F65" s="25"/>
      <c r="H65" s="27"/>
      <c r="I65" s="27"/>
      <c r="K65" s="25"/>
      <c r="L65" s="26"/>
    </row>
    <row r="66" spans="1:12">
      <c r="A66" s="268">
        <v>85</v>
      </c>
      <c r="B66" s="132">
        <v>10.8575</v>
      </c>
      <c r="C66" s="19" t="e">
        <f t="shared" si="0"/>
        <v>#REF!</v>
      </c>
      <c r="F66" s="25"/>
      <c r="H66" s="27"/>
      <c r="I66" s="27"/>
      <c r="K66" s="25"/>
      <c r="L66" s="26"/>
    </row>
    <row r="67" spans="1:12">
      <c r="A67" s="268">
        <v>84</v>
      </c>
      <c r="B67" s="132">
        <v>10.861800000000001</v>
      </c>
      <c r="C67" s="19" t="e">
        <f t="shared" si="0"/>
        <v>#REF!</v>
      </c>
      <c r="F67" s="25"/>
      <c r="H67" s="27"/>
      <c r="I67" s="27"/>
      <c r="K67" s="25"/>
      <c r="L67" s="26"/>
    </row>
    <row r="68" spans="1:12">
      <c r="A68" s="268">
        <v>83</v>
      </c>
      <c r="B68" s="132">
        <v>10.8934</v>
      </c>
      <c r="C68" s="19" t="e">
        <f t="shared" si="0"/>
        <v>#REF!</v>
      </c>
      <c r="F68" s="25"/>
      <c r="H68" s="27"/>
      <c r="I68" s="27"/>
      <c r="K68" s="25"/>
      <c r="L68" s="26"/>
    </row>
    <row r="69" spans="1:12">
      <c r="A69" s="268">
        <v>82</v>
      </c>
      <c r="B69" s="132">
        <v>10.904400000000001</v>
      </c>
      <c r="C69" s="19" t="e">
        <f t="shared" si="0"/>
        <v>#REF!</v>
      </c>
      <c r="F69" s="25"/>
      <c r="H69" s="27"/>
      <c r="I69" s="27"/>
      <c r="K69" s="25"/>
      <c r="L69" s="26"/>
    </row>
    <row r="70" spans="1:12">
      <c r="A70" s="268">
        <v>81</v>
      </c>
      <c r="B70" s="132">
        <v>10.9231</v>
      </c>
      <c r="C70" s="19" t="e">
        <f t="shared" si="0"/>
        <v>#REF!</v>
      </c>
      <c r="F70" s="25"/>
      <c r="H70" s="27"/>
      <c r="I70" s="27"/>
      <c r="K70" s="25"/>
      <c r="L70" s="26"/>
    </row>
    <row r="71" spans="1:12">
      <c r="A71" s="268">
        <v>80</v>
      </c>
      <c r="B71" s="132">
        <v>10.943899999999999</v>
      </c>
      <c r="C71" s="19" t="e">
        <f t="shared" si="0"/>
        <v>#REF!</v>
      </c>
      <c r="F71" s="25"/>
      <c r="H71" s="27"/>
      <c r="I71" s="27"/>
      <c r="K71" s="25"/>
      <c r="L71" s="26"/>
    </row>
    <row r="72" spans="1:12">
      <c r="A72" s="268">
        <v>79</v>
      </c>
      <c r="B72" s="132">
        <v>10.962400000000001</v>
      </c>
      <c r="C72" s="19" t="e">
        <f t="shared" si="0"/>
        <v>#REF!</v>
      </c>
      <c r="F72" s="25"/>
      <c r="H72" s="27"/>
      <c r="I72" s="27"/>
      <c r="K72" s="25"/>
      <c r="L72" s="26"/>
    </row>
    <row r="73" spans="1:12">
      <c r="A73" s="268">
        <v>78</v>
      </c>
      <c r="B73" s="132">
        <v>10.972300000000001</v>
      </c>
      <c r="C73" s="19" t="e">
        <f t="shared" si="0"/>
        <v>#REF!</v>
      </c>
      <c r="F73" s="25"/>
      <c r="H73" s="27"/>
      <c r="I73" s="27"/>
      <c r="K73" s="25"/>
      <c r="L73" s="26"/>
    </row>
    <row r="74" spans="1:12">
      <c r="A74" s="268">
        <v>77</v>
      </c>
      <c r="B74" s="132">
        <v>11.0154</v>
      </c>
      <c r="C74" s="19" t="e">
        <f t="shared" si="0"/>
        <v>#REF!</v>
      </c>
      <c r="F74" s="25"/>
      <c r="H74" s="27"/>
      <c r="I74" s="27"/>
      <c r="K74" s="25"/>
      <c r="L74" s="26"/>
    </row>
    <row r="75" spans="1:12" ht="13.5" thickBot="1">
      <c r="A75" s="268">
        <v>76</v>
      </c>
      <c r="B75" s="132">
        <v>11.021599999999999</v>
      </c>
      <c r="C75" s="19" t="e">
        <f t="shared" si="0"/>
        <v>#REF!</v>
      </c>
      <c r="F75" s="25"/>
      <c r="H75" s="27"/>
      <c r="I75" s="27"/>
      <c r="K75" s="25"/>
      <c r="L75" s="26"/>
    </row>
    <row r="76" spans="1:12" ht="13.5" thickBot="1">
      <c r="A76" s="28">
        <v>75</v>
      </c>
      <c r="B76" s="140">
        <v>11.0238</v>
      </c>
      <c r="C76" s="19" t="e">
        <f t="shared" si="0"/>
        <v>#REF!</v>
      </c>
      <c r="F76" s="25"/>
      <c r="H76" s="27"/>
      <c r="I76" s="27"/>
      <c r="K76" s="25"/>
      <c r="L76" s="26"/>
    </row>
    <row r="77" spans="1:12">
      <c r="A77" s="268">
        <v>74</v>
      </c>
      <c r="B77" s="132">
        <v>11.043699999999999</v>
      </c>
      <c r="C77" s="19" t="e">
        <f t="shared" si="0"/>
        <v>#REF!</v>
      </c>
      <c r="F77" s="25"/>
      <c r="H77" s="27"/>
      <c r="I77" s="27"/>
      <c r="K77" s="25"/>
      <c r="L77" s="26"/>
    </row>
    <row r="78" spans="1:12">
      <c r="A78" s="268">
        <v>73</v>
      </c>
      <c r="B78" s="132">
        <v>11.0555</v>
      </c>
      <c r="C78" s="19" t="e">
        <f t="shared" si="0"/>
        <v>#REF!</v>
      </c>
      <c r="F78" s="25"/>
      <c r="H78" s="27"/>
      <c r="I78" s="27"/>
      <c r="K78" s="25"/>
      <c r="L78" s="26"/>
    </row>
    <row r="79" spans="1:12">
      <c r="A79" s="268">
        <v>72</v>
      </c>
      <c r="B79" s="132">
        <v>11.059200000000001</v>
      </c>
      <c r="C79" s="19" t="e">
        <f t="shared" si="0"/>
        <v>#REF!</v>
      </c>
      <c r="F79" s="25"/>
      <c r="H79" s="27"/>
      <c r="I79" s="27"/>
      <c r="K79" s="25"/>
      <c r="L79" s="26"/>
    </row>
    <row r="80" spans="1:12">
      <c r="A80" s="268">
        <v>71</v>
      </c>
      <c r="B80" s="132">
        <v>11.068199999999999</v>
      </c>
      <c r="C80" s="19" t="e">
        <f t="shared" si="0"/>
        <v>#REF!</v>
      </c>
      <c r="F80" s="25"/>
      <c r="H80" s="27"/>
      <c r="I80" s="27"/>
      <c r="K80" s="25"/>
      <c r="L80" s="26"/>
    </row>
    <row r="81" spans="1:12">
      <c r="A81" s="268">
        <v>70</v>
      </c>
      <c r="B81" s="132">
        <v>11.0939</v>
      </c>
      <c r="C81" s="19" t="e">
        <f t="shared" si="0"/>
        <v>#REF!</v>
      </c>
      <c r="F81" s="25"/>
      <c r="H81" s="27"/>
      <c r="I81" s="27"/>
      <c r="K81" s="25"/>
      <c r="L81" s="26"/>
    </row>
    <row r="82" spans="1:12">
      <c r="A82" s="268">
        <v>69</v>
      </c>
      <c r="B82" s="132">
        <v>11.1029</v>
      </c>
      <c r="C82" s="19" t="e">
        <f t="shared" si="0"/>
        <v>#REF!</v>
      </c>
      <c r="F82" s="25"/>
      <c r="H82" s="27"/>
      <c r="I82" s="27"/>
      <c r="K82" s="25"/>
      <c r="L82" s="26"/>
    </row>
    <row r="83" spans="1:12">
      <c r="A83" s="268">
        <v>68</v>
      </c>
      <c r="B83" s="132">
        <v>11.1143</v>
      </c>
      <c r="C83" s="19" t="e">
        <f t="shared" si="0"/>
        <v>#REF!</v>
      </c>
      <c r="F83" s="25"/>
      <c r="H83" s="27"/>
      <c r="I83" s="27"/>
      <c r="K83" s="25"/>
      <c r="L83" s="26"/>
    </row>
    <row r="84" spans="1:12">
      <c r="A84" s="268">
        <v>67</v>
      </c>
      <c r="B84" s="132">
        <v>11.117100000000001</v>
      </c>
      <c r="C84" s="19" t="e">
        <f t="shared" si="0"/>
        <v>#REF!</v>
      </c>
      <c r="F84" s="25"/>
      <c r="H84" s="27"/>
      <c r="I84" s="27"/>
      <c r="K84" s="25"/>
      <c r="L84" s="26"/>
    </row>
    <row r="85" spans="1:12">
      <c r="A85" s="268">
        <v>66</v>
      </c>
      <c r="B85" s="132">
        <v>11.1279</v>
      </c>
      <c r="C85" s="19" t="e">
        <f t="shared" si="0"/>
        <v>#REF!</v>
      </c>
      <c r="F85" s="25"/>
      <c r="H85" s="27"/>
      <c r="I85" s="27"/>
      <c r="K85" s="25"/>
      <c r="L85" s="26"/>
    </row>
    <row r="86" spans="1:12">
      <c r="A86" s="268">
        <v>65</v>
      </c>
      <c r="B86" s="132">
        <v>11.139099999999999</v>
      </c>
      <c r="C86" s="19" t="e">
        <f t="shared" si="0"/>
        <v>#REF!</v>
      </c>
      <c r="F86" s="25"/>
      <c r="H86" s="27"/>
      <c r="I86" s="27"/>
      <c r="K86" s="25"/>
      <c r="L86" s="26"/>
    </row>
    <row r="87" spans="1:12">
      <c r="A87" s="268">
        <v>64</v>
      </c>
      <c r="B87" s="132">
        <v>11.148</v>
      </c>
      <c r="C87" s="19" t="e">
        <f t="shared" si="0"/>
        <v>#REF!</v>
      </c>
      <c r="F87" s="25"/>
      <c r="H87" s="27"/>
      <c r="I87" s="27"/>
      <c r="K87" s="25"/>
      <c r="L87" s="26"/>
    </row>
    <row r="88" spans="1:12">
      <c r="A88" s="268">
        <v>63</v>
      </c>
      <c r="B88" s="132">
        <v>11.1523</v>
      </c>
      <c r="C88" s="19" t="e">
        <f t="shared" si="0"/>
        <v>#REF!</v>
      </c>
      <c r="F88" s="25"/>
      <c r="H88" s="27"/>
      <c r="I88" s="27"/>
      <c r="K88" s="25"/>
      <c r="L88" s="26"/>
    </row>
    <row r="89" spans="1:12">
      <c r="A89" s="268">
        <v>62</v>
      </c>
      <c r="B89" s="132">
        <v>11.155200000000001</v>
      </c>
      <c r="C89" s="19" t="e">
        <f t="shared" si="0"/>
        <v>#REF!</v>
      </c>
      <c r="F89" s="25"/>
      <c r="H89" s="27"/>
      <c r="I89" s="27"/>
      <c r="K89" s="25"/>
      <c r="L89" s="26"/>
    </row>
    <row r="90" spans="1:12">
      <c r="A90" s="268">
        <v>61</v>
      </c>
      <c r="B90" s="132">
        <v>11.16</v>
      </c>
      <c r="C90" s="19" t="e">
        <f t="shared" si="0"/>
        <v>#REF!</v>
      </c>
      <c r="F90" s="25"/>
      <c r="H90" s="27"/>
      <c r="I90" s="27"/>
      <c r="K90" s="25"/>
      <c r="L90" s="26"/>
    </row>
    <row r="91" spans="1:12">
      <c r="A91" s="268">
        <v>60</v>
      </c>
      <c r="B91" s="132">
        <v>11.1669</v>
      </c>
      <c r="C91" s="19" t="e">
        <f t="shared" si="0"/>
        <v>#REF!</v>
      </c>
      <c r="F91" s="25"/>
      <c r="H91" s="27"/>
      <c r="I91" s="27"/>
      <c r="K91" s="25"/>
      <c r="L91" s="26"/>
    </row>
    <row r="92" spans="1:12">
      <c r="A92" s="268">
        <v>59</v>
      </c>
      <c r="B92" s="132">
        <v>11.175599999999999</v>
      </c>
      <c r="C92" s="19" t="e">
        <f t="shared" si="0"/>
        <v>#REF!</v>
      </c>
      <c r="F92" s="25"/>
      <c r="H92" s="27"/>
      <c r="I92" s="27"/>
      <c r="K92" s="25"/>
      <c r="L92" s="26"/>
    </row>
    <row r="93" spans="1:12">
      <c r="A93" s="268">
        <v>58</v>
      </c>
      <c r="B93" s="132">
        <v>11.181800000000001</v>
      </c>
      <c r="C93" s="19" t="e">
        <f t="shared" si="0"/>
        <v>#REF!</v>
      </c>
      <c r="F93" s="25"/>
      <c r="H93" s="27"/>
      <c r="I93" s="27"/>
      <c r="K93" s="25"/>
      <c r="L93" s="26"/>
    </row>
    <row r="94" spans="1:12">
      <c r="A94" s="268">
        <v>57</v>
      </c>
      <c r="B94" s="132">
        <v>11.195</v>
      </c>
      <c r="C94" s="19" t="e">
        <f t="shared" si="0"/>
        <v>#REF!</v>
      </c>
      <c r="F94" s="25"/>
      <c r="H94" s="27"/>
      <c r="I94" s="27"/>
      <c r="K94" s="25"/>
      <c r="L94" s="26"/>
    </row>
    <row r="95" spans="1:12">
      <c r="A95" s="268">
        <v>56</v>
      </c>
      <c r="B95" s="132">
        <v>11.1976</v>
      </c>
      <c r="C95" s="19" t="e">
        <f t="shared" si="0"/>
        <v>#REF!</v>
      </c>
      <c r="F95" s="25"/>
      <c r="H95" s="27"/>
      <c r="I95" s="27"/>
      <c r="K95" s="25"/>
      <c r="L95" s="26"/>
    </row>
    <row r="96" spans="1:12">
      <c r="A96" s="268">
        <v>55</v>
      </c>
      <c r="B96" s="132">
        <v>11.2301</v>
      </c>
      <c r="C96" s="19" t="e">
        <f t="shared" si="0"/>
        <v>#REF!</v>
      </c>
      <c r="F96" s="25"/>
      <c r="H96" s="27"/>
      <c r="I96" s="27"/>
      <c r="K96" s="25"/>
      <c r="L96" s="26"/>
    </row>
    <row r="97" spans="1:12">
      <c r="A97" s="268">
        <v>54</v>
      </c>
      <c r="B97" s="132">
        <v>11.238099999999999</v>
      </c>
      <c r="C97" s="19" t="e">
        <f t="shared" si="0"/>
        <v>#REF!</v>
      </c>
      <c r="F97" s="25"/>
      <c r="H97" s="27"/>
      <c r="I97" s="27"/>
      <c r="K97" s="25"/>
      <c r="L97" s="26"/>
    </row>
    <row r="98" spans="1:12">
      <c r="A98" s="268">
        <v>53</v>
      </c>
      <c r="B98" s="132">
        <v>11.261900000000001</v>
      </c>
      <c r="C98" s="19" t="e">
        <f t="shared" si="0"/>
        <v>#REF!</v>
      </c>
      <c r="F98" s="25"/>
      <c r="H98" s="27"/>
      <c r="I98" s="27"/>
      <c r="K98" s="25"/>
      <c r="L98" s="26"/>
    </row>
    <row r="99" spans="1:12">
      <c r="A99" s="268">
        <v>52</v>
      </c>
      <c r="B99" s="132">
        <v>11.272399999999999</v>
      </c>
      <c r="C99" s="19" t="e">
        <f t="shared" si="0"/>
        <v>#REF!</v>
      </c>
      <c r="F99" s="25"/>
      <c r="H99" s="27"/>
      <c r="I99" s="27"/>
      <c r="K99" s="25"/>
      <c r="L99" s="26"/>
    </row>
    <row r="100" spans="1:12">
      <c r="A100" s="268">
        <v>51</v>
      </c>
      <c r="B100" s="132">
        <v>11.297599999999999</v>
      </c>
      <c r="C100" s="19" t="e">
        <f t="shared" si="0"/>
        <v>#REF!</v>
      </c>
      <c r="F100" s="25"/>
      <c r="H100" s="27"/>
      <c r="I100" s="27"/>
      <c r="K100" s="25"/>
      <c r="L100" s="26"/>
    </row>
    <row r="101" spans="1:12">
      <c r="A101" s="268">
        <v>50</v>
      </c>
      <c r="B101" s="132">
        <v>11.302</v>
      </c>
      <c r="C101" s="19" t="e">
        <f t="shared" si="0"/>
        <v>#REF!</v>
      </c>
      <c r="F101" s="25"/>
      <c r="H101" s="27"/>
      <c r="I101" s="27"/>
      <c r="K101" s="25"/>
      <c r="L101" s="26"/>
    </row>
    <row r="102" spans="1:12">
      <c r="A102" s="268">
        <v>49</v>
      </c>
      <c r="B102" s="132">
        <v>11.3027</v>
      </c>
      <c r="C102" s="19" t="e">
        <f t="shared" si="0"/>
        <v>#REF!</v>
      </c>
      <c r="F102" s="25"/>
      <c r="H102" s="27"/>
      <c r="I102" s="27"/>
      <c r="K102" s="25"/>
      <c r="L102" s="26"/>
    </row>
    <row r="103" spans="1:12">
      <c r="A103" s="268">
        <v>48</v>
      </c>
      <c r="B103" s="132">
        <v>11.3279</v>
      </c>
      <c r="C103" s="19" t="e">
        <f t="shared" si="0"/>
        <v>#REF!</v>
      </c>
      <c r="F103" s="25"/>
      <c r="H103" s="27"/>
      <c r="I103" s="27"/>
      <c r="K103" s="25"/>
      <c r="L103" s="26"/>
    </row>
    <row r="104" spans="1:12">
      <c r="A104" s="268">
        <v>47</v>
      </c>
      <c r="B104" s="132">
        <v>11.332800000000001</v>
      </c>
      <c r="C104" s="19" t="e">
        <f t="shared" si="0"/>
        <v>#REF!</v>
      </c>
      <c r="F104" s="25"/>
      <c r="H104" s="27"/>
      <c r="I104" s="27"/>
      <c r="K104" s="25"/>
      <c r="L104" s="26"/>
    </row>
    <row r="105" spans="1:12">
      <c r="A105" s="268">
        <v>46</v>
      </c>
      <c r="B105" s="132">
        <v>11.337</v>
      </c>
      <c r="C105" s="19" t="e">
        <f t="shared" si="0"/>
        <v>#REF!</v>
      </c>
      <c r="F105" s="25"/>
      <c r="H105" s="14"/>
      <c r="I105" s="14"/>
      <c r="K105" s="25"/>
      <c r="L105" s="8"/>
    </row>
    <row r="106" spans="1:12">
      <c r="A106" s="268">
        <v>45</v>
      </c>
      <c r="B106" s="132">
        <v>11.343999999999999</v>
      </c>
      <c r="C106" s="19" t="e">
        <f t="shared" si="0"/>
        <v>#REF!</v>
      </c>
    </row>
    <row r="107" spans="1:12">
      <c r="A107" s="268">
        <v>44</v>
      </c>
      <c r="B107" s="132">
        <v>11.349600000000001</v>
      </c>
      <c r="C107" s="19" t="e">
        <f t="shared" si="0"/>
        <v>#REF!</v>
      </c>
    </row>
    <row r="108" spans="1:12">
      <c r="A108" s="268">
        <v>43</v>
      </c>
      <c r="B108" s="132">
        <v>11.3588</v>
      </c>
      <c r="C108" s="19" t="e">
        <f t="shared" si="0"/>
        <v>#REF!</v>
      </c>
    </row>
    <row r="109" spans="1:12">
      <c r="A109" s="268">
        <v>42</v>
      </c>
      <c r="B109" s="132">
        <v>11.3714</v>
      </c>
      <c r="C109" s="19" t="e">
        <f t="shared" si="0"/>
        <v>#REF!</v>
      </c>
    </row>
    <row r="110" spans="1:12">
      <c r="A110" s="268">
        <v>41</v>
      </c>
      <c r="B110" s="132">
        <v>11.379300000000001</v>
      </c>
      <c r="C110" s="19" t="e">
        <f t="shared" si="0"/>
        <v>#REF!</v>
      </c>
    </row>
    <row r="111" spans="1:12">
      <c r="A111" s="268">
        <v>40</v>
      </c>
      <c r="B111" s="132">
        <v>11.386100000000001</v>
      </c>
      <c r="C111" s="19" t="e">
        <f t="shared" si="0"/>
        <v>#REF!</v>
      </c>
    </row>
    <row r="112" spans="1:12">
      <c r="A112" s="268">
        <v>39</v>
      </c>
      <c r="B112" s="132">
        <v>11.391299999999999</v>
      </c>
      <c r="C112" s="19" t="e">
        <f t="shared" si="0"/>
        <v>#REF!</v>
      </c>
    </row>
    <row r="113" spans="1:3">
      <c r="A113" s="268">
        <v>38</v>
      </c>
      <c r="B113" s="132">
        <v>11.3954</v>
      </c>
      <c r="C113" s="19" t="e">
        <f t="shared" si="0"/>
        <v>#REF!</v>
      </c>
    </row>
    <row r="114" spans="1:3">
      <c r="A114" s="268">
        <v>37</v>
      </c>
      <c r="B114" s="132">
        <v>11.414199999999999</v>
      </c>
      <c r="C114" s="19" t="e">
        <f t="shared" si="0"/>
        <v>#REF!</v>
      </c>
    </row>
    <row r="115" spans="1:3">
      <c r="A115" s="268">
        <v>36</v>
      </c>
      <c r="B115" s="132">
        <v>11.428000000000001</v>
      </c>
      <c r="C115" s="19" t="e">
        <f t="shared" si="0"/>
        <v>#REF!</v>
      </c>
    </row>
    <row r="116" spans="1:3">
      <c r="A116" s="268">
        <v>35</v>
      </c>
      <c r="B116" s="132">
        <v>11.4427</v>
      </c>
      <c r="C116" s="19" t="e">
        <f t="shared" si="0"/>
        <v>#REF!</v>
      </c>
    </row>
    <row r="117" spans="1:3">
      <c r="A117" s="268">
        <v>34</v>
      </c>
      <c r="B117" s="132">
        <v>11.4482</v>
      </c>
      <c r="C117" s="19" t="e">
        <f t="shared" si="0"/>
        <v>#REF!</v>
      </c>
    </row>
    <row r="118" spans="1:3">
      <c r="A118" s="268">
        <v>33</v>
      </c>
      <c r="B118" s="132">
        <v>11.4499</v>
      </c>
      <c r="C118" s="19" t="e">
        <f t="shared" ref="C118:C150" si="1">+(B118*$J$17)</f>
        <v>#REF!</v>
      </c>
    </row>
    <row r="119" spans="1:3">
      <c r="A119" s="268">
        <v>32</v>
      </c>
      <c r="B119" s="132">
        <v>11.454800000000001</v>
      </c>
      <c r="C119" s="19" t="e">
        <f t="shared" si="1"/>
        <v>#REF!</v>
      </c>
    </row>
    <row r="120" spans="1:3">
      <c r="A120" s="268">
        <v>31</v>
      </c>
      <c r="B120" s="132">
        <v>11.469900000000001</v>
      </c>
      <c r="C120" s="19" t="e">
        <f t="shared" si="1"/>
        <v>#REF!</v>
      </c>
    </row>
    <row r="121" spans="1:3">
      <c r="A121" s="268">
        <v>30</v>
      </c>
      <c r="B121" s="132">
        <v>11.4771</v>
      </c>
      <c r="C121" s="19" t="e">
        <f t="shared" si="1"/>
        <v>#REF!</v>
      </c>
    </row>
    <row r="122" spans="1:3">
      <c r="A122" s="268">
        <v>29</v>
      </c>
      <c r="B122" s="132">
        <v>11.482100000000001</v>
      </c>
      <c r="C122" s="19" t="e">
        <f t="shared" si="1"/>
        <v>#REF!</v>
      </c>
    </row>
    <row r="123" spans="1:3">
      <c r="A123" s="268">
        <v>28</v>
      </c>
      <c r="B123" s="132">
        <v>11.484</v>
      </c>
      <c r="C123" s="19" t="e">
        <f t="shared" si="1"/>
        <v>#REF!</v>
      </c>
    </row>
    <row r="124" spans="1:3">
      <c r="A124" s="268">
        <v>27</v>
      </c>
      <c r="B124" s="132">
        <v>11.503399999999999</v>
      </c>
      <c r="C124" s="19" t="e">
        <f t="shared" si="1"/>
        <v>#REF!</v>
      </c>
    </row>
    <row r="125" spans="1:3">
      <c r="A125" s="268">
        <v>26</v>
      </c>
      <c r="B125" s="132">
        <v>11.504899999999999</v>
      </c>
      <c r="C125" s="19" t="e">
        <f t="shared" si="1"/>
        <v>#REF!</v>
      </c>
    </row>
    <row r="126" spans="1:3">
      <c r="A126" s="268">
        <v>25</v>
      </c>
      <c r="B126" s="132">
        <v>11.526300000000001</v>
      </c>
      <c r="C126" s="19" t="e">
        <f t="shared" si="1"/>
        <v>#REF!</v>
      </c>
    </row>
    <row r="127" spans="1:3">
      <c r="A127" s="268">
        <v>24</v>
      </c>
      <c r="B127" s="132">
        <v>11.554399999999999</v>
      </c>
      <c r="C127" s="19" t="e">
        <f t="shared" si="1"/>
        <v>#REF!</v>
      </c>
    </row>
    <row r="128" spans="1:3">
      <c r="A128" s="268">
        <v>23</v>
      </c>
      <c r="B128" s="132">
        <v>11.563599999999999</v>
      </c>
      <c r="C128" s="19" t="e">
        <f t="shared" si="1"/>
        <v>#REF!</v>
      </c>
    </row>
    <row r="129" spans="1:3">
      <c r="A129" s="268">
        <v>22</v>
      </c>
      <c r="B129" s="132">
        <v>11.565200000000001</v>
      </c>
      <c r="C129" s="19" t="e">
        <f t="shared" si="1"/>
        <v>#REF!</v>
      </c>
    </row>
    <row r="130" spans="1:3">
      <c r="A130" s="268">
        <v>21</v>
      </c>
      <c r="B130" s="132">
        <v>11.5938</v>
      </c>
      <c r="C130" s="19" t="e">
        <f t="shared" si="1"/>
        <v>#REF!</v>
      </c>
    </row>
    <row r="131" spans="1:3">
      <c r="A131" s="268">
        <v>20</v>
      </c>
      <c r="B131" s="132">
        <v>11.599399999999999</v>
      </c>
      <c r="C131" s="19" t="e">
        <f t="shared" si="1"/>
        <v>#REF!</v>
      </c>
    </row>
    <row r="132" spans="1:3">
      <c r="A132" s="268">
        <v>19</v>
      </c>
      <c r="B132" s="132">
        <v>11.609299999999999</v>
      </c>
      <c r="C132" s="19" t="e">
        <f t="shared" si="1"/>
        <v>#REF!</v>
      </c>
    </row>
    <row r="133" spans="1:3">
      <c r="A133" s="268">
        <v>18</v>
      </c>
      <c r="B133" s="132">
        <v>11.6181</v>
      </c>
      <c r="C133" s="19" t="e">
        <f t="shared" si="1"/>
        <v>#REF!</v>
      </c>
    </row>
    <row r="134" spans="1:3">
      <c r="A134" s="268">
        <v>17</v>
      </c>
      <c r="B134" s="132">
        <v>11.628500000000001</v>
      </c>
      <c r="C134" s="19" t="e">
        <f t="shared" si="1"/>
        <v>#REF!</v>
      </c>
    </row>
    <row r="135" spans="1:3">
      <c r="A135" s="268">
        <v>16</v>
      </c>
      <c r="B135" s="132">
        <v>11.629799999999999</v>
      </c>
      <c r="C135" s="19" t="e">
        <f t="shared" si="1"/>
        <v>#REF!</v>
      </c>
    </row>
    <row r="136" spans="1:3">
      <c r="A136" s="268">
        <v>15</v>
      </c>
      <c r="B136" s="132">
        <v>11.6335</v>
      </c>
      <c r="C136" s="19" t="e">
        <f t="shared" si="1"/>
        <v>#REF!</v>
      </c>
    </row>
    <row r="137" spans="1:3">
      <c r="A137" s="268">
        <v>14</v>
      </c>
      <c r="B137" s="132">
        <v>11.6473</v>
      </c>
      <c r="C137" s="19" t="e">
        <f t="shared" si="1"/>
        <v>#REF!</v>
      </c>
    </row>
    <row r="138" spans="1:3">
      <c r="A138" s="268">
        <v>13</v>
      </c>
      <c r="B138" s="132">
        <v>11.6615</v>
      </c>
      <c r="C138" s="19" t="e">
        <f t="shared" si="1"/>
        <v>#REF!</v>
      </c>
    </row>
    <row r="139" spans="1:3">
      <c r="A139" s="268">
        <v>12</v>
      </c>
      <c r="B139" s="132">
        <v>11.685700000000001</v>
      </c>
      <c r="C139" s="19" t="e">
        <f t="shared" si="1"/>
        <v>#REF!</v>
      </c>
    </row>
    <row r="140" spans="1:3">
      <c r="A140" s="268">
        <v>11</v>
      </c>
      <c r="B140" s="132">
        <v>11.6906</v>
      </c>
      <c r="C140" s="19" t="e">
        <f t="shared" si="1"/>
        <v>#REF!</v>
      </c>
    </row>
    <row r="141" spans="1:3">
      <c r="A141" s="268">
        <v>10</v>
      </c>
      <c r="B141" s="132">
        <v>11.7051</v>
      </c>
      <c r="C141" s="19" t="e">
        <f t="shared" si="1"/>
        <v>#REF!</v>
      </c>
    </row>
    <row r="142" spans="1:3">
      <c r="A142" s="268">
        <v>9</v>
      </c>
      <c r="B142" s="132">
        <v>11.721299999999999</v>
      </c>
      <c r="C142" s="19" t="e">
        <f t="shared" si="1"/>
        <v>#REF!</v>
      </c>
    </row>
    <row r="143" spans="1:3">
      <c r="A143" s="268">
        <v>8</v>
      </c>
      <c r="B143" s="132">
        <v>11.747299999999999</v>
      </c>
      <c r="C143" s="19" t="e">
        <f t="shared" si="1"/>
        <v>#REF!</v>
      </c>
    </row>
    <row r="144" spans="1:3">
      <c r="A144" s="268">
        <v>7</v>
      </c>
      <c r="B144" s="132">
        <v>11.766400000000001</v>
      </c>
      <c r="C144" s="19" t="e">
        <f t="shared" si="1"/>
        <v>#REF!</v>
      </c>
    </row>
    <row r="145" spans="1:3">
      <c r="A145" s="268">
        <v>6</v>
      </c>
      <c r="B145" s="132">
        <v>11.794700000000001</v>
      </c>
      <c r="C145" s="19" t="e">
        <f t="shared" si="1"/>
        <v>#REF!</v>
      </c>
    </row>
    <row r="146" spans="1:3">
      <c r="A146" s="268">
        <v>5</v>
      </c>
      <c r="B146" s="132">
        <v>11.801399999999999</v>
      </c>
      <c r="C146" s="19" t="e">
        <f t="shared" si="1"/>
        <v>#REF!</v>
      </c>
    </row>
    <row r="147" spans="1:3">
      <c r="A147" s="268">
        <v>4</v>
      </c>
      <c r="B147" s="132">
        <v>11.809200000000001</v>
      </c>
      <c r="C147" s="19" t="e">
        <f t="shared" si="1"/>
        <v>#REF!</v>
      </c>
    </row>
    <row r="148" spans="1:3">
      <c r="A148" s="268">
        <v>3</v>
      </c>
      <c r="B148" s="132">
        <v>11.8416</v>
      </c>
      <c r="C148" s="19" t="e">
        <f t="shared" si="1"/>
        <v>#REF!</v>
      </c>
    </row>
    <row r="149" spans="1:3">
      <c r="A149" s="268">
        <v>2</v>
      </c>
      <c r="B149" s="132">
        <v>11.857200000000001</v>
      </c>
      <c r="C149" s="19" t="e">
        <f t="shared" si="1"/>
        <v>#REF!</v>
      </c>
    </row>
    <row r="150" spans="1:3" ht="13.5" thickBot="1">
      <c r="A150" s="268">
        <v>1</v>
      </c>
      <c r="B150" s="141">
        <v>11.9504</v>
      </c>
      <c r="C150" s="19" t="e">
        <f t="shared" si="1"/>
        <v>#REF!</v>
      </c>
    </row>
    <row r="214" spans="3:29">
      <c r="D214">
        <v>10.1785</v>
      </c>
      <c r="E214">
        <v>10.294499999999999</v>
      </c>
      <c r="F214">
        <v>10.511799999999999</v>
      </c>
      <c r="G214">
        <v>10.541</v>
      </c>
      <c r="H214">
        <v>10.557</v>
      </c>
      <c r="I214">
        <v>10.5913</v>
      </c>
      <c r="J214">
        <v>10.615600000000001</v>
      </c>
      <c r="K214">
        <v>10.6668</v>
      </c>
      <c r="L214">
        <v>10.696400000000001</v>
      </c>
      <c r="M214">
        <v>10.766500000000001</v>
      </c>
      <c r="N214">
        <v>10.7783</v>
      </c>
      <c r="O214">
        <v>10.807</v>
      </c>
      <c r="P214">
        <v>10.8187</v>
      </c>
      <c r="Q214">
        <v>10.8301</v>
      </c>
      <c r="R214">
        <v>10.848599999999999</v>
      </c>
      <c r="S214">
        <v>10.8575</v>
      </c>
      <c r="U214">
        <v>10.861800000000001</v>
      </c>
      <c r="V214">
        <v>10.8934</v>
      </c>
      <c r="W214">
        <v>10.904400000000001</v>
      </c>
      <c r="X214">
        <v>10.9231</v>
      </c>
      <c r="Y214">
        <v>10.943899999999999</v>
      </c>
      <c r="Z214">
        <v>10.962400000000001</v>
      </c>
      <c r="AA214">
        <v>10.972300000000001</v>
      </c>
      <c r="AB214">
        <v>11.0154</v>
      </c>
      <c r="AC214">
        <v>11.021599999999999</v>
      </c>
    </row>
    <row r="215" spans="3:29">
      <c r="D215">
        <v>11.0238</v>
      </c>
      <c r="E215">
        <v>11.043699999999999</v>
      </c>
      <c r="F215">
        <v>11.0555</v>
      </c>
      <c r="G215">
        <v>11.059200000000001</v>
      </c>
      <c r="H215">
        <v>11.068199999999999</v>
      </c>
      <c r="I215">
        <v>11.0939</v>
      </c>
      <c r="J215">
        <v>11.1029</v>
      </c>
      <c r="K215">
        <v>11.1143</v>
      </c>
      <c r="L215">
        <v>11.117100000000001</v>
      </c>
      <c r="M215">
        <v>11.139099999999999</v>
      </c>
      <c r="N215">
        <v>11.148</v>
      </c>
      <c r="O215">
        <v>11.1523</v>
      </c>
      <c r="P215">
        <v>11.155200000000001</v>
      </c>
      <c r="Q215">
        <v>11.16</v>
      </c>
      <c r="R215">
        <v>11.1669</v>
      </c>
      <c r="S215">
        <v>11.175599999999999</v>
      </c>
      <c r="U215">
        <v>11.181800000000001</v>
      </c>
      <c r="V215">
        <v>11.195</v>
      </c>
      <c r="W215">
        <v>11.1976</v>
      </c>
      <c r="X215">
        <v>11.2301</v>
      </c>
      <c r="Y215">
        <v>11.238099999999999</v>
      </c>
      <c r="Z215">
        <v>11.261900000000001</v>
      </c>
      <c r="AA215">
        <v>11.272399999999999</v>
      </c>
      <c r="AB215">
        <v>11.297599999999999</v>
      </c>
      <c r="AC215">
        <v>11.302</v>
      </c>
    </row>
    <row r="216" spans="3:29">
      <c r="D216">
        <v>11.3027</v>
      </c>
      <c r="E216">
        <v>11.3279</v>
      </c>
      <c r="F216">
        <v>11.332800000000001</v>
      </c>
      <c r="G216">
        <v>11.337</v>
      </c>
      <c r="H216">
        <v>11.343999999999999</v>
      </c>
      <c r="I216">
        <v>11.349600000000001</v>
      </c>
      <c r="J216">
        <v>11.3588</v>
      </c>
      <c r="K216">
        <v>11.3714</v>
      </c>
      <c r="L216">
        <v>11.379300000000001</v>
      </c>
      <c r="M216">
        <v>11.391299999999999</v>
      </c>
      <c r="N216">
        <v>11.3954</v>
      </c>
      <c r="O216">
        <v>11.414199999999999</v>
      </c>
      <c r="P216">
        <v>11.428000000000001</v>
      </c>
      <c r="Q216">
        <v>11.4427</v>
      </c>
      <c r="R216">
        <v>11.4482</v>
      </c>
      <c r="S216">
        <v>11.4499</v>
      </c>
      <c r="U216">
        <v>11.454800000000001</v>
      </c>
      <c r="V216">
        <v>11.469900000000001</v>
      </c>
      <c r="W216">
        <v>11.4771</v>
      </c>
      <c r="X216">
        <v>11.482100000000001</v>
      </c>
      <c r="Y216">
        <v>11.484</v>
      </c>
      <c r="Z216">
        <v>11.503399999999999</v>
      </c>
      <c r="AA216">
        <v>11.504899999999999</v>
      </c>
      <c r="AB216">
        <v>11.526300000000001</v>
      </c>
      <c r="AC216">
        <v>11.554399999999999</v>
      </c>
    </row>
    <row r="217" spans="3:29">
      <c r="D217">
        <v>11.563599999999999</v>
      </c>
      <c r="E217">
        <v>11.565200000000001</v>
      </c>
      <c r="F217">
        <v>11.5938</v>
      </c>
      <c r="G217">
        <v>11.599399999999999</v>
      </c>
      <c r="H217">
        <v>11.609299999999999</v>
      </c>
      <c r="I217">
        <v>11.6181</v>
      </c>
      <c r="J217">
        <v>11.628500000000001</v>
      </c>
      <c r="K217">
        <v>11.629799999999999</v>
      </c>
      <c r="L217">
        <v>11.6335</v>
      </c>
      <c r="M217">
        <v>11.6615</v>
      </c>
      <c r="N217">
        <v>11.685700000000001</v>
      </c>
      <c r="O217">
        <v>11.6906</v>
      </c>
      <c r="P217">
        <v>11.7051</v>
      </c>
      <c r="Q217">
        <v>11.721299999999999</v>
      </c>
      <c r="R217">
        <v>11.747299999999999</v>
      </c>
      <c r="S217">
        <v>11.766400000000001</v>
      </c>
      <c r="U217">
        <v>11.794700000000001</v>
      </c>
      <c r="V217">
        <v>11.801399999999999</v>
      </c>
      <c r="W217">
        <v>11.809200000000001</v>
      </c>
      <c r="X217">
        <v>11.8416</v>
      </c>
      <c r="Y217">
        <v>11.857200000000001</v>
      </c>
      <c r="Z217">
        <v>11.9504</v>
      </c>
    </row>
    <row r="221" spans="3:29">
      <c r="C221">
        <v>100</v>
      </c>
      <c r="D221">
        <v>10.294499999999999</v>
      </c>
    </row>
    <row r="222" spans="3:29">
      <c r="C222">
        <v>99</v>
      </c>
      <c r="D222">
        <v>10.511799999999999</v>
      </c>
    </row>
    <row r="223" spans="3:29">
      <c r="C223">
        <v>98</v>
      </c>
      <c r="D223">
        <v>10.541</v>
      </c>
    </row>
    <row r="224" spans="3:29">
      <c r="C224">
        <v>97</v>
      </c>
      <c r="D224">
        <v>10.557</v>
      </c>
    </row>
    <row r="225" spans="3:4">
      <c r="C225">
        <v>96</v>
      </c>
      <c r="D225">
        <v>10.5913</v>
      </c>
    </row>
    <row r="226" spans="3:4">
      <c r="C226">
        <v>95</v>
      </c>
      <c r="D226">
        <v>10.615600000000001</v>
      </c>
    </row>
    <row r="227" spans="3:4">
      <c r="C227">
        <v>94</v>
      </c>
      <c r="D227">
        <v>10.6668</v>
      </c>
    </row>
    <row r="228" spans="3:4">
      <c r="C228">
        <v>93</v>
      </c>
      <c r="D228">
        <v>10.696400000000001</v>
      </c>
    </row>
    <row r="229" spans="3:4">
      <c r="C229">
        <v>92</v>
      </c>
      <c r="D229">
        <v>10.710900000000001</v>
      </c>
    </row>
    <row r="230" spans="3:4">
      <c r="C230">
        <v>91</v>
      </c>
      <c r="D230">
        <v>10.766500000000001</v>
      </c>
    </row>
    <row r="231" spans="3:4">
      <c r="C231">
        <v>90</v>
      </c>
      <c r="D231">
        <v>10.7783</v>
      </c>
    </row>
    <row r="232" spans="3:4">
      <c r="C232">
        <v>89</v>
      </c>
      <c r="D232">
        <v>10.807</v>
      </c>
    </row>
    <row r="233" spans="3:4">
      <c r="C233">
        <v>88</v>
      </c>
      <c r="D233">
        <v>10.8187</v>
      </c>
    </row>
    <row r="234" spans="3:4">
      <c r="C234">
        <v>87</v>
      </c>
      <c r="D234">
        <v>10.8301</v>
      </c>
    </row>
    <row r="235" spans="3:4">
      <c r="C235">
        <v>86</v>
      </c>
      <c r="D235">
        <v>10.848599999999999</v>
      </c>
    </row>
    <row r="236" spans="3:4">
      <c r="C236">
        <v>85</v>
      </c>
      <c r="D236">
        <v>10.8575</v>
      </c>
    </row>
    <row r="237" spans="3:4">
      <c r="C237">
        <v>84</v>
      </c>
      <c r="D237">
        <v>10.861800000000001</v>
      </c>
    </row>
    <row r="238" spans="3:4">
      <c r="C238">
        <v>83</v>
      </c>
      <c r="D238">
        <v>10.8934</v>
      </c>
    </row>
    <row r="239" spans="3:4">
      <c r="C239">
        <v>82</v>
      </c>
      <c r="D239">
        <v>10.904400000000001</v>
      </c>
    </row>
    <row r="240" spans="3:4">
      <c r="C240">
        <v>81</v>
      </c>
      <c r="D240">
        <v>10.9231</v>
      </c>
    </row>
    <row r="241" spans="3:4">
      <c r="C241">
        <v>80</v>
      </c>
      <c r="D241">
        <v>10.943899999999999</v>
      </c>
    </row>
    <row r="242" spans="3:4">
      <c r="C242">
        <v>79</v>
      </c>
      <c r="D242">
        <v>10.962400000000001</v>
      </c>
    </row>
    <row r="243" spans="3:4">
      <c r="C243">
        <v>78</v>
      </c>
      <c r="D243">
        <v>10.972300000000001</v>
      </c>
    </row>
    <row r="244" spans="3:4">
      <c r="C244">
        <v>77</v>
      </c>
      <c r="D244">
        <v>11.0154</v>
      </c>
    </row>
    <row r="245" spans="3:4">
      <c r="C245">
        <v>76</v>
      </c>
      <c r="D245">
        <v>11.021599999999999</v>
      </c>
    </row>
    <row r="246" spans="3:4">
      <c r="C246">
        <v>75</v>
      </c>
      <c r="D246">
        <v>11.0238</v>
      </c>
    </row>
    <row r="247" spans="3:4">
      <c r="C247">
        <v>74</v>
      </c>
      <c r="D247">
        <v>11.043699999999999</v>
      </c>
    </row>
    <row r="248" spans="3:4">
      <c r="C248">
        <v>73</v>
      </c>
      <c r="D248">
        <v>11.0555</v>
      </c>
    </row>
    <row r="249" spans="3:4">
      <c r="C249">
        <v>72</v>
      </c>
      <c r="D249">
        <v>11.059200000000001</v>
      </c>
    </row>
    <row r="250" spans="3:4">
      <c r="C250">
        <v>71</v>
      </c>
      <c r="D250">
        <v>11.068199999999999</v>
      </c>
    </row>
    <row r="251" spans="3:4">
      <c r="C251">
        <v>70</v>
      </c>
      <c r="D251">
        <v>11.0939</v>
      </c>
    </row>
    <row r="252" spans="3:4">
      <c r="C252">
        <v>69</v>
      </c>
      <c r="D252">
        <v>11.1029</v>
      </c>
    </row>
    <row r="253" spans="3:4">
      <c r="C253">
        <v>68</v>
      </c>
      <c r="D253">
        <v>11.1143</v>
      </c>
    </row>
    <row r="254" spans="3:4">
      <c r="C254">
        <v>67</v>
      </c>
      <c r="D254">
        <v>11.117100000000001</v>
      </c>
    </row>
    <row r="255" spans="3:4">
      <c r="C255">
        <v>66</v>
      </c>
      <c r="D255">
        <v>11.1279</v>
      </c>
    </row>
    <row r="256" spans="3:4">
      <c r="C256">
        <v>65</v>
      </c>
      <c r="D256">
        <v>11.139099999999999</v>
      </c>
    </row>
    <row r="257" spans="3:4">
      <c r="C257">
        <v>64</v>
      </c>
      <c r="D257">
        <v>11.148</v>
      </c>
    </row>
    <row r="258" spans="3:4">
      <c r="C258">
        <v>63</v>
      </c>
      <c r="D258">
        <v>11.1523</v>
      </c>
    </row>
    <row r="259" spans="3:4">
      <c r="C259">
        <v>62</v>
      </c>
      <c r="D259">
        <v>11.155200000000001</v>
      </c>
    </row>
    <row r="260" spans="3:4">
      <c r="C260">
        <v>61</v>
      </c>
      <c r="D260">
        <v>11.16</v>
      </c>
    </row>
    <row r="261" spans="3:4">
      <c r="C261">
        <v>60</v>
      </c>
      <c r="D261">
        <v>11.1669</v>
      </c>
    </row>
    <row r="262" spans="3:4">
      <c r="C262">
        <v>59</v>
      </c>
      <c r="D262">
        <v>11.175599999999999</v>
      </c>
    </row>
    <row r="263" spans="3:4">
      <c r="C263">
        <v>58</v>
      </c>
      <c r="D263">
        <v>11.181800000000001</v>
      </c>
    </row>
    <row r="264" spans="3:4">
      <c r="C264">
        <v>57</v>
      </c>
      <c r="D264">
        <v>11.195</v>
      </c>
    </row>
    <row r="265" spans="3:4">
      <c r="C265">
        <v>56</v>
      </c>
      <c r="D265">
        <v>11.1976</v>
      </c>
    </row>
    <row r="266" spans="3:4">
      <c r="C266">
        <v>55</v>
      </c>
      <c r="D266">
        <v>11.2301</v>
      </c>
    </row>
    <row r="267" spans="3:4">
      <c r="C267">
        <v>54</v>
      </c>
      <c r="D267">
        <v>11.238099999999999</v>
      </c>
    </row>
    <row r="268" spans="3:4">
      <c r="C268">
        <v>53</v>
      </c>
      <c r="D268">
        <v>11.261900000000001</v>
      </c>
    </row>
    <row r="269" spans="3:4">
      <c r="C269">
        <v>52</v>
      </c>
      <c r="D269">
        <v>11.272399999999999</v>
      </c>
    </row>
    <row r="270" spans="3:4">
      <c r="C270">
        <v>51</v>
      </c>
      <c r="D270">
        <v>11.297599999999999</v>
      </c>
    </row>
    <row r="271" spans="3:4">
      <c r="C271">
        <v>50</v>
      </c>
      <c r="D271">
        <v>11.302</v>
      </c>
    </row>
    <row r="272" spans="3:4">
      <c r="C272">
        <v>49</v>
      </c>
      <c r="D272">
        <v>11.3027</v>
      </c>
    </row>
    <row r="273" spans="3:4">
      <c r="C273">
        <v>48</v>
      </c>
      <c r="D273">
        <v>11.3279</v>
      </c>
    </row>
    <row r="274" spans="3:4">
      <c r="C274">
        <v>47</v>
      </c>
      <c r="D274">
        <v>11.332800000000001</v>
      </c>
    </row>
    <row r="275" spans="3:4">
      <c r="C275">
        <v>46</v>
      </c>
      <c r="D275">
        <v>11.337</v>
      </c>
    </row>
    <row r="276" spans="3:4">
      <c r="C276">
        <v>45</v>
      </c>
      <c r="D276">
        <v>11.343999999999999</v>
      </c>
    </row>
    <row r="277" spans="3:4">
      <c r="C277">
        <v>44</v>
      </c>
      <c r="D277">
        <v>11.349600000000001</v>
      </c>
    </row>
    <row r="278" spans="3:4">
      <c r="C278">
        <v>43</v>
      </c>
      <c r="D278">
        <v>11.3588</v>
      </c>
    </row>
    <row r="279" spans="3:4">
      <c r="C279">
        <v>42</v>
      </c>
      <c r="D279">
        <v>11.3714</v>
      </c>
    </row>
    <row r="280" spans="3:4">
      <c r="C280">
        <v>41</v>
      </c>
      <c r="D280">
        <v>11.379300000000001</v>
      </c>
    </row>
    <row r="281" spans="3:4">
      <c r="C281">
        <v>40</v>
      </c>
      <c r="D281">
        <v>11.386100000000001</v>
      </c>
    </row>
    <row r="282" spans="3:4">
      <c r="C282">
        <v>39</v>
      </c>
      <c r="D282">
        <v>11.391299999999999</v>
      </c>
    </row>
    <row r="283" spans="3:4">
      <c r="C283">
        <v>38</v>
      </c>
      <c r="D283">
        <v>11.3954</v>
      </c>
    </row>
    <row r="284" spans="3:4">
      <c r="C284">
        <v>37</v>
      </c>
      <c r="D284">
        <v>11.414199999999999</v>
      </c>
    </row>
    <row r="285" spans="3:4">
      <c r="C285">
        <v>36</v>
      </c>
      <c r="D285">
        <v>11.428000000000001</v>
      </c>
    </row>
    <row r="286" spans="3:4">
      <c r="C286">
        <v>35</v>
      </c>
      <c r="D286">
        <v>11.4427</v>
      </c>
    </row>
    <row r="287" spans="3:4">
      <c r="C287">
        <v>34</v>
      </c>
      <c r="D287">
        <v>11.4482</v>
      </c>
    </row>
    <row r="288" spans="3:4">
      <c r="C288">
        <v>33</v>
      </c>
      <c r="D288">
        <v>11.4499</v>
      </c>
    </row>
    <row r="289" spans="3:4">
      <c r="C289">
        <v>32</v>
      </c>
      <c r="D289">
        <v>11.454800000000001</v>
      </c>
    </row>
    <row r="290" spans="3:4">
      <c r="C290">
        <v>31</v>
      </c>
      <c r="D290">
        <v>11.469900000000001</v>
      </c>
    </row>
    <row r="291" spans="3:4">
      <c r="C291">
        <v>30</v>
      </c>
      <c r="D291">
        <v>11.4771</v>
      </c>
    </row>
    <row r="292" spans="3:4">
      <c r="C292">
        <v>29</v>
      </c>
      <c r="D292">
        <v>11.482100000000001</v>
      </c>
    </row>
    <row r="293" spans="3:4">
      <c r="C293">
        <v>28</v>
      </c>
      <c r="D293">
        <v>11.484</v>
      </c>
    </row>
    <row r="294" spans="3:4">
      <c r="C294">
        <v>27</v>
      </c>
      <c r="D294">
        <v>11.503399999999999</v>
      </c>
    </row>
    <row r="295" spans="3:4">
      <c r="C295">
        <v>26</v>
      </c>
      <c r="D295">
        <v>11.504899999999999</v>
      </c>
    </row>
    <row r="296" spans="3:4">
      <c r="C296">
        <v>25</v>
      </c>
      <c r="D296">
        <v>11.526300000000001</v>
      </c>
    </row>
    <row r="297" spans="3:4">
      <c r="C297">
        <v>24</v>
      </c>
      <c r="D297">
        <v>11.554399999999999</v>
      </c>
    </row>
    <row r="298" spans="3:4">
      <c r="C298">
        <v>23</v>
      </c>
      <c r="D298">
        <v>11.563599999999999</v>
      </c>
    </row>
    <row r="299" spans="3:4">
      <c r="C299">
        <v>22</v>
      </c>
      <c r="D299">
        <v>11.565200000000001</v>
      </c>
    </row>
    <row r="300" spans="3:4">
      <c r="C300">
        <v>21</v>
      </c>
      <c r="D300">
        <v>11.5938</v>
      </c>
    </row>
    <row r="301" spans="3:4">
      <c r="C301">
        <v>20</v>
      </c>
      <c r="D301">
        <v>11.599399999999999</v>
      </c>
    </row>
    <row r="302" spans="3:4">
      <c r="C302">
        <v>19</v>
      </c>
      <c r="D302">
        <v>11.609299999999999</v>
      </c>
    </row>
    <row r="303" spans="3:4">
      <c r="C303">
        <v>18</v>
      </c>
      <c r="D303">
        <v>11.6181</v>
      </c>
    </row>
    <row r="304" spans="3:4">
      <c r="C304">
        <v>17</v>
      </c>
      <c r="D304">
        <v>11.628500000000001</v>
      </c>
    </row>
    <row r="305" spans="3:4">
      <c r="C305">
        <v>16</v>
      </c>
      <c r="D305">
        <v>11.629799999999999</v>
      </c>
    </row>
    <row r="306" spans="3:4">
      <c r="C306">
        <v>15</v>
      </c>
      <c r="D306">
        <v>11.6335</v>
      </c>
    </row>
    <row r="307" spans="3:4">
      <c r="C307">
        <v>14</v>
      </c>
      <c r="D307">
        <v>11.6473</v>
      </c>
    </row>
    <row r="308" spans="3:4">
      <c r="C308">
        <v>13</v>
      </c>
      <c r="D308">
        <v>11.6615</v>
      </c>
    </row>
    <row r="309" spans="3:4">
      <c r="C309">
        <v>12</v>
      </c>
      <c r="D309">
        <v>11.685700000000001</v>
      </c>
    </row>
    <row r="310" spans="3:4">
      <c r="C310">
        <v>11</v>
      </c>
      <c r="D310">
        <v>11.6906</v>
      </c>
    </row>
    <row r="311" spans="3:4">
      <c r="C311">
        <v>10</v>
      </c>
      <c r="D311">
        <v>11.7051</v>
      </c>
    </row>
    <row r="312" spans="3:4">
      <c r="C312">
        <v>9</v>
      </c>
      <c r="D312">
        <v>11.721299999999999</v>
      </c>
    </row>
    <row r="313" spans="3:4">
      <c r="C313">
        <v>8</v>
      </c>
      <c r="D313">
        <v>11.747299999999999</v>
      </c>
    </row>
    <row r="314" spans="3:4">
      <c r="C314">
        <v>7</v>
      </c>
      <c r="D314">
        <v>11.766400000000001</v>
      </c>
    </row>
    <row r="315" spans="3:4">
      <c r="C315">
        <v>6</v>
      </c>
      <c r="D315">
        <v>11.794700000000001</v>
      </c>
    </row>
    <row r="316" spans="3:4">
      <c r="C316">
        <v>5</v>
      </c>
      <c r="D316">
        <v>11.801399999999999</v>
      </c>
    </row>
    <row r="317" spans="3:4">
      <c r="C317">
        <v>4</v>
      </c>
      <c r="D317">
        <v>11.809200000000001</v>
      </c>
    </row>
    <row r="318" spans="3:4">
      <c r="C318">
        <v>3</v>
      </c>
      <c r="D318">
        <v>11.8416</v>
      </c>
    </row>
    <row r="319" spans="3:4">
      <c r="C319">
        <v>2</v>
      </c>
      <c r="D319">
        <v>11.857200000000001</v>
      </c>
    </row>
    <row r="320" spans="3:4">
      <c r="C320">
        <v>1</v>
      </c>
      <c r="D320">
        <v>11.9504</v>
      </c>
    </row>
  </sheetData>
  <mergeCells count="8">
    <mergeCell ref="H56:I56"/>
    <mergeCell ref="K56:L56"/>
    <mergeCell ref="D7:G7"/>
    <mergeCell ref="H7:K7"/>
    <mergeCell ref="H54:I54"/>
    <mergeCell ref="K54:L54"/>
    <mergeCell ref="F49:I49"/>
    <mergeCell ref="K49:L49"/>
  </mergeCells>
  <phoneticPr fontId="0" type="noConversion"/>
  <pageMargins left="0.75" right="0.75" top="1" bottom="1" header="0.5" footer="0.5"/>
  <pageSetup scale="11" orientation="landscape" r:id="rId1"/>
  <headerFooter alignWithMargins="0"/>
  <drawing r:id="rId2"/>
</worksheet>
</file>

<file path=xl/worksheets/sheet25.xml><?xml version="1.0" encoding="utf-8"?>
<worksheet xmlns="http://schemas.openxmlformats.org/spreadsheetml/2006/main" xmlns:r="http://schemas.openxmlformats.org/officeDocument/2006/relationships">
  <sheetPr codeName="Sheet23">
    <pageSetUpPr fitToPage="1"/>
  </sheetPr>
  <dimension ref="A1:AC320"/>
  <sheetViews>
    <sheetView topLeftCell="A7" zoomScale="75" workbookViewId="0">
      <selection activeCell="K55" sqref="K55"/>
    </sheetView>
  </sheetViews>
  <sheetFormatPr defaultRowHeight="12.75"/>
  <cols>
    <col min="1" max="1" width="21.28515625" customWidth="1"/>
    <col min="2" max="2" width="18.28515625" bestFit="1" customWidth="1"/>
    <col min="3" max="3" width="15.42578125" customWidth="1"/>
    <col min="4" max="4" width="18.28515625" customWidth="1"/>
    <col min="5" max="5" width="12.7109375" bestFit="1" customWidth="1"/>
    <col min="6" max="6" width="13.7109375" customWidth="1"/>
    <col min="7" max="7" width="11.28515625" bestFit="1" customWidth="1"/>
    <col min="9" max="9" width="11.85546875" customWidth="1"/>
    <col min="11" max="11" width="7.5703125" customWidth="1"/>
    <col min="13" max="13" width="20" customWidth="1"/>
    <col min="14" max="14" width="7.85546875" customWidth="1"/>
    <col min="15" max="15" width="5.42578125" customWidth="1"/>
    <col min="16" max="16" width="6" customWidth="1"/>
    <col min="17" max="17" width="6.42578125" customWidth="1"/>
    <col min="18" max="18" width="6.28515625" customWidth="1"/>
    <col min="19" max="19" width="10" customWidth="1"/>
    <col min="20" max="20" width="7.7109375" customWidth="1"/>
  </cols>
  <sheetData>
    <row r="1" spans="1:25" ht="18">
      <c r="A1" s="29" t="s">
        <v>1965</v>
      </c>
      <c r="B1" s="3"/>
      <c r="C1" s="3"/>
    </row>
    <row r="2" spans="1:25" ht="18">
      <c r="A2" s="2" t="s">
        <v>1966</v>
      </c>
    </row>
    <row r="4" spans="1:25" ht="13.5" thickBot="1"/>
    <row r="5" spans="1:25" ht="18">
      <c r="A5" s="30" t="s">
        <v>1966</v>
      </c>
      <c r="B5" s="31"/>
      <c r="C5" s="31"/>
      <c r="D5" s="31"/>
      <c r="E5" s="31"/>
      <c r="F5" s="31"/>
      <c r="G5" s="31"/>
      <c r="H5" s="31"/>
      <c r="I5" s="31"/>
      <c r="J5" s="31"/>
      <c r="K5" s="32"/>
    </row>
    <row r="6" spans="1:25" ht="13.5" thickBot="1">
      <c r="A6" s="33"/>
      <c r="B6" s="34"/>
      <c r="C6" s="34"/>
      <c r="D6" s="34"/>
      <c r="E6" s="34"/>
      <c r="F6" s="34"/>
      <c r="G6" s="34"/>
      <c r="H6" s="34"/>
      <c r="I6" s="34"/>
      <c r="J6" s="34"/>
      <c r="K6" s="35"/>
    </row>
    <row r="7" spans="1:25" ht="15.75" thickBot="1">
      <c r="A7" s="269"/>
      <c r="B7" s="270" t="s">
        <v>1967</v>
      </c>
      <c r="C7" s="271" t="s">
        <v>1968</v>
      </c>
      <c r="D7" s="753" t="s">
        <v>1969</v>
      </c>
      <c r="E7" s="754"/>
      <c r="F7" s="754"/>
      <c r="G7" s="755"/>
      <c r="H7" s="753" t="s">
        <v>1970</v>
      </c>
      <c r="I7" s="754"/>
      <c r="J7" s="754"/>
      <c r="K7" s="755"/>
    </row>
    <row r="8" spans="1:25" ht="20.25" customHeight="1">
      <c r="A8" s="36" t="s">
        <v>1971</v>
      </c>
      <c r="B8" s="37" t="e">
        <f>C8/N10</f>
        <v>#REF!</v>
      </c>
      <c r="C8" s="37" t="e">
        <f>N14</f>
        <v>#REF!</v>
      </c>
      <c r="D8" s="38"/>
      <c r="E8" s="39" t="s">
        <v>1972</v>
      </c>
      <c r="F8" s="274" t="e">
        <f ca="1">+(F9*'Side Calcs - Proposed'!J16/(10.3/3.412))+(F9*'Side Calcs - Proposed'!K16/1.024)+(F9*'Side Calcs - Proposed'!L16)+(F9*'Side Calcs - Proposed'!M16/1.38)+(F9*'Side Calcs - Proposed'!N16)</f>
        <v>#REF!</v>
      </c>
      <c r="G8" s="275" t="s">
        <v>233</v>
      </c>
      <c r="H8" s="40"/>
      <c r="I8" s="41" t="s">
        <v>1082</v>
      </c>
      <c r="J8" s="42">
        <f>+G39</f>
        <v>11.246855500000001</v>
      </c>
      <c r="K8" s="43" t="s">
        <v>1083</v>
      </c>
      <c r="P8" t="s">
        <v>1084</v>
      </c>
    </row>
    <row r="9" spans="1:25" ht="15.75">
      <c r="A9" s="36" t="s">
        <v>1085</v>
      </c>
      <c r="B9" s="44" t="e">
        <f>B12*B16</f>
        <v>#REF!</v>
      </c>
      <c r="C9" s="45"/>
      <c r="D9" s="40"/>
      <c r="E9" s="39" t="s">
        <v>1086</v>
      </c>
      <c r="F9" s="276" t="e">
        <f>+EXP('Worksheet - Design - Proposed'!C76)</f>
        <v>#REF!</v>
      </c>
      <c r="G9" s="275" t="s">
        <v>233</v>
      </c>
      <c r="H9" s="46"/>
      <c r="I9" s="47"/>
      <c r="J9" s="7"/>
      <c r="K9" s="43"/>
      <c r="N9" t="s">
        <v>519</v>
      </c>
      <c r="O9" t="s">
        <v>1084</v>
      </c>
      <c r="P9" s="10" t="s">
        <v>1087</v>
      </c>
    </row>
    <row r="10" spans="1:25" ht="15.75">
      <c r="A10" s="36" t="s">
        <v>1088</v>
      </c>
      <c r="B10" s="48" t="e">
        <f>B17*B18</f>
        <v>#REF!</v>
      </c>
      <c r="C10" s="45"/>
      <c r="D10" s="46"/>
      <c r="E10" s="49"/>
      <c r="F10" s="50"/>
      <c r="G10" s="43"/>
      <c r="H10" s="46"/>
      <c r="I10" s="47"/>
      <c r="J10" s="51"/>
      <c r="K10" s="43"/>
      <c r="M10" s="83"/>
      <c r="N10" s="277" t="e">
        <f>#REF!</f>
        <v>#REF!</v>
      </c>
      <c r="O10" s="277" t="e">
        <f>#REF!</f>
        <v>#REF!</v>
      </c>
      <c r="P10" t="e">
        <f>O10/N10</f>
        <v>#REF!</v>
      </c>
    </row>
    <row r="11" spans="1:25" ht="15.75">
      <c r="A11" s="36" t="s">
        <v>1089</v>
      </c>
      <c r="B11" s="48" t="e">
        <f>O10/N10</f>
        <v>#REF!</v>
      </c>
      <c r="C11" s="45"/>
      <c r="D11" s="46"/>
      <c r="E11" s="49"/>
      <c r="F11" s="50"/>
      <c r="G11" s="43"/>
      <c r="H11" s="46"/>
      <c r="I11" s="47"/>
      <c r="J11" s="51"/>
      <c r="K11" s="43"/>
      <c r="M11" s="83"/>
      <c r="N11" s="277"/>
    </row>
    <row r="12" spans="1:25" ht="16.5" thickBot="1">
      <c r="A12" s="52" t="s">
        <v>31</v>
      </c>
      <c r="B12" s="53" t="e">
        <f>'ZipCode Map'!K5</f>
        <v>#REF!</v>
      </c>
      <c r="C12" s="45"/>
      <c r="D12" s="46"/>
      <c r="E12" s="54" t="s">
        <v>1090</v>
      </c>
      <c r="F12" s="55" t="e">
        <f ca="1">IF(B25&lt;'Worksheet - Design - Proposed'!C51,100,LOOKUP(B25,'Worksheet - Design - Proposed'!C51:C149,'Worksheet - Design - Proposed'!A51:A149)-1)</f>
        <v>#REF!</v>
      </c>
      <c r="G12" s="43"/>
      <c r="H12" s="46"/>
      <c r="I12" s="56"/>
      <c r="J12" s="7"/>
      <c r="K12" s="43"/>
    </row>
    <row r="13" spans="1:25" ht="51.75">
      <c r="A13" s="52"/>
      <c r="B13" s="53"/>
      <c r="C13" s="45"/>
      <c r="D13" s="46"/>
      <c r="E13" s="7"/>
      <c r="F13" s="7"/>
      <c r="G13" s="43"/>
      <c r="H13" s="40"/>
      <c r="I13" s="41" t="s">
        <v>1091</v>
      </c>
      <c r="J13" s="57" t="e">
        <f>$D$40+$D$41*LN(B8)+$D$42*B9+$D$43*B10+D44*B11</f>
        <v>#REF!</v>
      </c>
      <c r="K13" s="43" t="s">
        <v>1083</v>
      </c>
      <c r="M13" s="58" t="s">
        <v>1092</v>
      </c>
      <c r="N13" s="58" t="s">
        <v>1093</v>
      </c>
      <c r="O13" s="58" t="s">
        <v>1094</v>
      </c>
      <c r="P13" s="58" t="s">
        <v>1095</v>
      </c>
      <c r="Q13" s="58" t="s">
        <v>1227</v>
      </c>
      <c r="R13" s="58" t="s">
        <v>1228</v>
      </c>
      <c r="S13" s="58" t="s">
        <v>193</v>
      </c>
      <c r="T13" s="58" t="s">
        <v>194</v>
      </c>
      <c r="U13" s="58" t="s">
        <v>195</v>
      </c>
    </row>
    <row r="14" spans="1:25" ht="15.75">
      <c r="A14" s="52"/>
      <c r="B14" s="37"/>
      <c r="C14" s="45"/>
      <c r="D14" s="38"/>
      <c r="E14" s="39" t="s">
        <v>196</v>
      </c>
      <c r="F14" s="274" t="e">
        <f ca="1">+(F15*'Side Calcs - Proposed'!J16/(10.3/3.412))+(F15*'Side Calcs - Proposed'!K16/1.024)+(F15*'Side Calcs - Proposed'!L16)+(F15*'Side Calcs - Proposed'!M16/1.38)+(F15*'Side Calcs - Proposed'!N16)</f>
        <v>#REF!</v>
      </c>
      <c r="G14" s="275" t="s">
        <v>233</v>
      </c>
      <c r="H14" s="46"/>
      <c r="I14" s="47"/>
      <c r="J14" s="59"/>
      <c r="K14" s="43"/>
      <c r="M14" s="60" t="e">
        <f>#REF!</f>
        <v>#REF!</v>
      </c>
      <c r="N14" s="61" t="e">
        <f>#REF!</f>
        <v>#REF!</v>
      </c>
      <c r="O14" s="61"/>
      <c r="P14" s="61"/>
      <c r="Q14" s="61" t="e">
        <f>#REF!</f>
        <v>#REF!</v>
      </c>
      <c r="R14" s="61"/>
      <c r="S14" s="278" t="e">
        <f ca="1">S21-S15</f>
        <v>#REF!</v>
      </c>
      <c r="T14" s="278" t="e">
        <f ca="1">S14/N10</f>
        <v>#REF!</v>
      </c>
      <c r="U14" s="61"/>
    </row>
    <row r="15" spans="1:25" ht="15.75">
      <c r="A15" s="52"/>
      <c r="B15" s="37"/>
      <c r="C15" s="45"/>
      <c r="D15" s="40"/>
      <c r="E15" s="39" t="s">
        <v>197</v>
      </c>
      <c r="F15" s="276" t="e">
        <f ca="1">F9*N10+SUM(S15:S19)</f>
        <v>#REF!</v>
      </c>
      <c r="G15" s="275" t="s">
        <v>233</v>
      </c>
      <c r="H15" s="46"/>
      <c r="I15" s="47"/>
      <c r="J15" s="59"/>
      <c r="K15" s="43"/>
      <c r="M15" s="60" t="e">
        <f>#REF!</f>
        <v>#REF!</v>
      </c>
      <c r="N15" s="61" t="e">
        <f>#REF!</f>
        <v>#REF!</v>
      </c>
      <c r="O15" s="61"/>
      <c r="P15" s="61"/>
      <c r="Q15" s="61" t="e">
        <f>#REF!</f>
        <v>#REF!</v>
      </c>
      <c r="R15" s="61"/>
      <c r="S15" s="278" t="e">
        <f ca="1">0.75*S$21*N15/N$22</f>
        <v>#REF!</v>
      </c>
      <c r="T15" s="278"/>
      <c r="U15" s="62" t="s">
        <v>198</v>
      </c>
      <c r="V15" s="63"/>
      <c r="W15" s="63"/>
      <c r="X15" s="63"/>
      <c r="Y15" s="63"/>
    </row>
    <row r="16" spans="1:25" ht="15.75">
      <c r="A16" s="36" t="s">
        <v>199</v>
      </c>
      <c r="B16" s="64" t="e">
        <f>(#REF!)/#REF!</f>
        <v>#REF!</v>
      </c>
      <c r="C16" s="45"/>
      <c r="D16" s="46"/>
      <c r="E16" s="56"/>
      <c r="F16" s="65"/>
      <c r="G16" s="66"/>
      <c r="H16" s="46"/>
      <c r="I16" s="47"/>
      <c r="J16" s="59"/>
      <c r="K16" s="43"/>
      <c r="M16" s="60" t="e">
        <f>#REF!</f>
        <v>#REF!</v>
      </c>
      <c r="N16" s="61" t="e">
        <f>#REF!</f>
        <v>#REF!</v>
      </c>
      <c r="O16" s="61"/>
      <c r="P16" s="61"/>
      <c r="Q16" s="61" t="e">
        <f>#REF!</f>
        <v>#REF!</v>
      </c>
      <c r="R16" s="61"/>
      <c r="S16" s="278" t="e">
        <f>200*N16</f>
        <v>#REF!</v>
      </c>
      <c r="T16" s="278"/>
      <c r="U16" s="62" t="s">
        <v>200</v>
      </c>
      <c r="V16" s="63"/>
      <c r="W16" s="63"/>
      <c r="X16" s="63"/>
      <c r="Y16" s="63"/>
    </row>
    <row r="17" spans="1:25" ht="15.75">
      <c r="A17" s="36" t="s">
        <v>32</v>
      </c>
      <c r="B17" s="48" t="e">
        <f>'ZipCode Map'!L5</f>
        <v>#REF!</v>
      </c>
      <c r="C17" s="45"/>
      <c r="D17" s="46"/>
      <c r="E17" s="5"/>
      <c r="F17" s="67"/>
      <c r="G17" s="66"/>
      <c r="H17" s="46"/>
      <c r="I17" s="47" t="s">
        <v>201</v>
      </c>
      <c r="J17" s="68" t="e">
        <f>+J13/J8</f>
        <v>#REF!</v>
      </c>
      <c r="K17" s="43"/>
      <c r="M17" s="60" t="e">
        <f>#REF!</f>
        <v>#REF!</v>
      </c>
      <c r="N17" s="61" t="e">
        <f>#REF!</f>
        <v>#REF!</v>
      </c>
      <c r="O17" s="61">
        <v>168</v>
      </c>
      <c r="P17" s="61" t="s">
        <v>202</v>
      </c>
      <c r="Q17" s="61" t="s">
        <v>202</v>
      </c>
      <c r="R17" s="69">
        <v>1.46</v>
      </c>
      <c r="S17" s="278" t="e">
        <f>N17*O17*R17*10.3/1000</f>
        <v>#REF!</v>
      </c>
      <c r="T17" s="278"/>
      <c r="U17" s="69"/>
    </row>
    <row r="18" spans="1:25" ht="15.75">
      <c r="A18" s="36" t="s">
        <v>203</v>
      </c>
      <c r="B18" s="64" t="e">
        <f>(#REF!)/#REF!</f>
        <v>#REF!</v>
      </c>
      <c r="C18" s="45"/>
      <c r="D18" s="46"/>
      <c r="E18" s="56"/>
      <c r="F18" s="65"/>
      <c r="G18" s="66"/>
      <c r="H18" s="46"/>
      <c r="I18" s="7"/>
      <c r="J18" s="7"/>
      <c r="K18" s="43"/>
      <c r="M18" s="60" t="e">
        <f>#REF!</f>
        <v>#REF!</v>
      </c>
      <c r="N18" s="61" t="e">
        <f>#REF!</f>
        <v>#REF!</v>
      </c>
      <c r="O18" s="61">
        <v>168</v>
      </c>
      <c r="P18" s="61" t="s">
        <v>202</v>
      </c>
      <c r="Q18" s="61" t="s">
        <v>202</v>
      </c>
      <c r="R18" s="69">
        <v>0.26</v>
      </c>
      <c r="S18" s="278" t="e">
        <f>N18*O18*R18*10.3/1000</f>
        <v>#REF!</v>
      </c>
      <c r="T18" s="278"/>
      <c r="U18" s="69"/>
    </row>
    <row r="19" spans="1:25" ht="15" thickBot="1">
      <c r="B19" s="70"/>
      <c r="C19" s="45"/>
      <c r="D19" s="46"/>
      <c r="E19" s="56"/>
      <c r="F19" s="65"/>
      <c r="G19" s="66"/>
      <c r="H19" s="46"/>
      <c r="I19" s="7"/>
      <c r="J19" s="7"/>
      <c r="K19" s="43"/>
      <c r="M19" s="71" t="e">
        <f>#REF!</f>
        <v>#REF!</v>
      </c>
      <c r="N19" s="72" t="e">
        <f>#REF!</f>
        <v>#REF!</v>
      </c>
      <c r="O19" s="72">
        <v>84</v>
      </c>
      <c r="P19" s="72" t="s">
        <v>202</v>
      </c>
      <c r="Q19" s="72" t="s">
        <v>202</v>
      </c>
      <c r="R19" s="73">
        <v>0.12</v>
      </c>
      <c r="S19" s="279" t="e">
        <f>N19*O19*R19*10.3/1000</f>
        <v>#REF!</v>
      </c>
      <c r="T19" s="279"/>
      <c r="U19" s="62" t="s">
        <v>204</v>
      </c>
      <c r="V19" s="63"/>
      <c r="W19" s="63"/>
      <c r="X19" s="63"/>
      <c r="Y19" s="63"/>
    </row>
    <row r="20" spans="1:25" ht="15.75">
      <c r="A20" s="52" t="s">
        <v>205</v>
      </c>
      <c r="B20" s="280" t="e">
        <f ca="1">+#REF!*'Side Calcs - Proposed'!K4+#REF!*'Side Calcs - Proposed'!O4+#REF!*'Side Calcs - Proposed'!S4+#REF!*'Side Calcs - Proposed'!W4+#REF!*'Side Calcs - Proposed'!AA4</f>
        <v>#REF!</v>
      </c>
      <c r="C20" s="45" t="s">
        <v>2263</v>
      </c>
      <c r="D20" s="46"/>
      <c r="E20" s="56"/>
      <c r="F20" s="7"/>
      <c r="G20" s="43"/>
      <c r="H20" s="46"/>
      <c r="I20" s="47"/>
      <c r="J20" s="281"/>
      <c r="K20" s="282"/>
      <c r="M20" s="74" t="s">
        <v>2264</v>
      </c>
      <c r="N20" s="49"/>
      <c r="S20" s="283" t="e">
        <f ca="1">B22</f>
        <v>#REF!</v>
      </c>
      <c r="T20" s="283"/>
    </row>
    <row r="21" spans="1:25" ht="15.75">
      <c r="A21" s="52" t="s">
        <v>2265</v>
      </c>
      <c r="B21" s="280"/>
      <c r="C21" s="45"/>
      <c r="D21" s="46"/>
      <c r="E21" s="56"/>
      <c r="F21" s="7"/>
      <c r="G21" s="43"/>
      <c r="H21" s="46"/>
      <c r="I21" s="47"/>
      <c r="J21" s="281"/>
      <c r="K21" s="282"/>
      <c r="M21" t="s">
        <v>2266</v>
      </c>
      <c r="S21" s="283" t="e">
        <f ca="1">S20-S16-S17-S18-S19</f>
        <v>#REF!</v>
      </c>
      <c r="T21" s="283"/>
    </row>
    <row r="22" spans="1:25" ht="15.75">
      <c r="A22" s="52" t="s">
        <v>2267</v>
      </c>
      <c r="B22" s="280" t="e">
        <f ca="1">+#REF!*'Side Calcs - Proposed'!J4+#REF!*'Side Calcs - Proposed'!N4+#REF!*'Side Calcs - Proposed'!R4+#REF!*'Side Calcs - Proposed'!V4+#REF!*'Side Calcs - Proposed'!Z4</f>
        <v>#REF!</v>
      </c>
      <c r="C22" s="45" t="s">
        <v>2263</v>
      </c>
      <c r="D22" s="46"/>
      <c r="E22" s="7"/>
      <c r="F22" s="59"/>
      <c r="G22" s="43"/>
      <c r="H22" s="46"/>
      <c r="I22" s="47"/>
      <c r="J22" s="7"/>
      <c r="K22" s="75"/>
      <c r="M22" t="s">
        <v>2268</v>
      </c>
      <c r="N22" s="76" t="e">
        <f>SUM(N14:N15)</f>
        <v>#REF!</v>
      </c>
      <c r="S22" s="283" t="e">
        <f ca="1">SUM(S14:S15)</f>
        <v>#REF!</v>
      </c>
      <c r="T22" s="283"/>
    </row>
    <row r="23" spans="1:25" ht="15.75">
      <c r="A23" s="52" t="s">
        <v>2269</v>
      </c>
      <c r="B23" s="77"/>
      <c r="C23" s="45"/>
      <c r="D23" s="40"/>
      <c r="E23" s="41" t="s">
        <v>2270</v>
      </c>
      <c r="F23" s="284" t="e">
        <f ca="1">+(F24*'Side Calcs - Proposed'!J16/(10.3/3.412))+(F24*'Side Calcs - Proposed'!K16/1.024)+(F24*'Side Calcs - Proposed'!L16)+(F24*'Side Calcs - Proposed'!M16/1.38)+(F24*'Side Calcs - Proposed'!N16)</f>
        <v>#REF!</v>
      </c>
      <c r="G23" s="275" t="s">
        <v>233</v>
      </c>
      <c r="H23" s="46"/>
      <c r="I23" s="7"/>
      <c r="J23" s="7"/>
      <c r="K23" s="43"/>
      <c r="M23" t="s">
        <v>2271</v>
      </c>
      <c r="S23" s="78" t="e">
        <f>SUM(S16:S19)</f>
        <v>#REF!</v>
      </c>
    </row>
    <row r="24" spans="1:25" ht="15.75">
      <c r="A24" s="52" t="s">
        <v>2272</v>
      </c>
      <c r="B24" s="77"/>
      <c r="C24" s="45"/>
      <c r="D24" s="40"/>
      <c r="E24" s="41" t="s">
        <v>2273</v>
      </c>
      <c r="F24" s="285" t="e">
        <f>EXP(C101)</f>
        <v>#REF!</v>
      </c>
      <c r="G24" s="275" t="s">
        <v>233</v>
      </c>
      <c r="H24" s="46"/>
      <c r="I24" s="7"/>
      <c r="J24" s="7"/>
      <c r="K24" s="43"/>
    </row>
    <row r="25" spans="1:25" ht="16.5" thickBot="1">
      <c r="A25" s="36" t="s">
        <v>2274</v>
      </c>
      <c r="B25" s="79" t="e">
        <f ca="1">LN(T14)</f>
        <v>#REF!</v>
      </c>
      <c r="C25" s="80"/>
      <c r="D25" s="40"/>
      <c r="E25" s="41" t="s">
        <v>2275</v>
      </c>
      <c r="F25" s="284" t="e">
        <f ca="1">+(F26*'Side Calcs - Proposed'!J18/(10.3/3.412))+(F26*'Side Calcs - Proposed'!K18/1.024)+(F26*'Side Calcs - Proposed'!L18)+(F26*'Side Calcs - Proposed'!M18/1.38)+(F26*'Side Calcs - Proposed'!N18)</f>
        <v>#REF!</v>
      </c>
      <c r="G25" s="275" t="s">
        <v>233</v>
      </c>
      <c r="H25" s="11"/>
      <c r="I25" s="81"/>
      <c r="J25" s="81"/>
      <c r="K25" s="13"/>
      <c r="N25" t="s">
        <v>2276</v>
      </c>
    </row>
    <row r="26" spans="1:25" ht="14.25">
      <c r="D26" s="40"/>
      <c r="E26" s="41" t="s">
        <v>2277</v>
      </c>
      <c r="F26" s="285" t="e">
        <f ca="1">F24*N10+SUM(S15:S19)</f>
        <v>#REF!</v>
      </c>
      <c r="G26" s="275" t="s">
        <v>233</v>
      </c>
      <c r="N26" t="s">
        <v>2278</v>
      </c>
    </row>
    <row r="27" spans="1:25" ht="14.25">
      <c r="I27" s="47"/>
      <c r="J27" s="82"/>
      <c r="M27" s="83"/>
      <c r="N27" s="83"/>
      <c r="P27" s="83"/>
      <c r="Q27" s="83"/>
    </row>
    <row r="28" spans="1:25" ht="14.25">
      <c r="A28" s="1" t="s">
        <v>2279</v>
      </c>
      <c r="I28" s="47"/>
      <c r="J28" s="82"/>
      <c r="M28" s="83"/>
      <c r="N28" s="83" t="s">
        <v>2280</v>
      </c>
      <c r="O28" s="83"/>
      <c r="P28" s="83"/>
      <c r="Q28" s="83"/>
    </row>
    <row r="29" spans="1:25" ht="12.75" hidden="1" customHeight="1"/>
    <row r="30" spans="1:25">
      <c r="A30" s="84" t="s">
        <v>2281</v>
      </c>
      <c r="B30" s="3"/>
      <c r="C30" s="3"/>
      <c r="D30" s="3"/>
    </row>
    <row r="31" spans="1:25">
      <c r="A31" s="9"/>
      <c r="N31" t="s">
        <v>2282</v>
      </c>
    </row>
    <row r="32" spans="1:25" ht="12.75" hidden="1" customHeight="1">
      <c r="A32" s="9"/>
    </row>
    <row r="33" spans="1:21" ht="12.75" hidden="1" customHeight="1"/>
    <row r="34" spans="1:21" ht="12.75" hidden="1" customHeight="1">
      <c r="A34" s="9"/>
    </row>
    <row r="35" spans="1:21" ht="12.75" hidden="1" customHeight="1"/>
    <row r="36" spans="1:21" ht="13.5" thickBot="1"/>
    <row r="37" spans="1:21" ht="18.75" thickBot="1">
      <c r="A37" s="85" t="s">
        <v>2283</v>
      </c>
      <c r="B37" s="86"/>
      <c r="C37" s="86"/>
      <c r="D37" s="12"/>
      <c r="K37" s="87"/>
      <c r="N37" t="s">
        <v>2284</v>
      </c>
    </row>
    <row r="38" spans="1:21" ht="14.25">
      <c r="A38" s="88"/>
      <c r="B38" s="89"/>
      <c r="C38" s="89"/>
      <c r="D38" s="90" t="s">
        <v>2285</v>
      </c>
      <c r="E38" s="7"/>
      <c r="F38" s="91" t="s">
        <v>2286</v>
      </c>
      <c r="G38" s="92" t="s">
        <v>2287</v>
      </c>
      <c r="H38" s="92" t="s">
        <v>2288</v>
      </c>
      <c r="I38" s="93" t="s">
        <v>2289</v>
      </c>
      <c r="K38" s="94"/>
      <c r="N38" t="s">
        <v>2290</v>
      </c>
    </row>
    <row r="39" spans="1:21" s="1" customFormat="1" ht="14.25">
      <c r="A39" s="95" t="s">
        <v>2286</v>
      </c>
      <c r="B39" s="96" t="s">
        <v>2291</v>
      </c>
      <c r="C39" s="97" t="s">
        <v>2285</v>
      </c>
      <c r="D39" s="98" t="s">
        <v>2292</v>
      </c>
      <c r="E39" s="97"/>
      <c r="F39" s="99" t="s">
        <v>2293</v>
      </c>
      <c r="G39" s="100">
        <v>11.246855500000001</v>
      </c>
      <c r="H39" s="101">
        <v>9.7327645</v>
      </c>
      <c r="I39" s="102">
        <v>12.207849100000001</v>
      </c>
      <c r="J39" s="103" t="s">
        <v>2294</v>
      </c>
      <c r="K39" s="104"/>
      <c r="L39"/>
      <c r="M39"/>
      <c r="N39"/>
      <c r="O39"/>
      <c r="P39"/>
      <c r="Q39"/>
      <c r="R39"/>
      <c r="S39"/>
      <c r="T39"/>
      <c r="U39"/>
    </row>
    <row r="40" spans="1:21" s="1" customFormat="1" ht="14.25">
      <c r="A40" s="105" t="s">
        <v>2295</v>
      </c>
      <c r="B40" s="106">
        <v>1</v>
      </c>
      <c r="C40" s="106" t="s">
        <v>212</v>
      </c>
      <c r="D40" s="107">
        <v>6.4144199999999998</v>
      </c>
      <c r="E40" s="97"/>
      <c r="F40" s="108"/>
      <c r="G40" s="109"/>
      <c r="H40" s="106"/>
      <c r="I40" s="110"/>
      <c r="K40" s="104"/>
      <c r="L40" s="111"/>
    </row>
    <row r="41" spans="1:21" ht="14.25">
      <c r="A41" s="112" t="s">
        <v>213</v>
      </c>
      <c r="B41" s="106">
        <v>1</v>
      </c>
      <c r="C41" s="106" t="s">
        <v>214</v>
      </c>
      <c r="D41" s="113">
        <v>0.69635999999999998</v>
      </c>
      <c r="E41" s="59"/>
      <c r="F41" s="99" t="s">
        <v>215</v>
      </c>
      <c r="G41" s="114">
        <v>6.5994793999999999</v>
      </c>
      <c r="H41" s="101">
        <v>5.7990927000000001</v>
      </c>
      <c r="I41" s="102">
        <v>7.4024514999999997</v>
      </c>
      <c r="J41" t="s">
        <v>216</v>
      </c>
      <c r="L41" s="115">
        <f>EXP(G41)</f>
        <v>734.71259828352083</v>
      </c>
    </row>
    <row r="42" spans="1:21" ht="14.25">
      <c r="A42" s="112" t="s">
        <v>217</v>
      </c>
      <c r="B42" s="106">
        <v>1</v>
      </c>
      <c r="C42" s="106" t="s">
        <v>218</v>
      </c>
      <c r="D42" s="116">
        <v>5.3000000000000001E-5</v>
      </c>
      <c r="E42" s="7"/>
      <c r="F42" s="99" t="s">
        <v>1085</v>
      </c>
      <c r="G42" s="117">
        <v>569.07824230000006</v>
      </c>
      <c r="H42" s="101">
        <v>0</v>
      </c>
      <c r="I42" s="102">
        <v>5736</v>
      </c>
      <c r="K42" s="104"/>
      <c r="L42" s="4"/>
      <c r="S42" s="118"/>
    </row>
    <row r="43" spans="1:21" ht="14.25">
      <c r="A43" s="112" t="s">
        <v>219</v>
      </c>
      <c r="B43" s="106">
        <v>1</v>
      </c>
      <c r="C43" s="106" t="s">
        <v>220</v>
      </c>
      <c r="D43" s="116">
        <v>2.779E-5</v>
      </c>
      <c r="E43" s="7"/>
      <c r="F43" s="99" t="s">
        <v>1088</v>
      </c>
      <c r="G43" s="117">
        <v>4484.58</v>
      </c>
      <c r="H43" s="101">
        <v>0</v>
      </c>
      <c r="I43" s="102">
        <v>8200</v>
      </c>
      <c r="K43" s="104"/>
      <c r="L43" s="4"/>
    </row>
    <row r="44" spans="1:21" ht="14.25">
      <c r="A44" s="112" t="s">
        <v>221</v>
      </c>
      <c r="B44" s="106">
        <v>1</v>
      </c>
      <c r="C44" s="106" t="s">
        <v>222</v>
      </c>
      <c r="D44" s="113">
        <v>6.2050000000000001E-2</v>
      </c>
      <c r="E44" s="7"/>
      <c r="F44" s="99" t="s">
        <v>223</v>
      </c>
      <c r="G44" s="119">
        <v>1.3225806</v>
      </c>
      <c r="H44" s="101">
        <v>0</v>
      </c>
      <c r="I44" s="102">
        <v>4</v>
      </c>
    </row>
    <row r="45" spans="1:21" ht="15" thickBot="1">
      <c r="A45" s="120"/>
      <c r="B45" s="121"/>
      <c r="C45" s="121"/>
      <c r="D45" s="122"/>
      <c r="E45" s="7"/>
      <c r="F45" s="99"/>
      <c r="G45" s="119"/>
      <c r="H45" s="101"/>
      <c r="I45" s="102"/>
    </row>
    <row r="46" spans="1:21" ht="13.5" thickBot="1">
      <c r="A46" s="108"/>
      <c r="B46" s="106"/>
      <c r="C46" s="106"/>
      <c r="D46" s="110"/>
      <c r="E46" s="123"/>
      <c r="F46" s="124"/>
      <c r="G46" s="125"/>
      <c r="H46" s="121"/>
      <c r="I46" s="126"/>
    </row>
    <row r="47" spans="1:21" ht="13.5" thickBot="1">
      <c r="A47" s="124"/>
      <c r="B47" s="121"/>
      <c r="C47" s="121"/>
      <c r="D47" s="126"/>
      <c r="E47" s="123"/>
      <c r="F47" s="7"/>
      <c r="G47" s="7"/>
      <c r="H47" s="7"/>
    </row>
    <row r="49" spans="1:13" ht="13.5" thickBot="1">
      <c r="F49" s="756"/>
      <c r="G49" s="756"/>
      <c r="H49" s="756"/>
      <c r="I49" s="756"/>
      <c r="K49" s="756"/>
      <c r="L49" s="756"/>
    </row>
    <row r="50" spans="1:13" s="1" customFormat="1" ht="26.25" thickBot="1">
      <c r="A50" s="6" t="s">
        <v>224</v>
      </c>
      <c r="B50" s="127" t="s">
        <v>225</v>
      </c>
      <c r="C50" s="128" t="s">
        <v>226</v>
      </c>
      <c r="D50" s="128" t="s">
        <v>227</v>
      </c>
      <c r="E50" s="128"/>
      <c r="F50" s="128"/>
      <c r="G50" s="20"/>
      <c r="H50" s="20"/>
      <c r="I50" s="20"/>
      <c r="K50" s="272"/>
      <c r="L50" s="20"/>
    </row>
    <row r="51" spans="1:13" s="1" customFormat="1">
      <c r="A51" s="268">
        <v>100</v>
      </c>
      <c r="B51" s="129">
        <v>10.294499999999999</v>
      </c>
      <c r="C51" s="19" t="e">
        <f>+(B51*$J$17)</f>
        <v>#REF!</v>
      </c>
      <c r="E51" s="97"/>
      <c r="F51" s="272"/>
      <c r="G51"/>
      <c r="H51" s="20"/>
      <c r="I51" s="20"/>
      <c r="K51" s="130"/>
      <c r="L51" s="20"/>
      <c r="M51" s="131"/>
    </row>
    <row r="52" spans="1:13" ht="15">
      <c r="A52" s="268">
        <v>99</v>
      </c>
      <c r="B52" s="132">
        <v>10.511799999999999</v>
      </c>
      <c r="C52" s="19" t="e">
        <f>+(B52*$J$17)</f>
        <v>#REF!</v>
      </c>
      <c r="E52" s="7"/>
      <c r="F52" s="17"/>
      <c r="H52" s="21"/>
      <c r="I52" s="21"/>
      <c r="K52" s="17"/>
      <c r="L52" s="18"/>
    </row>
    <row r="53" spans="1:13" ht="15">
      <c r="A53" s="268">
        <v>98</v>
      </c>
      <c r="B53" s="132">
        <v>10.541</v>
      </c>
      <c r="C53" s="19" t="e">
        <f>+(B53*$J$17)</f>
        <v>#REF!</v>
      </c>
      <c r="E53" s="7"/>
      <c r="F53" s="22"/>
      <c r="H53" s="133" t="s">
        <v>228</v>
      </c>
      <c r="I53" s="134"/>
      <c r="J53" s="9" t="s">
        <v>2260</v>
      </c>
      <c r="K53" s="135" t="s">
        <v>229</v>
      </c>
      <c r="L53" s="136"/>
      <c r="M53" s="9" t="s">
        <v>230</v>
      </c>
    </row>
    <row r="54" spans="1:13">
      <c r="A54" s="268">
        <v>97</v>
      </c>
      <c r="B54" s="132">
        <v>10.557</v>
      </c>
      <c r="C54" s="19" t="e">
        <f t="shared" ref="C54:C117" si="0">+(B54*$J$17)</f>
        <v>#REF!</v>
      </c>
      <c r="E54" s="137"/>
      <c r="F54" s="138"/>
      <c r="G54" s="139" t="s">
        <v>231</v>
      </c>
      <c r="H54" s="751" t="e">
        <f ca="1">F15</f>
        <v>#REF!</v>
      </c>
      <c r="I54" s="752"/>
      <c r="J54" s="15" t="e">
        <f ca="1">F26</f>
        <v>#REF!</v>
      </c>
      <c r="K54" s="751" t="e">
        <f ca="1">(+#REF!*'Side Calcs - Proposed'!J4+#REF!*'Side Calcs - Proposed'!N4+#REF!*'Side Calcs - Proposed'!R4+#REF!*'Side Calcs - Proposed'!V4+#REF!*'Side Calcs - Proposed'!Z4)</f>
        <v>#REF!</v>
      </c>
      <c r="L54" s="752"/>
      <c r="M54" s="16" t="e">
        <f ca="1">K54-H54</f>
        <v>#REF!</v>
      </c>
    </row>
    <row r="55" spans="1:13">
      <c r="A55" s="268">
        <v>96</v>
      </c>
      <c r="B55" s="132">
        <v>10.5913</v>
      </c>
      <c r="C55" s="19" t="e">
        <f t="shared" si="0"/>
        <v>#REF!</v>
      </c>
      <c r="E55" s="7"/>
      <c r="F55" s="25"/>
      <c r="H55" s="27"/>
      <c r="I55" s="27"/>
      <c r="K55" s="25"/>
      <c r="L55" s="26"/>
    </row>
    <row r="56" spans="1:13">
      <c r="A56" s="268">
        <v>95</v>
      </c>
      <c r="B56" s="132">
        <v>10.615600000000001</v>
      </c>
      <c r="C56" s="19" t="e">
        <f t="shared" si="0"/>
        <v>#REF!</v>
      </c>
      <c r="E56" s="137"/>
      <c r="F56" s="138"/>
      <c r="G56" s="139" t="s">
        <v>232</v>
      </c>
      <c r="H56" s="751" t="e">
        <f ca="1">H54/#REF!</f>
        <v>#REF!</v>
      </c>
      <c r="I56" s="752"/>
      <c r="J56" s="15" t="e">
        <f ca="1">J54/#REF!</f>
        <v>#REF!</v>
      </c>
      <c r="K56" s="751" t="e">
        <f ca="1">K54/#REF!</f>
        <v>#REF!</v>
      </c>
      <c r="L56" s="752"/>
    </row>
    <row r="57" spans="1:13">
      <c r="A57" s="268">
        <v>94</v>
      </c>
      <c r="B57" s="132">
        <v>10.6668</v>
      </c>
      <c r="C57" s="19" t="e">
        <f t="shared" si="0"/>
        <v>#REF!</v>
      </c>
      <c r="E57" s="7"/>
      <c r="F57" s="25"/>
      <c r="H57" s="27"/>
      <c r="I57" s="27"/>
      <c r="K57" s="25"/>
      <c r="L57" s="26"/>
    </row>
    <row r="58" spans="1:13">
      <c r="A58" s="268">
        <v>93</v>
      </c>
      <c r="B58" s="132">
        <v>10.696400000000001</v>
      </c>
      <c r="C58" s="19" t="e">
        <f t="shared" si="0"/>
        <v>#REF!</v>
      </c>
      <c r="E58" s="7"/>
      <c r="F58" s="25"/>
      <c r="H58" s="27"/>
      <c r="I58" s="27"/>
      <c r="K58" s="25"/>
      <c r="L58" s="26"/>
    </row>
    <row r="59" spans="1:13">
      <c r="A59" s="268">
        <v>92</v>
      </c>
      <c r="B59" s="132">
        <v>10.710900000000001</v>
      </c>
      <c r="C59" s="19" t="e">
        <f t="shared" si="0"/>
        <v>#REF!</v>
      </c>
      <c r="E59" s="7"/>
      <c r="F59" s="25"/>
      <c r="I59" s="27"/>
      <c r="K59" s="25"/>
      <c r="L59" s="26"/>
    </row>
    <row r="60" spans="1:13">
      <c r="A60" s="268">
        <v>91</v>
      </c>
      <c r="B60" s="132">
        <v>10.766500000000001</v>
      </c>
      <c r="C60" s="19" t="e">
        <f t="shared" si="0"/>
        <v>#REF!</v>
      </c>
      <c r="F60" s="25"/>
      <c r="H60" s="27"/>
      <c r="I60" s="27"/>
      <c r="K60" s="25"/>
      <c r="L60" s="26"/>
    </row>
    <row r="61" spans="1:13">
      <c r="A61" s="268">
        <v>90</v>
      </c>
      <c r="B61" s="132">
        <v>10.7783</v>
      </c>
      <c r="C61" s="19" t="e">
        <f t="shared" si="0"/>
        <v>#REF!</v>
      </c>
      <c r="F61" s="25"/>
      <c r="H61" s="27"/>
      <c r="I61" s="27"/>
      <c r="K61" s="25"/>
      <c r="L61" s="26"/>
    </row>
    <row r="62" spans="1:13">
      <c r="A62" s="268">
        <v>89</v>
      </c>
      <c r="B62" s="132">
        <v>10.807</v>
      </c>
      <c r="C62" s="19" t="e">
        <f t="shared" si="0"/>
        <v>#REF!</v>
      </c>
      <c r="F62" s="25"/>
      <c r="H62" s="27"/>
      <c r="I62" s="27"/>
      <c r="K62" s="25"/>
      <c r="L62" s="26"/>
    </row>
    <row r="63" spans="1:13">
      <c r="A63" s="268">
        <v>88</v>
      </c>
      <c r="B63" s="132">
        <v>10.8187</v>
      </c>
      <c r="C63" s="19" t="e">
        <f t="shared" si="0"/>
        <v>#REF!</v>
      </c>
      <c r="F63" s="25"/>
      <c r="H63" s="27"/>
      <c r="I63" s="27"/>
      <c r="K63" s="25"/>
      <c r="L63" s="26"/>
    </row>
    <row r="64" spans="1:13">
      <c r="A64" s="268">
        <v>87</v>
      </c>
      <c r="B64" s="132">
        <v>10.8301</v>
      </c>
      <c r="C64" s="19" t="e">
        <f t="shared" si="0"/>
        <v>#REF!</v>
      </c>
      <c r="F64" s="25"/>
      <c r="H64" s="27"/>
      <c r="I64" s="27"/>
      <c r="K64" s="25"/>
      <c r="L64" s="26"/>
    </row>
    <row r="65" spans="1:12">
      <c r="A65" s="268">
        <v>86</v>
      </c>
      <c r="B65" s="132">
        <v>10.848599999999999</v>
      </c>
      <c r="C65" s="19" t="e">
        <f t="shared" si="0"/>
        <v>#REF!</v>
      </c>
      <c r="F65" s="25"/>
      <c r="H65" s="27"/>
      <c r="I65" s="27"/>
      <c r="K65" s="25"/>
      <c r="L65" s="26"/>
    </row>
    <row r="66" spans="1:12">
      <c r="A66" s="268">
        <v>85</v>
      </c>
      <c r="B66" s="132">
        <v>10.8575</v>
      </c>
      <c r="C66" s="19" t="e">
        <f t="shared" si="0"/>
        <v>#REF!</v>
      </c>
      <c r="F66" s="25"/>
      <c r="H66" s="27"/>
      <c r="I66" s="27"/>
      <c r="K66" s="25"/>
      <c r="L66" s="26"/>
    </row>
    <row r="67" spans="1:12">
      <c r="A67" s="268">
        <v>84</v>
      </c>
      <c r="B67" s="132">
        <v>10.861800000000001</v>
      </c>
      <c r="C67" s="19" t="e">
        <f t="shared" si="0"/>
        <v>#REF!</v>
      </c>
      <c r="F67" s="25"/>
      <c r="H67" s="27"/>
      <c r="I67" s="27"/>
      <c r="K67" s="25"/>
      <c r="L67" s="26"/>
    </row>
    <row r="68" spans="1:12">
      <c r="A68" s="268">
        <v>83</v>
      </c>
      <c r="B68" s="132">
        <v>10.8934</v>
      </c>
      <c r="C68" s="19" t="e">
        <f t="shared" si="0"/>
        <v>#REF!</v>
      </c>
      <c r="F68" s="25"/>
      <c r="H68" s="27"/>
      <c r="I68" s="27"/>
      <c r="K68" s="25"/>
      <c r="L68" s="26"/>
    </row>
    <row r="69" spans="1:12">
      <c r="A69" s="268">
        <v>82</v>
      </c>
      <c r="B69" s="132">
        <v>10.904400000000001</v>
      </c>
      <c r="C69" s="19" t="e">
        <f t="shared" si="0"/>
        <v>#REF!</v>
      </c>
      <c r="F69" s="25"/>
      <c r="H69" s="27"/>
      <c r="I69" s="27"/>
      <c r="K69" s="25"/>
      <c r="L69" s="26"/>
    </row>
    <row r="70" spans="1:12">
      <c r="A70" s="268">
        <v>81</v>
      </c>
      <c r="B70" s="132">
        <v>10.9231</v>
      </c>
      <c r="C70" s="19" t="e">
        <f t="shared" si="0"/>
        <v>#REF!</v>
      </c>
      <c r="F70" s="25"/>
      <c r="H70" s="27"/>
      <c r="I70" s="27"/>
      <c r="K70" s="25"/>
      <c r="L70" s="26"/>
    </row>
    <row r="71" spans="1:12">
      <c r="A71" s="268">
        <v>80</v>
      </c>
      <c r="B71" s="132">
        <v>10.943899999999999</v>
      </c>
      <c r="C71" s="19" t="e">
        <f t="shared" si="0"/>
        <v>#REF!</v>
      </c>
      <c r="F71" s="25"/>
      <c r="H71" s="27"/>
      <c r="I71" s="27"/>
      <c r="K71" s="25"/>
      <c r="L71" s="26"/>
    </row>
    <row r="72" spans="1:12">
      <c r="A72" s="268">
        <v>79</v>
      </c>
      <c r="B72" s="132">
        <v>10.962400000000001</v>
      </c>
      <c r="C72" s="19" t="e">
        <f t="shared" si="0"/>
        <v>#REF!</v>
      </c>
      <c r="F72" s="25"/>
      <c r="H72" s="27"/>
      <c r="I72" s="27"/>
      <c r="K72" s="25"/>
      <c r="L72" s="26"/>
    </row>
    <row r="73" spans="1:12">
      <c r="A73" s="268">
        <v>78</v>
      </c>
      <c r="B73" s="132">
        <v>10.972300000000001</v>
      </c>
      <c r="C73" s="19" t="e">
        <f t="shared" si="0"/>
        <v>#REF!</v>
      </c>
      <c r="F73" s="25"/>
      <c r="H73" s="27"/>
      <c r="I73" s="27"/>
      <c r="K73" s="25"/>
      <c r="L73" s="26"/>
    </row>
    <row r="74" spans="1:12">
      <c r="A74" s="268">
        <v>77</v>
      </c>
      <c r="B74" s="132">
        <v>11.0154</v>
      </c>
      <c r="C74" s="19" t="e">
        <f t="shared" si="0"/>
        <v>#REF!</v>
      </c>
      <c r="F74" s="25"/>
      <c r="H74" s="27"/>
      <c r="I74" s="27"/>
      <c r="K74" s="25"/>
      <c r="L74" s="26"/>
    </row>
    <row r="75" spans="1:12" ht="13.5" thickBot="1">
      <c r="A75" s="268">
        <v>76</v>
      </c>
      <c r="B75" s="132">
        <v>11.021599999999999</v>
      </c>
      <c r="C75" s="19" t="e">
        <f t="shared" si="0"/>
        <v>#REF!</v>
      </c>
      <c r="F75" s="25"/>
      <c r="H75" s="27"/>
      <c r="I75" s="27"/>
      <c r="K75" s="25"/>
      <c r="L75" s="26"/>
    </row>
    <row r="76" spans="1:12" ht="13.5" thickBot="1">
      <c r="A76" s="28">
        <v>75</v>
      </c>
      <c r="B76" s="140">
        <v>11.0238</v>
      </c>
      <c r="C76" s="19" t="e">
        <f t="shared" si="0"/>
        <v>#REF!</v>
      </c>
      <c r="F76" s="25"/>
      <c r="H76" s="27"/>
      <c r="I76" s="27"/>
      <c r="K76" s="25"/>
      <c r="L76" s="26"/>
    </row>
    <row r="77" spans="1:12">
      <c r="A77" s="268">
        <v>74</v>
      </c>
      <c r="B77" s="132">
        <v>11.043699999999999</v>
      </c>
      <c r="C77" s="19" t="e">
        <f t="shared" si="0"/>
        <v>#REF!</v>
      </c>
      <c r="F77" s="25"/>
      <c r="H77" s="27"/>
      <c r="I77" s="27"/>
      <c r="K77" s="25"/>
      <c r="L77" s="26"/>
    </row>
    <row r="78" spans="1:12">
      <c r="A78" s="268">
        <v>73</v>
      </c>
      <c r="B78" s="132">
        <v>11.0555</v>
      </c>
      <c r="C78" s="19" t="e">
        <f t="shared" si="0"/>
        <v>#REF!</v>
      </c>
      <c r="F78" s="25"/>
      <c r="H78" s="27"/>
      <c r="I78" s="27"/>
      <c r="K78" s="25"/>
      <c r="L78" s="26"/>
    </row>
    <row r="79" spans="1:12">
      <c r="A79" s="268">
        <v>72</v>
      </c>
      <c r="B79" s="132">
        <v>11.059200000000001</v>
      </c>
      <c r="C79" s="19" t="e">
        <f t="shared" si="0"/>
        <v>#REF!</v>
      </c>
      <c r="F79" s="25"/>
      <c r="H79" s="27"/>
      <c r="I79" s="27"/>
      <c r="K79" s="25"/>
      <c r="L79" s="26"/>
    </row>
    <row r="80" spans="1:12">
      <c r="A80" s="268">
        <v>71</v>
      </c>
      <c r="B80" s="132">
        <v>11.068199999999999</v>
      </c>
      <c r="C80" s="19" t="e">
        <f t="shared" si="0"/>
        <v>#REF!</v>
      </c>
      <c r="F80" s="25"/>
      <c r="H80" s="27"/>
      <c r="I80" s="27"/>
      <c r="K80" s="25"/>
      <c r="L80" s="26"/>
    </row>
    <row r="81" spans="1:12">
      <c r="A81" s="268">
        <v>70</v>
      </c>
      <c r="B81" s="132">
        <v>11.0939</v>
      </c>
      <c r="C81" s="19" t="e">
        <f t="shared" si="0"/>
        <v>#REF!</v>
      </c>
      <c r="F81" s="25"/>
      <c r="H81" s="27"/>
      <c r="I81" s="27"/>
      <c r="K81" s="25"/>
      <c r="L81" s="26"/>
    </row>
    <row r="82" spans="1:12">
      <c r="A82" s="268">
        <v>69</v>
      </c>
      <c r="B82" s="132">
        <v>11.1029</v>
      </c>
      <c r="C82" s="19" t="e">
        <f t="shared" si="0"/>
        <v>#REF!</v>
      </c>
      <c r="F82" s="25"/>
      <c r="H82" s="27"/>
      <c r="I82" s="27"/>
      <c r="K82" s="25"/>
      <c r="L82" s="26"/>
    </row>
    <row r="83" spans="1:12">
      <c r="A83" s="268">
        <v>68</v>
      </c>
      <c r="B83" s="132">
        <v>11.1143</v>
      </c>
      <c r="C83" s="19" t="e">
        <f t="shared" si="0"/>
        <v>#REF!</v>
      </c>
      <c r="F83" s="25"/>
      <c r="H83" s="27"/>
      <c r="I83" s="27"/>
      <c r="K83" s="25"/>
      <c r="L83" s="26"/>
    </row>
    <row r="84" spans="1:12">
      <c r="A84" s="268">
        <v>67</v>
      </c>
      <c r="B84" s="132">
        <v>11.117100000000001</v>
      </c>
      <c r="C84" s="19" t="e">
        <f t="shared" si="0"/>
        <v>#REF!</v>
      </c>
      <c r="F84" s="25"/>
      <c r="H84" s="27"/>
      <c r="I84" s="27"/>
      <c r="K84" s="25"/>
      <c r="L84" s="26"/>
    </row>
    <row r="85" spans="1:12">
      <c r="A85" s="268">
        <v>66</v>
      </c>
      <c r="B85" s="132">
        <v>11.1279</v>
      </c>
      <c r="C85" s="19" t="e">
        <f t="shared" si="0"/>
        <v>#REF!</v>
      </c>
      <c r="F85" s="25"/>
      <c r="H85" s="27"/>
      <c r="I85" s="27"/>
      <c r="K85" s="25"/>
      <c r="L85" s="26"/>
    </row>
    <row r="86" spans="1:12">
      <c r="A86" s="268">
        <v>65</v>
      </c>
      <c r="B86" s="132">
        <v>11.139099999999999</v>
      </c>
      <c r="C86" s="19" t="e">
        <f t="shared" si="0"/>
        <v>#REF!</v>
      </c>
      <c r="F86" s="25"/>
      <c r="H86" s="27"/>
      <c r="I86" s="27"/>
      <c r="K86" s="25"/>
      <c r="L86" s="26"/>
    </row>
    <row r="87" spans="1:12">
      <c r="A87" s="268">
        <v>64</v>
      </c>
      <c r="B87" s="132">
        <v>11.148</v>
      </c>
      <c r="C87" s="19" t="e">
        <f t="shared" si="0"/>
        <v>#REF!</v>
      </c>
      <c r="F87" s="25"/>
      <c r="H87" s="27"/>
      <c r="I87" s="27"/>
      <c r="K87" s="25"/>
      <c r="L87" s="26"/>
    </row>
    <row r="88" spans="1:12">
      <c r="A88" s="268">
        <v>63</v>
      </c>
      <c r="B88" s="132">
        <v>11.1523</v>
      </c>
      <c r="C88" s="19" t="e">
        <f t="shared" si="0"/>
        <v>#REF!</v>
      </c>
      <c r="F88" s="25"/>
      <c r="H88" s="27"/>
      <c r="I88" s="27"/>
      <c r="K88" s="25"/>
      <c r="L88" s="26"/>
    </row>
    <row r="89" spans="1:12">
      <c r="A89" s="268">
        <v>62</v>
      </c>
      <c r="B89" s="132">
        <v>11.155200000000001</v>
      </c>
      <c r="C89" s="19" t="e">
        <f t="shared" si="0"/>
        <v>#REF!</v>
      </c>
      <c r="F89" s="25"/>
      <c r="H89" s="27"/>
      <c r="I89" s="27"/>
      <c r="K89" s="25"/>
      <c r="L89" s="26"/>
    </row>
    <row r="90" spans="1:12">
      <c r="A90" s="268">
        <v>61</v>
      </c>
      <c r="B90" s="132">
        <v>11.16</v>
      </c>
      <c r="C90" s="19" t="e">
        <f t="shared" si="0"/>
        <v>#REF!</v>
      </c>
      <c r="F90" s="25"/>
      <c r="H90" s="27"/>
      <c r="I90" s="27"/>
      <c r="K90" s="25"/>
      <c r="L90" s="26"/>
    </row>
    <row r="91" spans="1:12">
      <c r="A91" s="268">
        <v>60</v>
      </c>
      <c r="B91" s="132">
        <v>11.1669</v>
      </c>
      <c r="C91" s="19" t="e">
        <f t="shared" si="0"/>
        <v>#REF!</v>
      </c>
      <c r="F91" s="25"/>
      <c r="H91" s="27"/>
      <c r="I91" s="27"/>
      <c r="K91" s="25"/>
      <c r="L91" s="26"/>
    </row>
    <row r="92" spans="1:12">
      <c r="A92" s="268">
        <v>59</v>
      </c>
      <c r="B92" s="132">
        <v>11.175599999999999</v>
      </c>
      <c r="C92" s="19" t="e">
        <f t="shared" si="0"/>
        <v>#REF!</v>
      </c>
      <c r="F92" s="25"/>
      <c r="H92" s="27"/>
      <c r="I92" s="27"/>
      <c r="K92" s="25"/>
      <c r="L92" s="26"/>
    </row>
    <row r="93" spans="1:12">
      <c r="A93" s="268">
        <v>58</v>
      </c>
      <c r="B93" s="132">
        <v>11.181800000000001</v>
      </c>
      <c r="C93" s="19" t="e">
        <f t="shared" si="0"/>
        <v>#REF!</v>
      </c>
      <c r="F93" s="25"/>
      <c r="H93" s="27"/>
      <c r="I93" s="27"/>
      <c r="K93" s="25"/>
      <c r="L93" s="26"/>
    </row>
    <row r="94" spans="1:12">
      <c r="A94" s="268">
        <v>57</v>
      </c>
      <c r="B94" s="132">
        <v>11.195</v>
      </c>
      <c r="C94" s="19" t="e">
        <f t="shared" si="0"/>
        <v>#REF!</v>
      </c>
      <c r="F94" s="25"/>
      <c r="H94" s="27"/>
      <c r="I94" s="27"/>
      <c r="K94" s="25"/>
      <c r="L94" s="26"/>
    </row>
    <row r="95" spans="1:12">
      <c r="A95" s="268">
        <v>56</v>
      </c>
      <c r="B95" s="132">
        <v>11.1976</v>
      </c>
      <c r="C95" s="19" t="e">
        <f t="shared" si="0"/>
        <v>#REF!</v>
      </c>
      <c r="F95" s="25"/>
      <c r="H95" s="27"/>
      <c r="I95" s="27"/>
      <c r="K95" s="25"/>
      <c r="L95" s="26"/>
    </row>
    <row r="96" spans="1:12">
      <c r="A96" s="268">
        <v>55</v>
      </c>
      <c r="B96" s="132">
        <v>11.2301</v>
      </c>
      <c r="C96" s="19" t="e">
        <f t="shared" si="0"/>
        <v>#REF!</v>
      </c>
      <c r="F96" s="25"/>
      <c r="H96" s="27"/>
      <c r="I96" s="27"/>
      <c r="K96" s="25"/>
      <c r="L96" s="26"/>
    </row>
    <row r="97" spans="1:12">
      <c r="A97" s="268">
        <v>54</v>
      </c>
      <c r="B97" s="132">
        <v>11.238099999999999</v>
      </c>
      <c r="C97" s="19" t="e">
        <f t="shared" si="0"/>
        <v>#REF!</v>
      </c>
      <c r="F97" s="25"/>
      <c r="H97" s="27"/>
      <c r="I97" s="27"/>
      <c r="K97" s="25"/>
      <c r="L97" s="26"/>
    </row>
    <row r="98" spans="1:12">
      <c r="A98" s="268">
        <v>53</v>
      </c>
      <c r="B98" s="132">
        <v>11.261900000000001</v>
      </c>
      <c r="C98" s="19" t="e">
        <f t="shared" si="0"/>
        <v>#REF!</v>
      </c>
      <c r="F98" s="25"/>
      <c r="H98" s="27"/>
      <c r="I98" s="27"/>
      <c r="K98" s="25"/>
      <c r="L98" s="26"/>
    </row>
    <row r="99" spans="1:12">
      <c r="A99" s="268">
        <v>52</v>
      </c>
      <c r="B99" s="132">
        <v>11.272399999999999</v>
      </c>
      <c r="C99" s="19" t="e">
        <f t="shared" si="0"/>
        <v>#REF!</v>
      </c>
      <c r="F99" s="25"/>
      <c r="H99" s="27"/>
      <c r="I99" s="27"/>
      <c r="K99" s="25"/>
      <c r="L99" s="26"/>
    </row>
    <row r="100" spans="1:12">
      <c r="A100" s="268">
        <v>51</v>
      </c>
      <c r="B100" s="132">
        <v>11.297599999999999</v>
      </c>
      <c r="C100" s="19" t="e">
        <f t="shared" si="0"/>
        <v>#REF!</v>
      </c>
      <c r="F100" s="25"/>
      <c r="H100" s="27"/>
      <c r="I100" s="27"/>
      <c r="K100" s="25"/>
      <c r="L100" s="26"/>
    </row>
    <row r="101" spans="1:12">
      <c r="A101" s="268">
        <v>50</v>
      </c>
      <c r="B101" s="132">
        <v>11.302</v>
      </c>
      <c r="C101" s="19" t="e">
        <f t="shared" si="0"/>
        <v>#REF!</v>
      </c>
      <c r="F101" s="25"/>
      <c r="H101" s="27"/>
      <c r="I101" s="27"/>
      <c r="K101" s="25"/>
      <c r="L101" s="26"/>
    </row>
    <row r="102" spans="1:12">
      <c r="A102" s="268">
        <v>49</v>
      </c>
      <c r="B102" s="132">
        <v>11.3027</v>
      </c>
      <c r="C102" s="19" t="e">
        <f t="shared" si="0"/>
        <v>#REF!</v>
      </c>
      <c r="F102" s="25"/>
      <c r="H102" s="27"/>
      <c r="I102" s="27"/>
      <c r="K102" s="25"/>
      <c r="L102" s="26"/>
    </row>
    <row r="103" spans="1:12">
      <c r="A103" s="268">
        <v>48</v>
      </c>
      <c r="B103" s="132">
        <v>11.3279</v>
      </c>
      <c r="C103" s="19" t="e">
        <f t="shared" si="0"/>
        <v>#REF!</v>
      </c>
      <c r="F103" s="25"/>
      <c r="H103" s="27"/>
      <c r="I103" s="27"/>
      <c r="K103" s="25"/>
      <c r="L103" s="26"/>
    </row>
    <row r="104" spans="1:12">
      <c r="A104" s="268">
        <v>47</v>
      </c>
      <c r="B104" s="132">
        <v>11.332800000000001</v>
      </c>
      <c r="C104" s="19" t="e">
        <f t="shared" si="0"/>
        <v>#REF!</v>
      </c>
      <c r="F104" s="25"/>
      <c r="H104" s="27"/>
      <c r="I104" s="27"/>
      <c r="K104" s="25"/>
      <c r="L104" s="26"/>
    </row>
    <row r="105" spans="1:12">
      <c r="A105" s="268">
        <v>46</v>
      </c>
      <c r="B105" s="132">
        <v>11.337</v>
      </c>
      <c r="C105" s="19" t="e">
        <f t="shared" si="0"/>
        <v>#REF!</v>
      </c>
      <c r="F105" s="25"/>
      <c r="H105" s="14"/>
      <c r="I105" s="14"/>
      <c r="K105" s="25"/>
      <c r="L105" s="8"/>
    </row>
    <row r="106" spans="1:12">
      <c r="A106" s="268">
        <v>45</v>
      </c>
      <c r="B106" s="132">
        <v>11.343999999999999</v>
      </c>
      <c r="C106" s="19" t="e">
        <f t="shared" si="0"/>
        <v>#REF!</v>
      </c>
    </row>
    <row r="107" spans="1:12">
      <c r="A107" s="268">
        <v>44</v>
      </c>
      <c r="B107" s="132">
        <v>11.349600000000001</v>
      </c>
      <c r="C107" s="19" t="e">
        <f t="shared" si="0"/>
        <v>#REF!</v>
      </c>
    </row>
    <row r="108" spans="1:12">
      <c r="A108" s="268">
        <v>43</v>
      </c>
      <c r="B108" s="132">
        <v>11.3588</v>
      </c>
      <c r="C108" s="19" t="e">
        <f t="shared" si="0"/>
        <v>#REF!</v>
      </c>
    </row>
    <row r="109" spans="1:12">
      <c r="A109" s="268">
        <v>42</v>
      </c>
      <c r="B109" s="132">
        <v>11.3714</v>
      </c>
      <c r="C109" s="19" t="e">
        <f t="shared" si="0"/>
        <v>#REF!</v>
      </c>
    </row>
    <row r="110" spans="1:12">
      <c r="A110" s="268">
        <v>41</v>
      </c>
      <c r="B110" s="132">
        <v>11.379300000000001</v>
      </c>
      <c r="C110" s="19" t="e">
        <f t="shared" si="0"/>
        <v>#REF!</v>
      </c>
    </row>
    <row r="111" spans="1:12">
      <c r="A111" s="268">
        <v>40</v>
      </c>
      <c r="B111" s="132">
        <v>11.386100000000001</v>
      </c>
      <c r="C111" s="19" t="e">
        <f t="shared" si="0"/>
        <v>#REF!</v>
      </c>
    </row>
    <row r="112" spans="1:12">
      <c r="A112" s="268">
        <v>39</v>
      </c>
      <c r="B112" s="132">
        <v>11.391299999999999</v>
      </c>
      <c r="C112" s="19" t="e">
        <f t="shared" si="0"/>
        <v>#REF!</v>
      </c>
    </row>
    <row r="113" spans="1:3">
      <c r="A113" s="268">
        <v>38</v>
      </c>
      <c r="B113" s="132">
        <v>11.3954</v>
      </c>
      <c r="C113" s="19" t="e">
        <f t="shared" si="0"/>
        <v>#REF!</v>
      </c>
    </row>
    <row r="114" spans="1:3">
      <c r="A114" s="268">
        <v>37</v>
      </c>
      <c r="B114" s="132">
        <v>11.414199999999999</v>
      </c>
      <c r="C114" s="19" t="e">
        <f t="shared" si="0"/>
        <v>#REF!</v>
      </c>
    </row>
    <row r="115" spans="1:3">
      <c r="A115" s="268">
        <v>36</v>
      </c>
      <c r="B115" s="132">
        <v>11.428000000000001</v>
      </c>
      <c r="C115" s="19" t="e">
        <f t="shared" si="0"/>
        <v>#REF!</v>
      </c>
    </row>
    <row r="116" spans="1:3">
      <c r="A116" s="268">
        <v>35</v>
      </c>
      <c r="B116" s="132">
        <v>11.4427</v>
      </c>
      <c r="C116" s="19" t="e">
        <f t="shared" si="0"/>
        <v>#REF!</v>
      </c>
    </row>
    <row r="117" spans="1:3">
      <c r="A117" s="268">
        <v>34</v>
      </c>
      <c r="B117" s="132">
        <v>11.4482</v>
      </c>
      <c r="C117" s="19" t="e">
        <f t="shared" si="0"/>
        <v>#REF!</v>
      </c>
    </row>
    <row r="118" spans="1:3">
      <c r="A118" s="268">
        <v>33</v>
      </c>
      <c r="B118" s="132">
        <v>11.4499</v>
      </c>
      <c r="C118" s="19" t="e">
        <f t="shared" ref="C118:C150" si="1">+(B118*$J$17)</f>
        <v>#REF!</v>
      </c>
    </row>
    <row r="119" spans="1:3">
      <c r="A119" s="268">
        <v>32</v>
      </c>
      <c r="B119" s="132">
        <v>11.454800000000001</v>
      </c>
      <c r="C119" s="19" t="e">
        <f t="shared" si="1"/>
        <v>#REF!</v>
      </c>
    </row>
    <row r="120" spans="1:3">
      <c r="A120" s="268">
        <v>31</v>
      </c>
      <c r="B120" s="132">
        <v>11.469900000000001</v>
      </c>
      <c r="C120" s="19" t="e">
        <f t="shared" si="1"/>
        <v>#REF!</v>
      </c>
    </row>
    <row r="121" spans="1:3">
      <c r="A121" s="268">
        <v>30</v>
      </c>
      <c r="B121" s="132">
        <v>11.4771</v>
      </c>
      <c r="C121" s="19" t="e">
        <f t="shared" si="1"/>
        <v>#REF!</v>
      </c>
    </row>
    <row r="122" spans="1:3">
      <c r="A122" s="268">
        <v>29</v>
      </c>
      <c r="B122" s="132">
        <v>11.482100000000001</v>
      </c>
      <c r="C122" s="19" t="e">
        <f t="shared" si="1"/>
        <v>#REF!</v>
      </c>
    </row>
    <row r="123" spans="1:3">
      <c r="A123" s="268">
        <v>28</v>
      </c>
      <c r="B123" s="132">
        <v>11.484</v>
      </c>
      <c r="C123" s="19" t="e">
        <f t="shared" si="1"/>
        <v>#REF!</v>
      </c>
    </row>
    <row r="124" spans="1:3">
      <c r="A124" s="268">
        <v>27</v>
      </c>
      <c r="B124" s="132">
        <v>11.503399999999999</v>
      </c>
      <c r="C124" s="19" t="e">
        <f t="shared" si="1"/>
        <v>#REF!</v>
      </c>
    </row>
    <row r="125" spans="1:3">
      <c r="A125" s="268">
        <v>26</v>
      </c>
      <c r="B125" s="132">
        <v>11.504899999999999</v>
      </c>
      <c r="C125" s="19" t="e">
        <f t="shared" si="1"/>
        <v>#REF!</v>
      </c>
    </row>
    <row r="126" spans="1:3">
      <c r="A126" s="268">
        <v>25</v>
      </c>
      <c r="B126" s="132">
        <v>11.526300000000001</v>
      </c>
      <c r="C126" s="19" t="e">
        <f t="shared" si="1"/>
        <v>#REF!</v>
      </c>
    </row>
    <row r="127" spans="1:3">
      <c r="A127" s="268">
        <v>24</v>
      </c>
      <c r="B127" s="132">
        <v>11.554399999999999</v>
      </c>
      <c r="C127" s="19" t="e">
        <f t="shared" si="1"/>
        <v>#REF!</v>
      </c>
    </row>
    <row r="128" spans="1:3">
      <c r="A128" s="268">
        <v>23</v>
      </c>
      <c r="B128" s="132">
        <v>11.563599999999999</v>
      </c>
      <c r="C128" s="19" t="e">
        <f t="shared" si="1"/>
        <v>#REF!</v>
      </c>
    </row>
    <row r="129" spans="1:3">
      <c r="A129" s="268">
        <v>22</v>
      </c>
      <c r="B129" s="132">
        <v>11.565200000000001</v>
      </c>
      <c r="C129" s="19" t="e">
        <f t="shared" si="1"/>
        <v>#REF!</v>
      </c>
    </row>
    <row r="130" spans="1:3">
      <c r="A130" s="268">
        <v>21</v>
      </c>
      <c r="B130" s="132">
        <v>11.5938</v>
      </c>
      <c r="C130" s="19" t="e">
        <f t="shared" si="1"/>
        <v>#REF!</v>
      </c>
    </row>
    <row r="131" spans="1:3">
      <c r="A131" s="268">
        <v>20</v>
      </c>
      <c r="B131" s="132">
        <v>11.599399999999999</v>
      </c>
      <c r="C131" s="19" t="e">
        <f t="shared" si="1"/>
        <v>#REF!</v>
      </c>
    </row>
    <row r="132" spans="1:3">
      <c r="A132" s="268">
        <v>19</v>
      </c>
      <c r="B132" s="132">
        <v>11.609299999999999</v>
      </c>
      <c r="C132" s="19" t="e">
        <f t="shared" si="1"/>
        <v>#REF!</v>
      </c>
    </row>
    <row r="133" spans="1:3">
      <c r="A133" s="268">
        <v>18</v>
      </c>
      <c r="B133" s="132">
        <v>11.6181</v>
      </c>
      <c r="C133" s="19" t="e">
        <f t="shared" si="1"/>
        <v>#REF!</v>
      </c>
    </row>
    <row r="134" spans="1:3">
      <c r="A134" s="268">
        <v>17</v>
      </c>
      <c r="B134" s="132">
        <v>11.628500000000001</v>
      </c>
      <c r="C134" s="19" t="e">
        <f t="shared" si="1"/>
        <v>#REF!</v>
      </c>
    </row>
    <row r="135" spans="1:3">
      <c r="A135" s="268">
        <v>16</v>
      </c>
      <c r="B135" s="132">
        <v>11.629799999999999</v>
      </c>
      <c r="C135" s="19" t="e">
        <f t="shared" si="1"/>
        <v>#REF!</v>
      </c>
    </row>
    <row r="136" spans="1:3">
      <c r="A136" s="268">
        <v>15</v>
      </c>
      <c r="B136" s="132">
        <v>11.6335</v>
      </c>
      <c r="C136" s="19" t="e">
        <f t="shared" si="1"/>
        <v>#REF!</v>
      </c>
    </row>
    <row r="137" spans="1:3">
      <c r="A137" s="268">
        <v>14</v>
      </c>
      <c r="B137" s="132">
        <v>11.6473</v>
      </c>
      <c r="C137" s="19" t="e">
        <f t="shared" si="1"/>
        <v>#REF!</v>
      </c>
    </row>
    <row r="138" spans="1:3">
      <c r="A138" s="268">
        <v>13</v>
      </c>
      <c r="B138" s="132">
        <v>11.6615</v>
      </c>
      <c r="C138" s="19" t="e">
        <f t="shared" si="1"/>
        <v>#REF!</v>
      </c>
    </row>
    <row r="139" spans="1:3">
      <c r="A139" s="268">
        <v>12</v>
      </c>
      <c r="B139" s="132">
        <v>11.685700000000001</v>
      </c>
      <c r="C139" s="19" t="e">
        <f t="shared" si="1"/>
        <v>#REF!</v>
      </c>
    </row>
    <row r="140" spans="1:3">
      <c r="A140" s="268">
        <v>11</v>
      </c>
      <c r="B140" s="132">
        <v>11.6906</v>
      </c>
      <c r="C140" s="19" t="e">
        <f t="shared" si="1"/>
        <v>#REF!</v>
      </c>
    </row>
    <row r="141" spans="1:3">
      <c r="A141" s="268">
        <v>10</v>
      </c>
      <c r="B141" s="132">
        <v>11.7051</v>
      </c>
      <c r="C141" s="19" t="e">
        <f t="shared" si="1"/>
        <v>#REF!</v>
      </c>
    </row>
    <row r="142" spans="1:3">
      <c r="A142" s="268">
        <v>9</v>
      </c>
      <c r="B142" s="132">
        <v>11.721299999999999</v>
      </c>
      <c r="C142" s="19" t="e">
        <f t="shared" si="1"/>
        <v>#REF!</v>
      </c>
    </row>
    <row r="143" spans="1:3">
      <c r="A143" s="268">
        <v>8</v>
      </c>
      <c r="B143" s="132">
        <v>11.747299999999999</v>
      </c>
      <c r="C143" s="19" t="e">
        <f t="shared" si="1"/>
        <v>#REF!</v>
      </c>
    </row>
    <row r="144" spans="1:3">
      <c r="A144" s="268">
        <v>7</v>
      </c>
      <c r="B144" s="132">
        <v>11.766400000000001</v>
      </c>
      <c r="C144" s="19" t="e">
        <f t="shared" si="1"/>
        <v>#REF!</v>
      </c>
    </row>
    <row r="145" spans="1:3">
      <c r="A145" s="268">
        <v>6</v>
      </c>
      <c r="B145" s="132">
        <v>11.794700000000001</v>
      </c>
      <c r="C145" s="19" t="e">
        <f t="shared" si="1"/>
        <v>#REF!</v>
      </c>
    </row>
    <row r="146" spans="1:3">
      <c r="A146" s="268">
        <v>5</v>
      </c>
      <c r="B146" s="132">
        <v>11.801399999999999</v>
      </c>
      <c r="C146" s="19" t="e">
        <f t="shared" si="1"/>
        <v>#REF!</v>
      </c>
    </row>
    <row r="147" spans="1:3">
      <c r="A147" s="268">
        <v>4</v>
      </c>
      <c r="B147" s="132">
        <v>11.809200000000001</v>
      </c>
      <c r="C147" s="19" t="e">
        <f t="shared" si="1"/>
        <v>#REF!</v>
      </c>
    </row>
    <row r="148" spans="1:3">
      <c r="A148" s="268">
        <v>3</v>
      </c>
      <c r="B148" s="132">
        <v>11.8416</v>
      </c>
      <c r="C148" s="19" t="e">
        <f t="shared" si="1"/>
        <v>#REF!</v>
      </c>
    </row>
    <row r="149" spans="1:3">
      <c r="A149" s="268">
        <v>2</v>
      </c>
      <c r="B149" s="132">
        <v>11.857200000000001</v>
      </c>
      <c r="C149" s="19" t="e">
        <f t="shared" si="1"/>
        <v>#REF!</v>
      </c>
    </row>
    <row r="150" spans="1:3" ht="13.5" thickBot="1">
      <c r="A150" s="268">
        <v>1</v>
      </c>
      <c r="B150" s="141">
        <v>11.9504</v>
      </c>
      <c r="C150" s="19" t="e">
        <f t="shared" si="1"/>
        <v>#REF!</v>
      </c>
    </row>
    <row r="214" spans="3:29">
      <c r="D214">
        <v>10.1785</v>
      </c>
      <c r="E214">
        <v>10.294499999999999</v>
      </c>
      <c r="F214">
        <v>10.511799999999999</v>
      </c>
      <c r="G214">
        <v>10.541</v>
      </c>
      <c r="H214">
        <v>10.557</v>
      </c>
      <c r="I214">
        <v>10.5913</v>
      </c>
      <c r="J214">
        <v>10.615600000000001</v>
      </c>
      <c r="K214">
        <v>10.6668</v>
      </c>
      <c r="L214">
        <v>10.696400000000001</v>
      </c>
      <c r="M214">
        <v>10.766500000000001</v>
      </c>
      <c r="N214">
        <v>10.7783</v>
      </c>
      <c r="O214">
        <v>10.807</v>
      </c>
      <c r="P214">
        <v>10.8187</v>
      </c>
      <c r="Q214">
        <v>10.8301</v>
      </c>
      <c r="R214">
        <v>10.848599999999999</v>
      </c>
      <c r="S214">
        <v>10.8575</v>
      </c>
      <c r="U214">
        <v>10.861800000000001</v>
      </c>
      <c r="V214">
        <v>10.8934</v>
      </c>
      <c r="W214">
        <v>10.904400000000001</v>
      </c>
      <c r="X214">
        <v>10.9231</v>
      </c>
      <c r="Y214">
        <v>10.943899999999999</v>
      </c>
      <c r="Z214">
        <v>10.962400000000001</v>
      </c>
      <c r="AA214">
        <v>10.972300000000001</v>
      </c>
      <c r="AB214">
        <v>11.0154</v>
      </c>
      <c r="AC214">
        <v>11.021599999999999</v>
      </c>
    </row>
    <row r="215" spans="3:29">
      <c r="D215">
        <v>11.0238</v>
      </c>
      <c r="E215">
        <v>11.043699999999999</v>
      </c>
      <c r="F215">
        <v>11.0555</v>
      </c>
      <c r="G215">
        <v>11.059200000000001</v>
      </c>
      <c r="H215">
        <v>11.068199999999999</v>
      </c>
      <c r="I215">
        <v>11.0939</v>
      </c>
      <c r="J215">
        <v>11.1029</v>
      </c>
      <c r="K215">
        <v>11.1143</v>
      </c>
      <c r="L215">
        <v>11.117100000000001</v>
      </c>
      <c r="M215">
        <v>11.139099999999999</v>
      </c>
      <c r="N215">
        <v>11.148</v>
      </c>
      <c r="O215">
        <v>11.1523</v>
      </c>
      <c r="P215">
        <v>11.155200000000001</v>
      </c>
      <c r="Q215">
        <v>11.16</v>
      </c>
      <c r="R215">
        <v>11.1669</v>
      </c>
      <c r="S215">
        <v>11.175599999999999</v>
      </c>
      <c r="U215">
        <v>11.181800000000001</v>
      </c>
      <c r="V215">
        <v>11.195</v>
      </c>
      <c r="W215">
        <v>11.1976</v>
      </c>
      <c r="X215">
        <v>11.2301</v>
      </c>
      <c r="Y215">
        <v>11.238099999999999</v>
      </c>
      <c r="Z215">
        <v>11.261900000000001</v>
      </c>
      <c r="AA215">
        <v>11.272399999999999</v>
      </c>
      <c r="AB215">
        <v>11.297599999999999</v>
      </c>
      <c r="AC215">
        <v>11.302</v>
      </c>
    </row>
    <row r="216" spans="3:29">
      <c r="D216">
        <v>11.3027</v>
      </c>
      <c r="E216">
        <v>11.3279</v>
      </c>
      <c r="F216">
        <v>11.332800000000001</v>
      </c>
      <c r="G216">
        <v>11.337</v>
      </c>
      <c r="H216">
        <v>11.343999999999999</v>
      </c>
      <c r="I216">
        <v>11.349600000000001</v>
      </c>
      <c r="J216">
        <v>11.3588</v>
      </c>
      <c r="K216">
        <v>11.3714</v>
      </c>
      <c r="L216">
        <v>11.379300000000001</v>
      </c>
      <c r="M216">
        <v>11.391299999999999</v>
      </c>
      <c r="N216">
        <v>11.3954</v>
      </c>
      <c r="O216">
        <v>11.414199999999999</v>
      </c>
      <c r="P216">
        <v>11.428000000000001</v>
      </c>
      <c r="Q216">
        <v>11.4427</v>
      </c>
      <c r="R216">
        <v>11.4482</v>
      </c>
      <c r="S216">
        <v>11.4499</v>
      </c>
      <c r="U216">
        <v>11.454800000000001</v>
      </c>
      <c r="V216">
        <v>11.469900000000001</v>
      </c>
      <c r="W216">
        <v>11.4771</v>
      </c>
      <c r="X216">
        <v>11.482100000000001</v>
      </c>
      <c r="Y216">
        <v>11.484</v>
      </c>
      <c r="Z216">
        <v>11.503399999999999</v>
      </c>
      <c r="AA216">
        <v>11.504899999999999</v>
      </c>
      <c r="AB216">
        <v>11.526300000000001</v>
      </c>
      <c r="AC216">
        <v>11.554399999999999</v>
      </c>
    </row>
    <row r="217" spans="3:29">
      <c r="D217">
        <v>11.563599999999999</v>
      </c>
      <c r="E217">
        <v>11.565200000000001</v>
      </c>
      <c r="F217">
        <v>11.5938</v>
      </c>
      <c r="G217">
        <v>11.599399999999999</v>
      </c>
      <c r="H217">
        <v>11.609299999999999</v>
      </c>
      <c r="I217">
        <v>11.6181</v>
      </c>
      <c r="J217">
        <v>11.628500000000001</v>
      </c>
      <c r="K217">
        <v>11.629799999999999</v>
      </c>
      <c r="L217">
        <v>11.6335</v>
      </c>
      <c r="M217">
        <v>11.6615</v>
      </c>
      <c r="N217">
        <v>11.685700000000001</v>
      </c>
      <c r="O217">
        <v>11.6906</v>
      </c>
      <c r="P217">
        <v>11.7051</v>
      </c>
      <c r="Q217">
        <v>11.721299999999999</v>
      </c>
      <c r="R217">
        <v>11.747299999999999</v>
      </c>
      <c r="S217">
        <v>11.766400000000001</v>
      </c>
      <c r="U217">
        <v>11.794700000000001</v>
      </c>
      <c r="V217">
        <v>11.801399999999999</v>
      </c>
      <c r="W217">
        <v>11.809200000000001</v>
      </c>
      <c r="X217">
        <v>11.8416</v>
      </c>
      <c r="Y217">
        <v>11.857200000000001</v>
      </c>
      <c r="Z217">
        <v>11.9504</v>
      </c>
    </row>
    <row r="221" spans="3:29">
      <c r="C221">
        <v>100</v>
      </c>
      <c r="D221">
        <v>10.294499999999999</v>
      </c>
    </row>
    <row r="222" spans="3:29">
      <c r="C222">
        <v>99</v>
      </c>
      <c r="D222">
        <v>10.511799999999999</v>
      </c>
    </row>
    <row r="223" spans="3:29">
      <c r="C223">
        <v>98</v>
      </c>
      <c r="D223">
        <v>10.541</v>
      </c>
    </row>
    <row r="224" spans="3:29">
      <c r="C224">
        <v>97</v>
      </c>
      <c r="D224">
        <v>10.557</v>
      </c>
    </row>
    <row r="225" spans="3:4">
      <c r="C225">
        <v>96</v>
      </c>
      <c r="D225">
        <v>10.5913</v>
      </c>
    </row>
    <row r="226" spans="3:4">
      <c r="C226">
        <v>95</v>
      </c>
      <c r="D226">
        <v>10.615600000000001</v>
      </c>
    </row>
    <row r="227" spans="3:4">
      <c r="C227">
        <v>94</v>
      </c>
      <c r="D227">
        <v>10.6668</v>
      </c>
    </row>
    <row r="228" spans="3:4">
      <c r="C228">
        <v>93</v>
      </c>
      <c r="D228">
        <v>10.696400000000001</v>
      </c>
    </row>
    <row r="229" spans="3:4">
      <c r="C229">
        <v>92</v>
      </c>
      <c r="D229">
        <v>10.710900000000001</v>
      </c>
    </row>
    <row r="230" spans="3:4">
      <c r="C230">
        <v>91</v>
      </c>
      <c r="D230">
        <v>10.766500000000001</v>
      </c>
    </row>
    <row r="231" spans="3:4">
      <c r="C231">
        <v>90</v>
      </c>
      <c r="D231">
        <v>10.7783</v>
      </c>
    </row>
    <row r="232" spans="3:4">
      <c r="C232">
        <v>89</v>
      </c>
      <c r="D232">
        <v>10.807</v>
      </c>
    </row>
    <row r="233" spans="3:4">
      <c r="C233">
        <v>88</v>
      </c>
      <c r="D233">
        <v>10.8187</v>
      </c>
    </row>
    <row r="234" spans="3:4">
      <c r="C234">
        <v>87</v>
      </c>
      <c r="D234">
        <v>10.8301</v>
      </c>
    </row>
    <row r="235" spans="3:4">
      <c r="C235">
        <v>86</v>
      </c>
      <c r="D235">
        <v>10.848599999999999</v>
      </c>
    </row>
    <row r="236" spans="3:4">
      <c r="C236">
        <v>85</v>
      </c>
      <c r="D236">
        <v>10.8575</v>
      </c>
    </row>
    <row r="237" spans="3:4">
      <c r="C237">
        <v>84</v>
      </c>
      <c r="D237">
        <v>10.861800000000001</v>
      </c>
    </row>
    <row r="238" spans="3:4">
      <c r="C238">
        <v>83</v>
      </c>
      <c r="D238">
        <v>10.8934</v>
      </c>
    </row>
    <row r="239" spans="3:4">
      <c r="C239">
        <v>82</v>
      </c>
      <c r="D239">
        <v>10.904400000000001</v>
      </c>
    </row>
    <row r="240" spans="3:4">
      <c r="C240">
        <v>81</v>
      </c>
      <c r="D240">
        <v>10.9231</v>
      </c>
    </row>
    <row r="241" spans="3:4">
      <c r="C241">
        <v>80</v>
      </c>
      <c r="D241">
        <v>10.943899999999999</v>
      </c>
    </row>
    <row r="242" spans="3:4">
      <c r="C242">
        <v>79</v>
      </c>
      <c r="D242">
        <v>10.962400000000001</v>
      </c>
    </row>
    <row r="243" spans="3:4">
      <c r="C243">
        <v>78</v>
      </c>
      <c r="D243">
        <v>10.972300000000001</v>
      </c>
    </row>
    <row r="244" spans="3:4">
      <c r="C244">
        <v>77</v>
      </c>
      <c r="D244">
        <v>11.0154</v>
      </c>
    </row>
    <row r="245" spans="3:4">
      <c r="C245">
        <v>76</v>
      </c>
      <c r="D245">
        <v>11.021599999999999</v>
      </c>
    </row>
    <row r="246" spans="3:4">
      <c r="C246">
        <v>75</v>
      </c>
      <c r="D246">
        <v>11.0238</v>
      </c>
    </row>
    <row r="247" spans="3:4">
      <c r="C247">
        <v>74</v>
      </c>
      <c r="D247">
        <v>11.043699999999999</v>
      </c>
    </row>
    <row r="248" spans="3:4">
      <c r="C248">
        <v>73</v>
      </c>
      <c r="D248">
        <v>11.0555</v>
      </c>
    </row>
    <row r="249" spans="3:4">
      <c r="C249">
        <v>72</v>
      </c>
      <c r="D249">
        <v>11.059200000000001</v>
      </c>
    </row>
    <row r="250" spans="3:4">
      <c r="C250">
        <v>71</v>
      </c>
      <c r="D250">
        <v>11.068199999999999</v>
      </c>
    </row>
    <row r="251" spans="3:4">
      <c r="C251">
        <v>70</v>
      </c>
      <c r="D251">
        <v>11.0939</v>
      </c>
    </row>
    <row r="252" spans="3:4">
      <c r="C252">
        <v>69</v>
      </c>
      <c r="D252">
        <v>11.1029</v>
      </c>
    </row>
    <row r="253" spans="3:4">
      <c r="C253">
        <v>68</v>
      </c>
      <c r="D253">
        <v>11.1143</v>
      </c>
    </row>
    <row r="254" spans="3:4">
      <c r="C254">
        <v>67</v>
      </c>
      <c r="D254">
        <v>11.117100000000001</v>
      </c>
    </row>
    <row r="255" spans="3:4">
      <c r="C255">
        <v>66</v>
      </c>
      <c r="D255">
        <v>11.1279</v>
      </c>
    </row>
    <row r="256" spans="3:4">
      <c r="C256">
        <v>65</v>
      </c>
      <c r="D256">
        <v>11.139099999999999</v>
      </c>
    </row>
    <row r="257" spans="3:4">
      <c r="C257">
        <v>64</v>
      </c>
      <c r="D257">
        <v>11.148</v>
      </c>
    </row>
    <row r="258" spans="3:4">
      <c r="C258">
        <v>63</v>
      </c>
      <c r="D258">
        <v>11.1523</v>
      </c>
    </row>
    <row r="259" spans="3:4">
      <c r="C259">
        <v>62</v>
      </c>
      <c r="D259">
        <v>11.155200000000001</v>
      </c>
    </row>
    <row r="260" spans="3:4">
      <c r="C260">
        <v>61</v>
      </c>
      <c r="D260">
        <v>11.16</v>
      </c>
    </row>
    <row r="261" spans="3:4">
      <c r="C261">
        <v>60</v>
      </c>
      <c r="D261">
        <v>11.1669</v>
      </c>
    </row>
    <row r="262" spans="3:4">
      <c r="C262">
        <v>59</v>
      </c>
      <c r="D262">
        <v>11.175599999999999</v>
      </c>
    </row>
    <row r="263" spans="3:4">
      <c r="C263">
        <v>58</v>
      </c>
      <c r="D263">
        <v>11.181800000000001</v>
      </c>
    </row>
    <row r="264" spans="3:4">
      <c r="C264">
        <v>57</v>
      </c>
      <c r="D264">
        <v>11.195</v>
      </c>
    </row>
    <row r="265" spans="3:4">
      <c r="C265">
        <v>56</v>
      </c>
      <c r="D265">
        <v>11.1976</v>
      </c>
    </row>
    <row r="266" spans="3:4">
      <c r="C266">
        <v>55</v>
      </c>
      <c r="D266">
        <v>11.2301</v>
      </c>
    </row>
    <row r="267" spans="3:4">
      <c r="C267">
        <v>54</v>
      </c>
      <c r="D267">
        <v>11.238099999999999</v>
      </c>
    </row>
    <row r="268" spans="3:4">
      <c r="C268">
        <v>53</v>
      </c>
      <c r="D268">
        <v>11.261900000000001</v>
      </c>
    </row>
    <row r="269" spans="3:4">
      <c r="C269">
        <v>52</v>
      </c>
      <c r="D269">
        <v>11.272399999999999</v>
      </c>
    </row>
    <row r="270" spans="3:4">
      <c r="C270">
        <v>51</v>
      </c>
      <c r="D270">
        <v>11.297599999999999</v>
      </c>
    </row>
    <row r="271" spans="3:4">
      <c r="C271">
        <v>50</v>
      </c>
      <c r="D271">
        <v>11.302</v>
      </c>
    </row>
    <row r="272" spans="3:4">
      <c r="C272">
        <v>49</v>
      </c>
      <c r="D272">
        <v>11.3027</v>
      </c>
    </row>
    <row r="273" spans="3:4">
      <c r="C273">
        <v>48</v>
      </c>
      <c r="D273">
        <v>11.3279</v>
      </c>
    </row>
    <row r="274" spans="3:4">
      <c r="C274">
        <v>47</v>
      </c>
      <c r="D274">
        <v>11.332800000000001</v>
      </c>
    </row>
    <row r="275" spans="3:4">
      <c r="C275">
        <v>46</v>
      </c>
      <c r="D275">
        <v>11.337</v>
      </c>
    </row>
    <row r="276" spans="3:4">
      <c r="C276">
        <v>45</v>
      </c>
      <c r="D276">
        <v>11.343999999999999</v>
      </c>
    </row>
    <row r="277" spans="3:4">
      <c r="C277">
        <v>44</v>
      </c>
      <c r="D277">
        <v>11.349600000000001</v>
      </c>
    </row>
    <row r="278" spans="3:4">
      <c r="C278">
        <v>43</v>
      </c>
      <c r="D278">
        <v>11.3588</v>
      </c>
    </row>
    <row r="279" spans="3:4">
      <c r="C279">
        <v>42</v>
      </c>
      <c r="D279">
        <v>11.3714</v>
      </c>
    </row>
    <row r="280" spans="3:4">
      <c r="C280">
        <v>41</v>
      </c>
      <c r="D280">
        <v>11.379300000000001</v>
      </c>
    </row>
    <row r="281" spans="3:4">
      <c r="C281">
        <v>40</v>
      </c>
      <c r="D281">
        <v>11.386100000000001</v>
      </c>
    </row>
    <row r="282" spans="3:4">
      <c r="C282">
        <v>39</v>
      </c>
      <c r="D282">
        <v>11.391299999999999</v>
      </c>
    </row>
    <row r="283" spans="3:4">
      <c r="C283">
        <v>38</v>
      </c>
      <c r="D283">
        <v>11.3954</v>
      </c>
    </row>
    <row r="284" spans="3:4">
      <c r="C284">
        <v>37</v>
      </c>
      <c r="D284">
        <v>11.414199999999999</v>
      </c>
    </row>
    <row r="285" spans="3:4">
      <c r="C285">
        <v>36</v>
      </c>
      <c r="D285">
        <v>11.428000000000001</v>
      </c>
    </row>
    <row r="286" spans="3:4">
      <c r="C286">
        <v>35</v>
      </c>
      <c r="D286">
        <v>11.4427</v>
      </c>
    </row>
    <row r="287" spans="3:4">
      <c r="C287">
        <v>34</v>
      </c>
      <c r="D287">
        <v>11.4482</v>
      </c>
    </row>
    <row r="288" spans="3:4">
      <c r="C288">
        <v>33</v>
      </c>
      <c r="D288">
        <v>11.4499</v>
      </c>
    </row>
    <row r="289" spans="3:4">
      <c r="C289">
        <v>32</v>
      </c>
      <c r="D289">
        <v>11.454800000000001</v>
      </c>
    </row>
    <row r="290" spans="3:4">
      <c r="C290">
        <v>31</v>
      </c>
      <c r="D290">
        <v>11.469900000000001</v>
      </c>
    </row>
    <row r="291" spans="3:4">
      <c r="C291">
        <v>30</v>
      </c>
      <c r="D291">
        <v>11.4771</v>
      </c>
    </row>
    <row r="292" spans="3:4">
      <c r="C292">
        <v>29</v>
      </c>
      <c r="D292">
        <v>11.482100000000001</v>
      </c>
    </row>
    <row r="293" spans="3:4">
      <c r="C293">
        <v>28</v>
      </c>
      <c r="D293">
        <v>11.484</v>
      </c>
    </row>
    <row r="294" spans="3:4">
      <c r="C294">
        <v>27</v>
      </c>
      <c r="D294">
        <v>11.503399999999999</v>
      </c>
    </row>
    <row r="295" spans="3:4">
      <c r="C295">
        <v>26</v>
      </c>
      <c r="D295">
        <v>11.504899999999999</v>
      </c>
    </row>
    <row r="296" spans="3:4">
      <c r="C296">
        <v>25</v>
      </c>
      <c r="D296">
        <v>11.526300000000001</v>
      </c>
    </row>
    <row r="297" spans="3:4">
      <c r="C297">
        <v>24</v>
      </c>
      <c r="D297">
        <v>11.554399999999999</v>
      </c>
    </row>
    <row r="298" spans="3:4">
      <c r="C298">
        <v>23</v>
      </c>
      <c r="D298">
        <v>11.563599999999999</v>
      </c>
    </row>
    <row r="299" spans="3:4">
      <c r="C299">
        <v>22</v>
      </c>
      <c r="D299">
        <v>11.565200000000001</v>
      </c>
    </row>
    <row r="300" spans="3:4">
      <c r="C300">
        <v>21</v>
      </c>
      <c r="D300">
        <v>11.5938</v>
      </c>
    </row>
    <row r="301" spans="3:4">
      <c r="C301">
        <v>20</v>
      </c>
      <c r="D301">
        <v>11.599399999999999</v>
      </c>
    </row>
    <row r="302" spans="3:4">
      <c r="C302">
        <v>19</v>
      </c>
      <c r="D302">
        <v>11.609299999999999</v>
      </c>
    </row>
    <row r="303" spans="3:4">
      <c r="C303">
        <v>18</v>
      </c>
      <c r="D303">
        <v>11.6181</v>
      </c>
    </row>
    <row r="304" spans="3:4">
      <c r="C304">
        <v>17</v>
      </c>
      <c r="D304">
        <v>11.628500000000001</v>
      </c>
    </row>
    <row r="305" spans="3:4">
      <c r="C305">
        <v>16</v>
      </c>
      <c r="D305">
        <v>11.629799999999999</v>
      </c>
    </row>
    <row r="306" spans="3:4">
      <c r="C306">
        <v>15</v>
      </c>
      <c r="D306">
        <v>11.6335</v>
      </c>
    </row>
    <row r="307" spans="3:4">
      <c r="C307">
        <v>14</v>
      </c>
      <c r="D307">
        <v>11.6473</v>
      </c>
    </row>
    <row r="308" spans="3:4">
      <c r="C308">
        <v>13</v>
      </c>
      <c r="D308">
        <v>11.6615</v>
      </c>
    </row>
    <row r="309" spans="3:4">
      <c r="C309">
        <v>12</v>
      </c>
      <c r="D309">
        <v>11.685700000000001</v>
      </c>
    </row>
    <row r="310" spans="3:4">
      <c r="C310">
        <v>11</v>
      </c>
      <c r="D310">
        <v>11.6906</v>
      </c>
    </row>
    <row r="311" spans="3:4">
      <c r="C311">
        <v>10</v>
      </c>
      <c r="D311">
        <v>11.7051</v>
      </c>
    </row>
    <row r="312" spans="3:4">
      <c r="C312">
        <v>9</v>
      </c>
      <c r="D312">
        <v>11.721299999999999</v>
      </c>
    </row>
    <row r="313" spans="3:4">
      <c r="C313">
        <v>8</v>
      </c>
      <c r="D313">
        <v>11.747299999999999</v>
      </c>
    </row>
    <row r="314" spans="3:4">
      <c r="C314">
        <v>7</v>
      </c>
      <c r="D314">
        <v>11.766400000000001</v>
      </c>
    </row>
    <row r="315" spans="3:4">
      <c r="C315">
        <v>6</v>
      </c>
      <c r="D315">
        <v>11.794700000000001</v>
      </c>
    </row>
    <row r="316" spans="3:4">
      <c r="C316">
        <v>5</v>
      </c>
      <c r="D316">
        <v>11.801399999999999</v>
      </c>
    </row>
    <row r="317" spans="3:4">
      <c r="C317">
        <v>4</v>
      </c>
      <c r="D317">
        <v>11.809200000000001</v>
      </c>
    </row>
    <row r="318" spans="3:4">
      <c r="C318">
        <v>3</v>
      </c>
      <c r="D318">
        <v>11.8416</v>
      </c>
    </row>
    <row r="319" spans="3:4">
      <c r="C319">
        <v>2</v>
      </c>
      <c r="D319">
        <v>11.857200000000001</v>
      </c>
    </row>
    <row r="320" spans="3:4">
      <c r="C320">
        <v>1</v>
      </c>
      <c r="D320">
        <v>11.9504</v>
      </c>
    </row>
  </sheetData>
  <mergeCells count="8">
    <mergeCell ref="H56:I56"/>
    <mergeCell ref="K56:L56"/>
    <mergeCell ref="D7:G7"/>
    <mergeCell ref="H7:K7"/>
    <mergeCell ref="H54:I54"/>
    <mergeCell ref="K54:L54"/>
    <mergeCell ref="F49:I49"/>
    <mergeCell ref="K49:L49"/>
  </mergeCells>
  <phoneticPr fontId="0" type="noConversion"/>
  <pageMargins left="0.75" right="0.75" top="1" bottom="1" header="0.5" footer="0.5"/>
  <pageSetup scale="11" orientation="landscape" r:id="rId1"/>
  <headerFooter alignWithMargins="0"/>
  <drawing r:id="rId2"/>
</worksheet>
</file>

<file path=xl/worksheets/sheet26.xml><?xml version="1.0" encoding="utf-8"?>
<worksheet xmlns="http://schemas.openxmlformats.org/spreadsheetml/2006/main" xmlns:r="http://schemas.openxmlformats.org/officeDocument/2006/relationships">
  <sheetPr codeName="Sheet24"/>
  <dimension ref="B2:AM31"/>
  <sheetViews>
    <sheetView topLeftCell="F1" zoomScale="75" workbookViewId="0">
      <selection activeCell="L16" sqref="L16"/>
    </sheetView>
  </sheetViews>
  <sheetFormatPr defaultRowHeight="12.75"/>
  <cols>
    <col min="1" max="9" width="9.140625" style="199"/>
    <col min="10" max="10" width="16.7109375" style="199" customWidth="1"/>
    <col min="11" max="11" width="11.28515625" style="199" customWidth="1"/>
    <col min="12" max="14" width="9.140625" style="199"/>
    <col min="15" max="15" width="11.28515625" style="199" customWidth="1"/>
    <col min="16" max="16384" width="9.140625" style="199"/>
  </cols>
  <sheetData>
    <row r="2" spans="2:39">
      <c r="B2" s="748"/>
      <c r="C2" s="749"/>
      <c r="D2" s="750"/>
      <c r="E2" s="748"/>
      <c r="F2" s="749"/>
      <c r="G2" s="750"/>
      <c r="H2" s="748" t="s">
        <v>1942</v>
      </c>
      <c r="I2" s="749"/>
      <c r="J2" s="749"/>
      <c r="K2" s="750"/>
      <c r="L2" s="748" t="s">
        <v>1943</v>
      </c>
      <c r="M2" s="749"/>
      <c r="N2" s="749"/>
      <c r="O2" s="750"/>
      <c r="P2" s="748" t="s">
        <v>1944</v>
      </c>
      <c r="Q2" s="749"/>
      <c r="R2" s="749"/>
      <c r="S2" s="750"/>
      <c r="T2" s="748" t="s">
        <v>1945</v>
      </c>
      <c r="U2" s="749"/>
      <c r="V2" s="749"/>
      <c r="W2" s="750"/>
      <c r="X2" s="748" t="s">
        <v>1946</v>
      </c>
      <c r="Y2" s="749"/>
      <c r="Z2" s="749"/>
      <c r="AA2" s="750"/>
      <c r="AB2" s="748" t="s">
        <v>1947</v>
      </c>
      <c r="AC2" s="749"/>
      <c r="AD2" s="749"/>
      <c r="AE2" s="750"/>
      <c r="AF2" s="748" t="s">
        <v>1948</v>
      </c>
      <c r="AG2" s="749"/>
      <c r="AH2" s="749"/>
      <c r="AI2" s="750"/>
      <c r="AJ2" s="748" t="s">
        <v>1949</v>
      </c>
      <c r="AK2" s="749"/>
      <c r="AL2" s="749"/>
      <c r="AM2" s="750"/>
    </row>
    <row r="3" spans="2:39">
      <c r="B3" s="200"/>
      <c r="C3" s="201"/>
      <c r="D3" s="202"/>
      <c r="E3" s="200"/>
      <c r="F3" s="201"/>
      <c r="G3" s="201"/>
      <c r="H3" s="200"/>
      <c r="I3" s="201"/>
      <c r="J3" s="201" t="s">
        <v>1950</v>
      </c>
      <c r="K3" s="203" t="s">
        <v>1951</v>
      </c>
      <c r="L3" s="200"/>
      <c r="M3" s="201"/>
      <c r="N3" s="201" t="s">
        <v>1950</v>
      </c>
      <c r="O3" s="203" t="s">
        <v>1951</v>
      </c>
      <c r="P3" s="200"/>
      <c r="Q3" s="201"/>
      <c r="R3" s="201" t="s">
        <v>1950</v>
      </c>
      <c r="S3" s="203" t="s">
        <v>1951</v>
      </c>
      <c r="T3" s="200"/>
      <c r="U3" s="201"/>
      <c r="V3" s="201" t="s">
        <v>1950</v>
      </c>
      <c r="W3" s="203" t="s">
        <v>1951</v>
      </c>
      <c r="X3" s="200"/>
      <c r="Y3" s="201"/>
      <c r="Z3" s="201" t="s">
        <v>1950</v>
      </c>
      <c r="AA3" s="203" t="s">
        <v>1951</v>
      </c>
      <c r="AB3" s="200"/>
      <c r="AC3" s="201"/>
      <c r="AD3" s="201" t="s">
        <v>1952</v>
      </c>
      <c r="AE3" s="203"/>
      <c r="AF3" s="200"/>
      <c r="AG3" s="201" t="s">
        <v>1952</v>
      </c>
      <c r="AH3" s="201"/>
      <c r="AI3" s="203"/>
      <c r="AJ3" s="200"/>
      <c r="AK3" s="201" t="s">
        <v>1952</v>
      </c>
      <c r="AL3" s="201"/>
      <c r="AM3" s="203"/>
    </row>
    <row r="4" spans="2:39" ht="15">
      <c r="B4" s="204"/>
      <c r="C4" s="205"/>
      <c r="D4" s="206"/>
      <c r="E4" s="204"/>
      <c r="F4" s="205"/>
      <c r="G4" s="21"/>
      <c r="H4" s="204">
        <v>2</v>
      </c>
      <c r="I4" s="205" t="str">
        <f ca="1">INDIRECT(ADDRESS($H$4+H5,COLUMN(I$2)))</f>
        <v>kBTU</v>
      </c>
      <c r="J4" s="207">
        <f ca="1">INDIRECT(ADDRESS($H$4+H5,COLUMN(J$2)))</f>
        <v>3.0187573270808912</v>
      </c>
      <c r="K4" s="208">
        <f ca="1">INDIRECT(ADDRESS($H$4+H5,COLUMN(K$2)))</f>
        <v>1</v>
      </c>
      <c r="L4" s="204">
        <v>2</v>
      </c>
      <c r="M4" s="205" t="str">
        <f ca="1">INDIRECT(ADDRESS($L$4+L5,COLUMN(M$2)))</f>
        <v>kBTU</v>
      </c>
      <c r="N4" s="209">
        <f ca="1">INDIRECT(ADDRESS($L$4+L5,COLUMN(N$2)))</f>
        <v>1.024</v>
      </c>
      <c r="O4" s="206">
        <f ca="1">INDIRECT(ADDRESS($L$4+L5,COLUMN(O$2)))</f>
        <v>1</v>
      </c>
      <c r="P4" s="204">
        <v>0</v>
      </c>
      <c r="Q4" s="205">
        <f ca="1">INDIRECT(ADDRESS($P$4+P5,COLUMN(Q$2)))</f>
        <v>0</v>
      </c>
      <c r="R4" s="209">
        <f ca="1">INDIRECT(ADDRESS($P$4+P5,COLUMN(R$2)))</f>
        <v>0</v>
      </c>
      <c r="S4" s="206">
        <f ca="1">INDIRECT(ADDRESS($P$4+P5,COLUMN(S$2)))</f>
        <v>0</v>
      </c>
      <c r="T4" s="204">
        <v>0</v>
      </c>
      <c r="U4" s="205">
        <f ca="1">INDIRECT(ADDRESS($T$4+T5,COLUMN(U$2)))</f>
        <v>0</v>
      </c>
      <c r="V4" s="209">
        <f ca="1">INDIRECT(ADDRESS($T$4+T5,COLUMN(V$2)))</f>
        <v>0</v>
      </c>
      <c r="W4" s="206">
        <f ca="1">INDIRECT(ADDRESS($T$4+T5,COLUMN(W$2)))</f>
        <v>0</v>
      </c>
      <c r="X4" s="204">
        <v>0</v>
      </c>
      <c r="Y4" s="205">
        <f ca="1">INDIRECT(ADDRESS($X$4+X5,COLUMN(Y$2)))</f>
        <v>0</v>
      </c>
      <c r="Z4" s="21">
        <f ca="1">INDIRECT(ADDRESS($X$4+X5,COLUMN(Z$2)))</f>
        <v>0</v>
      </c>
      <c r="AA4" s="206">
        <f ca="1">INDIRECT(ADDRESS($X$4+X5,COLUMN(AA$2)))</f>
        <v>0</v>
      </c>
      <c r="AB4" s="204">
        <v>1</v>
      </c>
      <c r="AC4" s="205" t="str">
        <f ca="1">INDIRECT(ADDRESS($AB$4+AB5,COLUMN(AC$2)))</f>
        <v>Yes</v>
      </c>
      <c r="AD4" s="21">
        <f ca="1">INDIRECT(ADDRESS($AB$4+AB5,COLUMN(AD$2)))</f>
        <v>1</v>
      </c>
      <c r="AE4" s="206"/>
      <c r="AF4" s="204">
        <v>1</v>
      </c>
      <c r="AG4" s="205">
        <f ca="1">INDIRECT(ADDRESS($AF$4+AF5,COLUMN(AG$2)))</f>
        <v>0</v>
      </c>
      <c r="AH4" s="21"/>
      <c r="AI4" s="206"/>
      <c r="AJ4" s="204">
        <v>2</v>
      </c>
      <c r="AK4" s="205">
        <f ca="1">INDIRECT(ADDRESS($AJ$4+AJ5,COLUMN(AK$2)))</f>
        <v>10</v>
      </c>
      <c r="AL4" s="21"/>
      <c r="AM4" s="206"/>
    </row>
    <row r="5" spans="2:39" ht="15">
      <c r="B5" s="210"/>
      <c r="C5" s="23"/>
      <c r="D5" s="211"/>
      <c r="E5" s="210"/>
      <c r="F5" s="23"/>
      <c r="G5" s="24"/>
      <c r="H5" s="210">
        <v>5</v>
      </c>
      <c r="I5" s="23"/>
      <c r="J5" s="24"/>
      <c r="K5" s="211"/>
      <c r="L5" s="210">
        <v>5</v>
      </c>
      <c r="M5" s="23"/>
      <c r="N5" s="24"/>
      <c r="O5" s="211"/>
      <c r="P5" s="210">
        <v>5</v>
      </c>
      <c r="Q5" s="23"/>
      <c r="R5" s="24"/>
      <c r="S5" s="211"/>
      <c r="T5" s="210">
        <v>5</v>
      </c>
      <c r="U5" s="23"/>
      <c r="V5" s="24"/>
      <c r="W5" s="211"/>
      <c r="X5" s="210">
        <v>5</v>
      </c>
      <c r="Y5" s="23"/>
      <c r="Z5" s="212"/>
      <c r="AA5" s="213"/>
      <c r="AB5" s="210">
        <v>5</v>
      </c>
      <c r="AC5" s="23"/>
      <c r="AD5" s="212"/>
      <c r="AE5" s="213"/>
      <c r="AF5" s="210">
        <v>5</v>
      </c>
      <c r="AG5" s="23"/>
      <c r="AH5" s="212"/>
      <c r="AI5" s="213"/>
      <c r="AJ5" s="210">
        <v>5</v>
      </c>
      <c r="AK5" s="23"/>
      <c r="AL5" s="212"/>
      <c r="AM5" s="213"/>
    </row>
    <row r="6" spans="2:39">
      <c r="B6" s="214"/>
      <c r="C6" s="215"/>
      <c r="D6" s="216"/>
      <c r="E6" s="214"/>
      <c r="F6" s="215"/>
      <c r="G6" s="215"/>
      <c r="H6" s="214"/>
      <c r="I6" s="215" t="s">
        <v>125</v>
      </c>
      <c r="J6" s="215">
        <v>10.3</v>
      </c>
      <c r="K6" s="216">
        <v>3.4119999999999999</v>
      </c>
      <c r="L6" s="214"/>
      <c r="M6" s="215" t="s">
        <v>1953</v>
      </c>
      <c r="N6" s="215">
        <f>100*1.024</f>
        <v>102.4</v>
      </c>
      <c r="O6" s="216">
        <v>100</v>
      </c>
      <c r="P6" s="214"/>
      <c r="Q6" s="215" t="s">
        <v>1954</v>
      </c>
      <c r="R6" s="215">
        <v>138.6</v>
      </c>
      <c r="S6" s="216">
        <v>138.6</v>
      </c>
      <c r="T6" s="214"/>
      <c r="U6" s="215" t="s">
        <v>1955</v>
      </c>
      <c r="V6" s="215">
        <f>10.78*1.38</f>
        <v>14.876399999999999</v>
      </c>
      <c r="W6" s="216">
        <v>10.78</v>
      </c>
      <c r="X6" s="214"/>
      <c r="Y6" s="215" t="s">
        <v>1956</v>
      </c>
      <c r="Z6" s="217">
        <v>12000</v>
      </c>
      <c r="AA6" s="218">
        <v>12000</v>
      </c>
      <c r="AB6" s="214"/>
      <c r="AC6" s="215" t="s">
        <v>1554</v>
      </c>
      <c r="AD6" s="217">
        <v>1</v>
      </c>
      <c r="AE6" s="218"/>
      <c r="AF6" s="214"/>
      <c r="AG6" s="215">
        <v>0</v>
      </c>
      <c r="AH6" s="217"/>
      <c r="AI6" s="218"/>
      <c r="AJ6" s="214"/>
      <c r="AK6" s="215">
        <v>9</v>
      </c>
      <c r="AL6" s="217"/>
      <c r="AM6" s="218"/>
    </row>
    <row r="7" spans="2:39">
      <c r="B7" s="219"/>
      <c r="C7" s="220"/>
      <c r="D7" s="221"/>
      <c r="E7" s="219"/>
      <c r="F7" s="220"/>
      <c r="G7" s="220"/>
      <c r="H7" s="219"/>
      <c r="I7" s="220" t="s">
        <v>1957</v>
      </c>
      <c r="J7" s="222">
        <f>+J6/K6</f>
        <v>3.0187573270808912</v>
      </c>
      <c r="K7" s="221">
        <v>1</v>
      </c>
      <c r="L7" s="219"/>
      <c r="M7" s="220" t="s">
        <v>1957</v>
      </c>
      <c r="N7" s="223">
        <v>1.024</v>
      </c>
      <c r="O7" s="221">
        <v>1</v>
      </c>
      <c r="P7" s="219"/>
      <c r="Q7" s="220" t="s">
        <v>1957</v>
      </c>
      <c r="R7" s="224">
        <v>1</v>
      </c>
      <c r="S7" s="221">
        <v>1</v>
      </c>
      <c r="T7" s="219"/>
      <c r="U7" s="220" t="s">
        <v>1957</v>
      </c>
      <c r="V7" s="222">
        <v>1.38</v>
      </c>
      <c r="W7" s="221">
        <v>1</v>
      </c>
      <c r="X7" s="219"/>
      <c r="Y7" s="220" t="s">
        <v>1957</v>
      </c>
      <c r="Z7" s="224">
        <v>1</v>
      </c>
      <c r="AA7" s="225">
        <v>1</v>
      </c>
      <c r="AB7" s="219"/>
      <c r="AC7" s="220" t="s">
        <v>1555</v>
      </c>
      <c r="AD7" s="224">
        <v>0</v>
      </c>
      <c r="AE7" s="225"/>
      <c r="AF7" s="219"/>
      <c r="AG7" s="220">
        <v>10</v>
      </c>
      <c r="AH7" s="224"/>
      <c r="AI7" s="225"/>
      <c r="AJ7" s="219"/>
      <c r="AK7" s="220">
        <v>10</v>
      </c>
      <c r="AL7" s="224"/>
      <c r="AM7" s="225"/>
    </row>
    <row r="8" spans="2:39">
      <c r="AG8" s="226">
        <v>20</v>
      </c>
      <c r="AK8" s="226">
        <v>11</v>
      </c>
    </row>
    <row r="9" spans="2:39">
      <c r="C9" s="227" t="s">
        <v>1958</v>
      </c>
      <c r="D9" s="199">
        <v>131.4</v>
      </c>
      <c r="E9" s="199" t="s">
        <v>1959</v>
      </c>
      <c r="AG9" s="226">
        <v>30</v>
      </c>
      <c r="AK9" s="226">
        <v>12</v>
      </c>
    </row>
    <row r="10" spans="2:39">
      <c r="C10" s="227" t="s">
        <v>1960</v>
      </c>
      <c r="D10" s="199">
        <v>76.3</v>
      </c>
      <c r="E10" s="199" t="s">
        <v>1959</v>
      </c>
      <c r="AG10" s="226">
        <v>40</v>
      </c>
    </row>
    <row r="11" spans="2:39">
      <c r="AG11" s="226">
        <v>50</v>
      </c>
    </row>
    <row r="12" spans="2:39">
      <c r="J12" s="226" t="s">
        <v>1546</v>
      </c>
      <c r="K12" s="226" t="s">
        <v>2257</v>
      </c>
      <c r="L12" s="226" t="s">
        <v>1549</v>
      </c>
      <c r="M12" s="226" t="s">
        <v>2258</v>
      </c>
      <c r="N12" s="226" t="s">
        <v>2259</v>
      </c>
      <c r="O12" s="226" t="s">
        <v>1327</v>
      </c>
      <c r="AG12" s="226">
        <v>60</v>
      </c>
    </row>
    <row r="13" spans="2:39">
      <c r="J13" s="226" t="s">
        <v>2263</v>
      </c>
      <c r="K13" s="226" t="s">
        <v>2263</v>
      </c>
      <c r="L13" s="226" t="s">
        <v>2263</v>
      </c>
      <c r="M13" s="226" t="s">
        <v>2263</v>
      </c>
      <c r="N13" s="226" t="s">
        <v>2263</v>
      </c>
      <c r="O13" s="226" t="s">
        <v>2263</v>
      </c>
      <c r="AG13" s="226">
        <v>70</v>
      </c>
    </row>
    <row r="14" spans="2:39">
      <c r="C14" s="227"/>
      <c r="D14" s="226"/>
      <c r="F14" s="227"/>
      <c r="G14" s="228"/>
      <c r="I14" s="227" t="s">
        <v>1950</v>
      </c>
      <c r="J14" s="229" t="e">
        <f ca="1">+#REF!*'Side Calcs - Proposed'!J4</f>
        <v>#REF!</v>
      </c>
      <c r="K14" s="229" t="e">
        <f ca="1">+#REF!*'Side Calcs - Proposed'!N4</f>
        <v>#REF!</v>
      </c>
      <c r="L14" s="229" t="e">
        <f ca="1">+#REF!*'Side Calcs - Proposed'!R4</f>
        <v>#REF!</v>
      </c>
      <c r="M14" s="229" t="e">
        <f ca="1">+#REF!*'Side Calcs - Proposed'!V4</f>
        <v>#REF!</v>
      </c>
      <c r="N14" s="229" t="e">
        <f ca="1">+#REF!*'Side Calcs - Proposed'!Z4</f>
        <v>#REF!</v>
      </c>
      <c r="O14" s="229" t="e">
        <f ca="1">SUM(J14:N14)</f>
        <v>#REF!</v>
      </c>
      <c r="AG14" s="226">
        <v>80</v>
      </c>
    </row>
    <row r="15" spans="2:39">
      <c r="C15" s="227"/>
      <c r="D15" s="226"/>
      <c r="F15" s="227"/>
      <c r="G15" s="230"/>
      <c r="I15" s="227" t="s">
        <v>1951</v>
      </c>
      <c r="J15" s="229" t="e">
        <f ca="1">+#REF!*'Side Calcs - Proposed'!K4</f>
        <v>#REF!</v>
      </c>
      <c r="K15" s="229" t="e">
        <f ca="1">+#REF!*'Side Calcs - Proposed'!O4</f>
        <v>#REF!</v>
      </c>
      <c r="L15" s="229" t="e">
        <f ca="1">+#REF!*'Side Calcs - Proposed'!S4</f>
        <v>#REF!</v>
      </c>
      <c r="M15" s="229" t="e">
        <f ca="1">+#REF!*'Side Calcs - Proposed'!W4</f>
        <v>#REF!</v>
      </c>
      <c r="N15" s="229" t="e">
        <f ca="1">+#REF!*'Side Calcs - Proposed'!AA4</f>
        <v>#REF!</v>
      </c>
      <c r="O15" s="229" t="e">
        <f ca="1">SUM(J15:N15)</f>
        <v>#REF!</v>
      </c>
      <c r="AG15" s="226">
        <v>90</v>
      </c>
    </row>
    <row r="16" spans="2:39">
      <c r="C16" s="227"/>
      <c r="D16" s="226"/>
      <c r="I16" s="227" t="s">
        <v>1961</v>
      </c>
      <c r="J16" s="231" t="e">
        <f ca="1">+J14/$O$14</f>
        <v>#REF!</v>
      </c>
      <c r="K16" s="231" t="e">
        <f ca="1">+K14/$O$14</f>
        <v>#REF!</v>
      </c>
      <c r="L16" s="230" t="e">
        <f ca="1">+L14/$O$14</f>
        <v>#REF!</v>
      </c>
      <c r="M16" s="230" t="e">
        <f ca="1">+M14/$O$14</f>
        <v>#REF!</v>
      </c>
      <c r="N16" s="230" t="e">
        <f ca="1">+N14/$O$14</f>
        <v>#REF!</v>
      </c>
      <c r="AG16" s="226">
        <v>100</v>
      </c>
    </row>
    <row r="18" spans="3:11">
      <c r="C18" s="227"/>
      <c r="I18" s="232" t="s">
        <v>1962</v>
      </c>
      <c r="J18" s="231" t="e">
        <f ca="1">+J15/(J15+K15)</f>
        <v>#REF!</v>
      </c>
      <c r="K18" s="231" t="e">
        <f ca="1">+K15/(J15+K15)</f>
        <v>#REF!</v>
      </c>
    </row>
    <row r="19" spans="3:11">
      <c r="C19" s="227"/>
    </row>
    <row r="20" spans="3:11">
      <c r="C20" s="227"/>
      <c r="D20" s="233"/>
    </row>
    <row r="21" spans="3:11">
      <c r="C21" s="227"/>
      <c r="D21" s="234"/>
    </row>
    <row r="22" spans="3:11">
      <c r="C22" s="227"/>
      <c r="D22" s="234"/>
    </row>
    <row r="26" spans="3:11">
      <c r="C26" s="227"/>
      <c r="D26" s="230"/>
    </row>
    <row r="27" spans="3:11">
      <c r="C27" s="227"/>
      <c r="D27" s="230"/>
    </row>
    <row r="28" spans="3:11">
      <c r="C28" s="227"/>
      <c r="D28" s="226"/>
    </row>
    <row r="29" spans="3:11">
      <c r="C29" s="227"/>
      <c r="D29" s="235"/>
    </row>
    <row r="30" spans="3:11">
      <c r="C30" s="227"/>
      <c r="D30" s="235"/>
    </row>
    <row r="31" spans="3:11">
      <c r="C31" s="227"/>
      <c r="D31" s="235"/>
    </row>
  </sheetData>
  <mergeCells count="10">
    <mergeCell ref="B2:D2"/>
    <mergeCell ref="P2:S2"/>
    <mergeCell ref="H2:K2"/>
    <mergeCell ref="L2:O2"/>
    <mergeCell ref="E2:G2"/>
    <mergeCell ref="AF2:AI2"/>
    <mergeCell ref="AJ2:AM2"/>
    <mergeCell ref="T2:W2"/>
    <mergeCell ref="X2:AA2"/>
    <mergeCell ref="AB2:AE2"/>
  </mergeCells>
  <phoneticPr fontId="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dimension ref="A1:N44"/>
  <sheetViews>
    <sheetView showGridLines="0" workbookViewId="0">
      <selection activeCell="A3" sqref="A3"/>
    </sheetView>
  </sheetViews>
  <sheetFormatPr defaultRowHeight="12.75"/>
  <cols>
    <col min="1" max="1" width="48.28515625" bestFit="1" customWidth="1"/>
    <col min="2" max="2" width="17.140625" customWidth="1"/>
    <col min="3" max="3" width="9.140625" style="310"/>
    <col min="7" max="7" width="10.28515625" customWidth="1"/>
    <col min="8" max="8" width="24.28515625" customWidth="1"/>
    <col min="9" max="9" width="15.85546875" customWidth="1"/>
    <col min="10" max="10" width="7.42578125" customWidth="1"/>
  </cols>
  <sheetData>
    <row r="1" spans="1:14" ht="39" thickBot="1">
      <c r="A1" s="287" t="s">
        <v>2748</v>
      </c>
      <c r="B1" s="287" t="s">
        <v>2879</v>
      </c>
      <c r="C1" s="287" t="s">
        <v>2880</v>
      </c>
      <c r="D1" s="287" t="s">
        <v>2881</v>
      </c>
      <c r="E1" s="287" t="s">
        <v>2882</v>
      </c>
      <c r="F1" s="294" t="s">
        <v>2915</v>
      </c>
      <c r="G1" s="294" t="s">
        <v>519</v>
      </c>
    </row>
    <row r="2" spans="1:14">
      <c r="A2" s="287"/>
      <c r="B2" s="288"/>
      <c r="C2" s="288"/>
      <c r="D2" s="288"/>
      <c r="E2" s="289"/>
    </row>
    <row r="3" spans="1:14">
      <c r="A3" s="292" t="s">
        <v>2973</v>
      </c>
      <c r="B3" s="316">
        <v>1.1400000000000001E-4</v>
      </c>
      <c r="C3" s="317">
        <v>1.8500000000000001E-3</v>
      </c>
      <c r="D3" s="316">
        <v>1.1400000000000001E-4</v>
      </c>
      <c r="E3" s="317">
        <v>1.1299999999999999E-3</v>
      </c>
      <c r="F3" s="353">
        <v>13</v>
      </c>
      <c r="G3" s="353" t="s">
        <v>2752</v>
      </c>
    </row>
    <row r="4" spans="1:14">
      <c r="A4" s="290" t="s">
        <v>2971</v>
      </c>
      <c r="B4" s="316">
        <v>1.1400000000000001E-4</v>
      </c>
      <c r="C4" s="317">
        <v>1.8500000000000001E-3</v>
      </c>
      <c r="D4" s="316">
        <v>1.1400000000000001E-4</v>
      </c>
      <c r="E4" s="317">
        <v>1.1299999999999999E-3</v>
      </c>
      <c r="F4" s="353">
        <v>14</v>
      </c>
      <c r="G4" s="353" t="s">
        <v>2752</v>
      </c>
      <c r="K4" s="317"/>
      <c r="L4" s="316"/>
      <c r="M4" s="317"/>
      <c r="N4" s="314"/>
    </row>
    <row r="5" spans="1:14" s="310" customFormat="1">
      <c r="A5" s="292" t="s">
        <v>2972</v>
      </c>
      <c r="B5" s="316">
        <v>1.1400000000000001E-4</v>
      </c>
      <c r="C5" s="317">
        <v>1.8500000000000001E-3</v>
      </c>
      <c r="D5" s="316">
        <v>1.1400000000000001E-4</v>
      </c>
      <c r="E5" s="317">
        <v>1.1299999999999999E-3</v>
      </c>
      <c r="F5" s="353">
        <v>15</v>
      </c>
      <c r="G5" s="353" t="s">
        <v>2752</v>
      </c>
      <c r="K5" s="317"/>
      <c r="L5" s="316"/>
      <c r="M5" s="317"/>
      <c r="N5" s="314"/>
    </row>
    <row r="6" spans="1:14">
      <c r="A6" s="290" t="s">
        <v>2977</v>
      </c>
      <c r="B6" s="316">
        <v>1.1400000000000001E-4</v>
      </c>
      <c r="C6" s="317">
        <v>1.8500000000000001E-3</v>
      </c>
      <c r="D6" s="316">
        <v>1.1400000000000001E-4</v>
      </c>
      <c r="E6" s="317">
        <v>1.1299999999999999E-3</v>
      </c>
      <c r="F6" s="353">
        <v>13</v>
      </c>
      <c r="G6" s="353" t="s">
        <v>2870</v>
      </c>
      <c r="H6" s="313"/>
      <c r="I6" s="314"/>
      <c r="J6" s="315"/>
      <c r="K6" s="317"/>
      <c r="L6" s="316"/>
      <c r="M6" s="317"/>
      <c r="N6" s="314"/>
    </row>
    <row r="7" spans="1:14">
      <c r="A7" s="290" t="s">
        <v>2963</v>
      </c>
      <c r="B7" s="316">
        <v>1.1400000000000001E-4</v>
      </c>
      <c r="C7" s="317">
        <v>1.8500000000000001E-3</v>
      </c>
      <c r="D7" s="316">
        <v>1.1400000000000001E-4</v>
      </c>
      <c r="E7" s="317">
        <v>1.1299999999999999E-3</v>
      </c>
      <c r="F7" s="310"/>
      <c r="G7" s="353" t="s">
        <v>2752</v>
      </c>
      <c r="H7" s="313"/>
      <c r="I7" s="314"/>
      <c r="J7" s="318"/>
      <c r="K7" s="317"/>
      <c r="L7" s="316"/>
      <c r="M7" s="317"/>
      <c r="N7" s="314"/>
    </row>
    <row r="8" spans="1:14">
      <c r="A8" s="290" t="s">
        <v>2979</v>
      </c>
      <c r="B8" s="316">
        <v>1.1400000000000001E-4</v>
      </c>
      <c r="C8" s="317">
        <v>1.8500000000000001E-3</v>
      </c>
      <c r="D8" s="316">
        <v>1.1400000000000001E-4</v>
      </c>
      <c r="E8" s="317">
        <v>1.1299999999999999E-3</v>
      </c>
      <c r="F8" s="353">
        <v>13</v>
      </c>
      <c r="G8" s="353" t="s">
        <v>2870</v>
      </c>
      <c r="H8" s="313"/>
      <c r="I8" s="314"/>
      <c r="J8" s="318"/>
      <c r="K8" s="317"/>
      <c r="L8" s="316"/>
      <c r="M8" s="317"/>
      <c r="N8" s="314"/>
    </row>
    <row r="9" spans="1:14">
      <c r="A9" s="290" t="s">
        <v>2978</v>
      </c>
      <c r="B9" s="316">
        <v>1.1400000000000001E-4</v>
      </c>
      <c r="C9" s="317">
        <v>1.8500000000000001E-3</v>
      </c>
      <c r="D9" s="316">
        <v>1.1400000000000001E-4</v>
      </c>
      <c r="E9" s="317">
        <v>1.1299999999999999E-3</v>
      </c>
      <c r="F9" s="353">
        <v>15</v>
      </c>
      <c r="G9" s="353" t="s">
        <v>2870</v>
      </c>
      <c r="H9" s="313"/>
      <c r="I9" s="314"/>
      <c r="J9" s="318"/>
      <c r="K9" s="317"/>
      <c r="L9" s="319"/>
      <c r="M9" s="317"/>
      <c r="N9" s="314"/>
    </row>
    <row r="10" spans="1:14">
      <c r="A10" s="290" t="s">
        <v>2980</v>
      </c>
      <c r="B10" s="316">
        <v>1.1400000000000001E-4</v>
      </c>
      <c r="C10" s="317">
        <v>1.8500000000000001E-3</v>
      </c>
      <c r="D10" s="316">
        <v>1.1400000000000001E-4</v>
      </c>
      <c r="E10" s="317">
        <v>1.1299999999999999E-3</v>
      </c>
      <c r="F10" s="353">
        <v>13</v>
      </c>
      <c r="G10" s="353"/>
      <c r="H10" s="313"/>
      <c r="I10" s="314"/>
      <c r="J10" s="318"/>
      <c r="K10" s="317"/>
      <c r="L10" s="319"/>
      <c r="M10" s="317"/>
      <c r="N10" s="314"/>
    </row>
    <row r="11" spans="1:14">
      <c r="A11" s="290" t="s">
        <v>2981</v>
      </c>
      <c r="B11" s="316">
        <v>1.1400000000000001E-4</v>
      </c>
      <c r="C11" s="317">
        <v>1.8500000000000001E-3</v>
      </c>
      <c r="D11" s="316">
        <v>1.1400000000000001E-4</v>
      </c>
      <c r="E11" s="317">
        <v>1.1299999999999999E-3</v>
      </c>
      <c r="F11" s="353">
        <v>7</v>
      </c>
      <c r="G11" s="353" t="s">
        <v>2752</v>
      </c>
      <c r="H11" s="313"/>
      <c r="I11" s="314"/>
      <c r="J11" s="318"/>
      <c r="K11" s="317"/>
      <c r="L11" s="319"/>
      <c r="M11" s="317"/>
      <c r="N11" s="314"/>
    </row>
    <row r="12" spans="1:14">
      <c r="A12" s="290" t="s">
        <v>2953</v>
      </c>
      <c r="B12" s="319">
        <v>0</v>
      </c>
      <c r="C12" s="317">
        <v>1.8500000000000001E-3</v>
      </c>
      <c r="D12" s="319">
        <v>0</v>
      </c>
      <c r="E12" s="317">
        <v>1.1299999999999999E-3</v>
      </c>
      <c r="F12" s="353">
        <v>25</v>
      </c>
      <c r="G12" s="353" t="s">
        <v>883</v>
      </c>
      <c r="H12" s="313"/>
      <c r="I12" s="314"/>
      <c r="J12" s="318"/>
      <c r="K12" s="317"/>
      <c r="L12" s="319"/>
      <c r="M12" s="317"/>
      <c r="N12" s="314"/>
    </row>
    <row r="13" spans="1:14">
      <c r="A13" s="290" t="s">
        <v>2952</v>
      </c>
      <c r="B13" s="319">
        <v>0</v>
      </c>
      <c r="C13" s="317">
        <v>1.8500000000000001E-3</v>
      </c>
      <c r="D13" s="319">
        <v>0</v>
      </c>
      <c r="E13" s="317">
        <v>1.1299999999999999E-3</v>
      </c>
      <c r="F13" s="353">
        <v>25</v>
      </c>
      <c r="G13" s="353" t="s">
        <v>883</v>
      </c>
      <c r="H13" s="313"/>
      <c r="I13" s="321"/>
      <c r="J13" s="318"/>
      <c r="K13" s="317"/>
      <c r="L13" s="319"/>
      <c r="M13" s="317"/>
      <c r="N13" s="322"/>
    </row>
    <row r="14" spans="1:14">
      <c r="A14" s="290" t="s">
        <v>2957</v>
      </c>
      <c r="B14" s="319">
        <v>0</v>
      </c>
      <c r="C14" s="317">
        <v>1.8500000000000001E-3</v>
      </c>
      <c r="D14" s="319">
        <v>0</v>
      </c>
      <c r="E14" s="317">
        <v>1.1299999999999999E-3</v>
      </c>
      <c r="F14" s="353">
        <v>25</v>
      </c>
      <c r="G14" s="353" t="s">
        <v>2752</v>
      </c>
      <c r="H14" s="313"/>
      <c r="I14" s="314"/>
      <c r="J14" s="318"/>
      <c r="K14" s="317"/>
      <c r="L14" s="319"/>
      <c r="M14" s="317"/>
      <c r="N14" s="322"/>
    </row>
    <row r="15" spans="1:14">
      <c r="A15" s="290" t="s">
        <v>2951</v>
      </c>
      <c r="B15" s="319">
        <v>0</v>
      </c>
      <c r="C15" s="317">
        <v>1.8500000000000001E-3</v>
      </c>
      <c r="D15" s="319">
        <v>0</v>
      </c>
      <c r="E15" s="317">
        <v>1.1299999999999999E-3</v>
      </c>
      <c r="F15" s="353">
        <v>20</v>
      </c>
      <c r="G15" s="353" t="s">
        <v>2752</v>
      </c>
      <c r="H15" s="320"/>
      <c r="I15" s="322"/>
      <c r="J15" s="318"/>
      <c r="K15" s="317"/>
      <c r="L15" s="319"/>
      <c r="M15" s="317"/>
      <c r="N15" s="322"/>
    </row>
    <row r="16" spans="1:14">
      <c r="A16" s="290" t="s">
        <v>2956</v>
      </c>
      <c r="B16" s="319">
        <v>0</v>
      </c>
      <c r="C16" s="317">
        <v>1.8500000000000001E-3</v>
      </c>
      <c r="D16" s="319">
        <v>0</v>
      </c>
      <c r="E16" s="317">
        <v>1.1299999999999999E-3</v>
      </c>
      <c r="F16" s="353">
        <v>20</v>
      </c>
      <c r="G16" s="353" t="s">
        <v>2752</v>
      </c>
      <c r="H16" s="320"/>
      <c r="I16" s="322"/>
      <c r="J16" s="318"/>
      <c r="K16" s="317"/>
      <c r="L16" s="319"/>
      <c r="M16" s="317"/>
      <c r="N16" s="322"/>
    </row>
    <row r="17" spans="1:14">
      <c r="A17" s="290" t="s">
        <v>2960</v>
      </c>
      <c r="B17" s="319">
        <v>0</v>
      </c>
      <c r="C17" s="317">
        <v>1.8500000000000001E-3</v>
      </c>
      <c r="D17" s="319">
        <v>0</v>
      </c>
      <c r="E17" s="317">
        <v>1.1299999999999999E-3</v>
      </c>
      <c r="F17" s="353">
        <v>25</v>
      </c>
      <c r="G17" s="353" t="s">
        <v>2752</v>
      </c>
      <c r="H17" s="313"/>
      <c r="I17" s="314"/>
      <c r="J17" s="318"/>
      <c r="K17" s="317"/>
      <c r="L17" s="319"/>
      <c r="M17" s="317"/>
      <c r="N17" s="322"/>
    </row>
    <row r="18" spans="1:14">
      <c r="A18" s="290" t="s">
        <v>2954</v>
      </c>
      <c r="B18" s="319">
        <v>0</v>
      </c>
      <c r="C18" s="317">
        <v>1.8500000000000001E-3</v>
      </c>
      <c r="D18" s="319">
        <v>0</v>
      </c>
      <c r="E18" s="317">
        <v>1.1299999999999999E-3</v>
      </c>
      <c r="F18" s="353">
        <v>25</v>
      </c>
      <c r="G18" s="353" t="s">
        <v>883</v>
      </c>
      <c r="H18" s="320"/>
      <c r="I18" s="322"/>
      <c r="J18" s="318"/>
      <c r="K18" s="317"/>
      <c r="L18" s="319"/>
      <c r="M18" s="317"/>
      <c r="N18" s="322"/>
    </row>
    <row r="19" spans="1:14" s="310" customFormat="1">
      <c r="A19" s="290" t="s">
        <v>2955</v>
      </c>
      <c r="B19" s="319">
        <v>0</v>
      </c>
      <c r="C19" s="317">
        <v>1.8500000000000001E-3</v>
      </c>
      <c r="D19" s="319">
        <v>0</v>
      </c>
      <c r="E19" s="317">
        <v>1.1299999999999999E-3</v>
      </c>
      <c r="F19" s="353">
        <v>25</v>
      </c>
      <c r="G19" s="353" t="s">
        <v>883</v>
      </c>
      <c r="H19" s="320"/>
      <c r="I19" s="322"/>
      <c r="J19" s="318"/>
      <c r="K19" s="317"/>
      <c r="L19" s="319"/>
      <c r="M19" s="317"/>
      <c r="N19" s="322"/>
    </row>
    <row r="20" spans="1:14">
      <c r="A20" s="292" t="s">
        <v>2871</v>
      </c>
      <c r="B20" s="316">
        <v>1.1400000000000001E-4</v>
      </c>
      <c r="C20" s="317">
        <v>1.8500000000000001E-3</v>
      </c>
      <c r="D20" s="316">
        <v>1.1400000000000001E-4</v>
      </c>
      <c r="E20" s="317">
        <v>1.1299999999999999E-3</v>
      </c>
      <c r="F20" s="353">
        <v>25</v>
      </c>
      <c r="G20" s="353" t="s">
        <v>2870</v>
      </c>
      <c r="H20" s="320"/>
      <c r="I20" s="322"/>
      <c r="J20" s="318"/>
      <c r="K20" s="317"/>
      <c r="L20" s="319"/>
      <c r="M20" s="317"/>
      <c r="N20" s="322"/>
    </row>
    <row r="21" spans="1:14">
      <c r="A21" s="292" t="s">
        <v>2872</v>
      </c>
      <c r="B21" s="316">
        <v>1.1400000000000001E-4</v>
      </c>
      <c r="C21" s="317">
        <v>1.8500000000000001E-3</v>
      </c>
      <c r="D21" s="316">
        <v>1.1400000000000001E-4</v>
      </c>
      <c r="E21" s="317">
        <v>1.1299999999999999E-3</v>
      </c>
      <c r="F21" s="353">
        <v>15</v>
      </c>
      <c r="G21" s="353" t="s">
        <v>2870</v>
      </c>
      <c r="H21" s="320"/>
      <c r="I21" s="322"/>
      <c r="J21" s="318"/>
      <c r="K21" s="317"/>
      <c r="L21" s="319"/>
      <c r="M21" s="317"/>
      <c r="N21" s="322"/>
    </row>
    <row r="22" spans="1:14">
      <c r="A22" s="292" t="s">
        <v>2975</v>
      </c>
      <c r="B22" s="319">
        <v>0</v>
      </c>
      <c r="C22" s="317">
        <v>1.8500000000000001E-3</v>
      </c>
      <c r="D22" s="319">
        <v>0</v>
      </c>
      <c r="E22" s="317">
        <v>1.1299999999999999E-3</v>
      </c>
      <c r="F22" s="353">
        <v>24</v>
      </c>
      <c r="G22" s="353" t="s">
        <v>2756</v>
      </c>
      <c r="H22" s="320"/>
      <c r="I22" s="322"/>
      <c r="J22" s="318"/>
      <c r="K22" s="317"/>
      <c r="L22" s="319"/>
      <c r="M22" s="317"/>
      <c r="N22" s="314"/>
    </row>
    <row r="23" spans="1:14" s="310" customFormat="1">
      <c r="A23" s="292" t="s">
        <v>2873</v>
      </c>
      <c r="B23" s="316">
        <v>1.1400000000000001E-4</v>
      </c>
      <c r="C23" s="317">
        <v>1.8500000000000001E-3</v>
      </c>
      <c r="D23" s="316">
        <v>1.1400000000000001E-4</v>
      </c>
      <c r="E23" s="317">
        <v>1.1299999999999999E-3</v>
      </c>
      <c r="F23" s="353">
        <v>25</v>
      </c>
      <c r="G23" s="353" t="s">
        <v>883</v>
      </c>
      <c r="H23" s="320"/>
      <c r="I23" s="322"/>
      <c r="J23" s="318"/>
      <c r="K23" s="317"/>
      <c r="L23" s="319"/>
      <c r="M23" s="317"/>
      <c r="N23" s="314"/>
    </row>
    <row r="24" spans="1:14">
      <c r="A24" s="292" t="s">
        <v>2874</v>
      </c>
      <c r="B24" s="316">
        <v>1.1400000000000001E-4</v>
      </c>
      <c r="C24" s="317">
        <v>1.8500000000000001E-3</v>
      </c>
      <c r="D24" s="316">
        <v>1.1400000000000001E-4</v>
      </c>
      <c r="E24" s="317">
        <v>1.1299999999999999E-3</v>
      </c>
      <c r="F24" s="353">
        <v>15</v>
      </c>
      <c r="G24" s="353" t="s">
        <v>2870</v>
      </c>
      <c r="H24" s="320"/>
      <c r="I24" s="322"/>
      <c r="J24" s="318"/>
      <c r="K24" s="317"/>
      <c r="L24" s="319"/>
      <c r="M24" s="317"/>
      <c r="N24" s="314"/>
    </row>
    <row r="25" spans="1:14">
      <c r="A25" s="292" t="s">
        <v>2875</v>
      </c>
      <c r="B25" s="316">
        <v>1.1400000000000001E-4</v>
      </c>
      <c r="C25" s="317">
        <v>1.8500000000000001E-3</v>
      </c>
      <c r="D25" s="316">
        <v>1.1400000000000001E-4</v>
      </c>
      <c r="E25" s="317">
        <v>1.1299999999999999E-3</v>
      </c>
      <c r="F25" s="353">
        <v>20</v>
      </c>
      <c r="G25" s="353" t="s">
        <v>2870</v>
      </c>
      <c r="H25" s="320"/>
      <c r="I25" s="322"/>
      <c r="J25" s="318"/>
      <c r="K25" s="317"/>
      <c r="L25" s="319"/>
      <c r="M25" s="317"/>
      <c r="N25" s="314"/>
    </row>
    <row r="26" spans="1:14">
      <c r="A26" s="292" t="s">
        <v>2876</v>
      </c>
      <c r="B26" s="316">
        <v>1.1400000000000001E-4</v>
      </c>
      <c r="C26" s="317">
        <v>1.8500000000000001E-3</v>
      </c>
      <c r="D26" s="316">
        <v>1.1400000000000001E-4</v>
      </c>
      <c r="E26" s="317">
        <v>1.1299999999999999E-3</v>
      </c>
      <c r="F26" s="353">
        <v>15</v>
      </c>
      <c r="G26" s="353" t="s">
        <v>2870</v>
      </c>
      <c r="H26" s="313"/>
      <c r="I26" s="314"/>
      <c r="J26" s="318"/>
      <c r="K26" s="317"/>
      <c r="L26" s="316"/>
      <c r="M26" s="317"/>
      <c r="N26" s="314"/>
    </row>
    <row r="27" spans="1:14">
      <c r="A27" s="292" t="s">
        <v>2877</v>
      </c>
      <c r="B27" s="316">
        <v>1.1400000000000001E-4</v>
      </c>
      <c r="C27" s="317">
        <v>1.8500000000000001E-3</v>
      </c>
      <c r="D27" s="316">
        <v>1.1400000000000001E-4</v>
      </c>
      <c r="E27" s="317">
        <v>1.1299999999999999E-3</v>
      </c>
      <c r="F27" s="353">
        <v>15</v>
      </c>
      <c r="G27" s="353" t="s">
        <v>2870</v>
      </c>
      <c r="H27" s="313"/>
      <c r="I27" s="314"/>
      <c r="J27" s="318"/>
      <c r="K27" s="317"/>
      <c r="L27" s="316"/>
      <c r="M27" s="317"/>
      <c r="N27" s="322"/>
    </row>
    <row r="28" spans="1:14">
      <c r="A28" s="292" t="s">
        <v>2878</v>
      </c>
      <c r="B28" s="316">
        <v>1.1400000000000001E-4</v>
      </c>
      <c r="C28" s="317">
        <v>1.8500000000000001E-3</v>
      </c>
      <c r="D28" s="316">
        <v>1.1400000000000001E-4</v>
      </c>
      <c r="E28" s="317">
        <v>1.1299999999999999E-3</v>
      </c>
      <c r="F28" s="353">
        <v>15</v>
      </c>
      <c r="G28" s="353" t="s">
        <v>2870</v>
      </c>
      <c r="H28" s="313"/>
      <c r="I28" s="314"/>
      <c r="J28" s="318"/>
      <c r="K28" s="317"/>
      <c r="L28" s="316"/>
      <c r="M28" s="317"/>
      <c r="N28" s="314"/>
    </row>
    <row r="29" spans="1:14">
      <c r="A29" s="290" t="s">
        <v>2974</v>
      </c>
      <c r="B29" s="319">
        <v>0</v>
      </c>
      <c r="C29" s="317">
        <v>1.8500000000000001E-3</v>
      </c>
      <c r="D29" s="319">
        <v>0</v>
      </c>
      <c r="E29" s="317">
        <v>1.1299999999999999E-3</v>
      </c>
      <c r="F29" s="353">
        <v>13</v>
      </c>
      <c r="G29" s="353" t="s">
        <v>2752</v>
      </c>
      <c r="H29" s="313"/>
      <c r="I29" s="314"/>
      <c r="J29" s="318"/>
      <c r="K29" s="317"/>
      <c r="L29" s="316"/>
      <c r="M29" s="317"/>
      <c r="N29" s="322"/>
    </row>
    <row r="30" spans="1:14">
      <c r="A30" s="290" t="s">
        <v>2976</v>
      </c>
      <c r="B30" s="323">
        <v>0</v>
      </c>
      <c r="C30" s="317">
        <v>1.8500000000000001E-3</v>
      </c>
      <c r="D30" s="319">
        <v>0</v>
      </c>
      <c r="E30" s="317">
        <v>1.1299999999999999E-3</v>
      </c>
      <c r="F30" s="353">
        <v>10</v>
      </c>
      <c r="G30" s="353" t="s">
        <v>2752</v>
      </c>
      <c r="H30" s="357"/>
      <c r="I30" s="355"/>
      <c r="J30" s="318"/>
    </row>
    <row r="31" spans="1:14">
      <c r="A31" s="290" t="s">
        <v>2959</v>
      </c>
      <c r="B31" s="316">
        <v>2.1000000000000001E-4</v>
      </c>
      <c r="C31" s="317">
        <v>1.8500000000000001E-3</v>
      </c>
      <c r="D31" s="316">
        <v>2.1000000000000001E-4</v>
      </c>
      <c r="E31" s="317">
        <v>1.1299999999999999E-3</v>
      </c>
      <c r="F31" s="353">
        <v>15</v>
      </c>
      <c r="G31" s="353" t="s">
        <v>2752</v>
      </c>
      <c r="H31" s="357"/>
      <c r="I31" s="355"/>
      <c r="J31" s="318"/>
    </row>
    <row r="32" spans="1:14" s="310" customFormat="1">
      <c r="A32" s="290" t="s">
        <v>2958</v>
      </c>
      <c r="B32" s="316">
        <v>2.1000000000000001E-4</v>
      </c>
      <c r="C32" s="317">
        <v>1.8500000000000001E-3</v>
      </c>
      <c r="D32" s="316">
        <v>2.1000000000000001E-4</v>
      </c>
      <c r="E32" s="317">
        <v>1.1299999999999999E-3</v>
      </c>
      <c r="F32" s="353">
        <v>12</v>
      </c>
      <c r="G32" s="353" t="s">
        <v>2752</v>
      </c>
      <c r="H32" s="357"/>
      <c r="I32" s="356"/>
      <c r="J32" s="318"/>
    </row>
    <row r="33" spans="1:9">
      <c r="A33" s="290" t="s">
        <v>2961</v>
      </c>
      <c r="B33" s="316">
        <v>1.1400000000000001E-4</v>
      </c>
      <c r="C33" s="317">
        <v>1.8500000000000001E-3</v>
      </c>
      <c r="D33" s="316">
        <v>1.1400000000000001E-4</v>
      </c>
      <c r="E33" s="317">
        <v>1.1299999999999999E-3</v>
      </c>
      <c r="F33" s="353">
        <v>15</v>
      </c>
      <c r="G33" s="353" t="s">
        <v>2752</v>
      </c>
      <c r="H33" s="354"/>
      <c r="I33" s="354"/>
    </row>
    <row r="34" spans="1:9">
      <c r="A34" s="290" t="s">
        <v>2962</v>
      </c>
      <c r="B34" s="316">
        <v>1.1400000000000001E-4</v>
      </c>
      <c r="C34" s="317">
        <v>1.8500000000000001E-3</v>
      </c>
      <c r="D34" s="316">
        <v>1.1400000000000001E-4</v>
      </c>
      <c r="E34" s="317">
        <v>1.1299999999999999E-3</v>
      </c>
      <c r="F34" s="353">
        <v>20</v>
      </c>
      <c r="G34" s="353" t="s">
        <v>2752</v>
      </c>
      <c r="H34" s="354"/>
      <c r="I34" s="354"/>
    </row>
    <row r="35" spans="1:9">
      <c r="A35" s="290" t="s">
        <v>2964</v>
      </c>
      <c r="B35" s="316">
        <v>1.1400000000000001E-4</v>
      </c>
      <c r="C35" s="317">
        <v>1.8500000000000001E-3</v>
      </c>
      <c r="D35" s="316">
        <v>1.1400000000000001E-4</v>
      </c>
      <c r="E35" s="317">
        <v>1.1299999999999999E-3</v>
      </c>
      <c r="F35" s="353">
        <v>20</v>
      </c>
      <c r="G35" s="353" t="s">
        <v>2752</v>
      </c>
    </row>
    <row r="36" spans="1:9">
      <c r="A36" s="290" t="s">
        <v>2966</v>
      </c>
      <c r="B36" s="316">
        <v>1.1400000000000001E-4</v>
      </c>
      <c r="C36" s="317">
        <v>1.8500000000000001E-3</v>
      </c>
      <c r="D36" s="316">
        <v>1.1400000000000001E-4</v>
      </c>
      <c r="E36" s="317">
        <v>1.1299999999999999E-3</v>
      </c>
      <c r="F36" s="353">
        <v>10</v>
      </c>
      <c r="G36" s="353" t="s">
        <v>2347</v>
      </c>
    </row>
    <row r="37" spans="1:9">
      <c r="A37" s="290" t="s">
        <v>2965</v>
      </c>
      <c r="B37" s="316">
        <v>1.1400000000000001E-4</v>
      </c>
      <c r="C37" s="317">
        <v>1.8500000000000001E-3</v>
      </c>
      <c r="D37" s="316">
        <v>1.1400000000000001E-4</v>
      </c>
      <c r="E37" s="317">
        <v>1.1299999999999999E-3</v>
      </c>
      <c r="F37" s="353">
        <v>10</v>
      </c>
      <c r="G37" s="353" t="s">
        <v>2347</v>
      </c>
    </row>
    <row r="38" spans="1:9">
      <c r="A38" s="291" t="s">
        <v>2967</v>
      </c>
      <c r="B38" s="316">
        <v>1.1400000000000001E-4</v>
      </c>
      <c r="C38" s="317">
        <v>1.8500000000000001E-3</v>
      </c>
      <c r="D38" s="316">
        <v>1.1400000000000001E-4</v>
      </c>
      <c r="E38" s="317">
        <v>1.1299999999999999E-3</v>
      </c>
      <c r="F38" s="353">
        <v>20</v>
      </c>
      <c r="G38" s="353" t="s">
        <v>2752</v>
      </c>
    </row>
    <row r="39" spans="1:9">
      <c r="A39" s="291" t="s">
        <v>2968</v>
      </c>
      <c r="B39" s="316">
        <v>1.1400000000000001E-4</v>
      </c>
      <c r="C39" s="317">
        <v>1.8500000000000001E-3</v>
      </c>
      <c r="D39" s="316">
        <v>1.1400000000000001E-4</v>
      </c>
      <c r="E39" s="317">
        <v>1.1299999999999999E-3</v>
      </c>
      <c r="F39" s="353">
        <v>20</v>
      </c>
      <c r="G39" s="353" t="s">
        <v>2752</v>
      </c>
    </row>
    <row r="40" spans="1:9">
      <c r="A40" s="290" t="s">
        <v>2982</v>
      </c>
      <c r="B40" s="316">
        <v>1.1400000000000001E-4</v>
      </c>
      <c r="C40" s="317">
        <v>1.8500000000000001E-3</v>
      </c>
      <c r="D40" s="316">
        <v>1.1400000000000001E-4</v>
      </c>
      <c r="E40" s="317">
        <v>1.1299999999999999E-3</v>
      </c>
      <c r="F40" s="353">
        <v>13</v>
      </c>
      <c r="G40" s="353" t="s">
        <v>883</v>
      </c>
    </row>
    <row r="41" spans="1:9">
      <c r="A41" s="291" t="s">
        <v>2969</v>
      </c>
      <c r="B41" s="316">
        <v>1.1400000000000001E-4</v>
      </c>
      <c r="C41" s="317">
        <v>1.8500000000000001E-3</v>
      </c>
      <c r="D41" s="316">
        <v>1.1400000000000001E-4</v>
      </c>
      <c r="E41" s="317">
        <v>1.1299999999999999E-3</v>
      </c>
      <c r="F41" s="353">
        <v>20</v>
      </c>
      <c r="G41" s="353" t="s">
        <v>2752</v>
      </c>
    </row>
    <row r="42" spans="1:9">
      <c r="A42" s="291" t="s">
        <v>2983</v>
      </c>
      <c r="B42" s="316">
        <v>1.1400000000000001E-4</v>
      </c>
      <c r="C42" s="317">
        <v>1.8500000000000001E-3</v>
      </c>
      <c r="D42" s="316">
        <v>1.1400000000000001E-4</v>
      </c>
      <c r="E42" s="317">
        <v>1.1299999999999999E-3</v>
      </c>
      <c r="F42" s="353"/>
      <c r="G42" s="353"/>
    </row>
    <row r="43" spans="1:9">
      <c r="A43" s="291" t="s">
        <v>2970</v>
      </c>
      <c r="B43" s="316">
        <v>1.1400000000000001E-4</v>
      </c>
      <c r="C43" s="317">
        <v>1.8500000000000001E-3</v>
      </c>
      <c r="D43" s="316">
        <v>1.1400000000000001E-4</v>
      </c>
      <c r="E43" s="317">
        <v>1.1299999999999999E-3</v>
      </c>
      <c r="F43" s="353">
        <v>10</v>
      </c>
      <c r="G43" s="353" t="s">
        <v>2347</v>
      </c>
    </row>
    <row r="44" spans="1:9">
      <c r="A44" s="292" t="s">
        <v>1334</v>
      </c>
    </row>
  </sheetData>
  <sortState ref="A4:H44">
    <sortCondition ref="A4:A44"/>
  </sortState>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dimension ref="A2:A49"/>
  <sheetViews>
    <sheetView workbookViewId="0">
      <selection activeCell="A2" sqref="A2"/>
    </sheetView>
  </sheetViews>
  <sheetFormatPr defaultRowHeight="12.75"/>
  <cols>
    <col min="1" max="1" width="22.5703125" customWidth="1"/>
  </cols>
  <sheetData>
    <row r="2" spans="1:1" ht="76.5">
      <c r="A2" s="295" t="s">
        <v>2728</v>
      </c>
    </row>
    <row r="3" spans="1:1" ht="76.5">
      <c r="A3" s="295" t="s">
        <v>2784</v>
      </c>
    </row>
    <row r="8" spans="1:1">
      <c r="A8" s="9"/>
    </row>
    <row r="9" spans="1:1">
      <c r="A9" s="9"/>
    </row>
    <row r="10" spans="1:1">
      <c r="A10" s="9"/>
    </row>
    <row r="11" spans="1:1">
      <c r="A11" s="9"/>
    </row>
    <row r="12" spans="1:1">
      <c r="A12" s="9"/>
    </row>
    <row r="13" spans="1:1">
      <c r="A13" s="9"/>
    </row>
    <row r="14" spans="1:1">
      <c r="A14" s="9"/>
    </row>
    <row r="15" spans="1:1">
      <c r="A15" s="9"/>
    </row>
    <row r="16" spans="1:1">
      <c r="A16" s="9"/>
    </row>
    <row r="17" spans="1:1">
      <c r="A17" s="9"/>
    </row>
    <row r="18" spans="1:1">
      <c r="A18" s="9"/>
    </row>
    <row r="19" spans="1:1">
      <c r="A19" s="9"/>
    </row>
    <row r="20" spans="1:1">
      <c r="A20" s="9"/>
    </row>
    <row r="21" spans="1:1">
      <c r="A21" s="9"/>
    </row>
    <row r="22" spans="1:1">
      <c r="A22" s="9"/>
    </row>
    <row r="23" spans="1:1">
      <c r="A23" s="9"/>
    </row>
    <row r="24" spans="1:1">
      <c r="A24" s="9"/>
    </row>
    <row r="25" spans="1:1">
      <c r="A25" s="9"/>
    </row>
    <row r="26" spans="1:1">
      <c r="A26" s="9"/>
    </row>
    <row r="27" spans="1:1">
      <c r="A27" s="9"/>
    </row>
    <row r="28" spans="1:1">
      <c r="A28" s="9"/>
    </row>
    <row r="29" spans="1:1">
      <c r="A29" s="9"/>
    </row>
    <row r="30" spans="1:1">
      <c r="A30" s="9"/>
    </row>
    <row r="31" spans="1:1">
      <c r="A31" s="9"/>
    </row>
    <row r="32" spans="1:1">
      <c r="A32" s="9"/>
    </row>
    <row r="33" spans="1:1">
      <c r="A33" s="9"/>
    </row>
    <row r="34" spans="1:1">
      <c r="A34" s="9"/>
    </row>
    <row r="35" spans="1:1">
      <c r="A35" s="9"/>
    </row>
    <row r="36" spans="1:1">
      <c r="A36" s="9"/>
    </row>
    <row r="37" spans="1:1">
      <c r="A37" s="9"/>
    </row>
    <row r="38" spans="1:1">
      <c r="A38" s="9"/>
    </row>
    <row r="39" spans="1:1">
      <c r="A39" s="9"/>
    </row>
    <row r="40" spans="1:1">
      <c r="A40" s="9"/>
    </row>
    <row r="41" spans="1:1">
      <c r="A41" s="9"/>
    </row>
    <row r="42" spans="1:1">
      <c r="A42" s="9"/>
    </row>
    <row r="43" spans="1:1">
      <c r="A43" s="9"/>
    </row>
    <row r="44" spans="1:1">
      <c r="A44" s="9"/>
    </row>
    <row r="45" spans="1:1">
      <c r="A45" s="9"/>
    </row>
    <row r="46" spans="1:1">
      <c r="A46" s="9"/>
    </row>
    <row r="47" spans="1:1">
      <c r="A47" s="9"/>
    </row>
    <row r="48" spans="1:1">
      <c r="A48" s="9"/>
    </row>
    <row r="49" spans="1:1">
      <c r="A49" s="9"/>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dimension ref="A1:AF17"/>
  <sheetViews>
    <sheetView topLeftCell="L1" workbookViewId="0">
      <selection activeCell="P17" sqref="P17"/>
    </sheetView>
  </sheetViews>
  <sheetFormatPr defaultRowHeight="12.75"/>
  <cols>
    <col min="1" max="1" width="19.42578125" bestFit="1" customWidth="1"/>
    <col min="2" max="2" width="15.140625" bestFit="1" customWidth="1"/>
    <col min="4" max="4" width="20" bestFit="1" customWidth="1"/>
    <col min="6" max="6" width="43.42578125" bestFit="1" customWidth="1"/>
    <col min="7" max="7" width="12.5703125" bestFit="1" customWidth="1"/>
    <col min="8" max="8" width="15.7109375" bestFit="1" customWidth="1"/>
    <col min="9" max="9" width="12.5703125" bestFit="1" customWidth="1"/>
    <col min="10" max="10" width="17.42578125" bestFit="1" customWidth="1"/>
    <col min="11" max="11" width="8.42578125" bestFit="1" customWidth="1"/>
    <col min="12" max="12" width="14.85546875" bestFit="1" customWidth="1"/>
    <col min="13" max="13" width="13.7109375" bestFit="1" customWidth="1"/>
    <col min="14" max="14" width="13.42578125" bestFit="1" customWidth="1"/>
    <col min="15" max="15" width="16.42578125" bestFit="1" customWidth="1"/>
    <col min="16" max="16" width="13.85546875" bestFit="1" customWidth="1"/>
    <col min="17" max="17" width="18.7109375" bestFit="1" customWidth="1"/>
    <col min="19" max="19" width="14.140625" customWidth="1"/>
    <col min="20" max="20" width="12" customWidth="1"/>
    <col min="21" max="21" width="29.140625" bestFit="1" customWidth="1"/>
    <col min="23" max="23" width="27.42578125" bestFit="1" customWidth="1"/>
    <col min="24" max="24" width="8.42578125" bestFit="1" customWidth="1"/>
    <col min="25" max="25" width="11.140625" bestFit="1" customWidth="1"/>
    <col min="26" max="26" width="12.5703125" bestFit="1" customWidth="1"/>
    <col min="27" max="27" width="13.85546875" bestFit="1" customWidth="1"/>
    <col min="28" max="28" width="11.7109375" bestFit="1" customWidth="1"/>
    <col min="29" max="29" width="12.28515625" bestFit="1" customWidth="1"/>
    <col min="30" max="30" width="13.140625" bestFit="1" customWidth="1"/>
  </cols>
  <sheetData>
    <row r="1" spans="1:32">
      <c r="A1" t="s">
        <v>1333</v>
      </c>
      <c r="B1" t="s">
        <v>2706</v>
      </c>
      <c r="C1" t="s">
        <v>2707</v>
      </c>
      <c r="D1" s="9" t="s">
        <v>2715</v>
      </c>
      <c r="E1" s="14" t="s">
        <v>2717</v>
      </c>
      <c r="F1" s="9" t="s">
        <v>2723</v>
      </c>
      <c r="G1" s="9" t="s">
        <v>2733</v>
      </c>
      <c r="H1" s="9" t="s">
        <v>2738</v>
      </c>
      <c r="I1" s="9" t="s">
        <v>1074</v>
      </c>
      <c r="J1" s="9" t="s">
        <v>2743</v>
      </c>
      <c r="K1" s="9" t="s">
        <v>519</v>
      </c>
      <c r="L1" s="9" t="s">
        <v>2762</v>
      </c>
      <c r="M1" s="9" t="s">
        <v>2769</v>
      </c>
      <c r="N1" s="9" t="s">
        <v>2770</v>
      </c>
      <c r="O1" s="9" t="s">
        <v>2760</v>
      </c>
      <c r="P1" s="9" t="s">
        <v>2778</v>
      </c>
      <c r="Q1" s="9" t="s">
        <v>2804</v>
      </c>
      <c r="S1" s="310" t="s">
        <v>2761</v>
      </c>
      <c r="T1" s="4" t="s">
        <v>2620</v>
      </c>
      <c r="U1" s="4" t="s">
        <v>2846</v>
      </c>
      <c r="V1" s="4"/>
      <c r="W1" s="4" t="s">
        <v>2847</v>
      </c>
      <c r="X1" s="4" t="s">
        <v>2848</v>
      </c>
      <c r="Y1" s="4" t="s">
        <v>2849</v>
      </c>
      <c r="Z1" s="4" t="s">
        <v>2850</v>
      </c>
      <c r="AA1" s="351" t="s">
        <v>2905</v>
      </c>
      <c r="AB1" s="351" t="s">
        <v>2907</v>
      </c>
      <c r="AC1" s="260" t="s">
        <v>1074</v>
      </c>
      <c r="AD1" s="260" t="s">
        <v>2922</v>
      </c>
      <c r="AE1" s="362" t="s">
        <v>2925</v>
      </c>
    </row>
    <row r="2" spans="1:32" ht="15">
      <c r="A2" s="14" t="s">
        <v>2708</v>
      </c>
      <c r="B2" s="14" t="s">
        <v>2708</v>
      </c>
      <c r="C2" s="14" t="s">
        <v>2708</v>
      </c>
      <c r="D2" s="14" t="s">
        <v>2705</v>
      </c>
      <c r="E2" s="70">
        <v>0</v>
      </c>
      <c r="F2" s="273" t="s">
        <v>2724</v>
      </c>
      <c r="G2" s="273" t="s">
        <v>2705</v>
      </c>
      <c r="H2" s="273" t="s">
        <v>2705</v>
      </c>
      <c r="I2" s="273" t="s">
        <v>2705</v>
      </c>
      <c r="J2" s="273" t="s">
        <v>2705</v>
      </c>
      <c r="L2" s="273" t="s">
        <v>2705</v>
      </c>
      <c r="M2" s="273" t="s">
        <v>2705</v>
      </c>
      <c r="N2" s="273" t="s">
        <v>2705</v>
      </c>
      <c r="O2" s="296" t="s">
        <v>2705</v>
      </c>
      <c r="P2" s="273" t="s">
        <v>2705</v>
      </c>
      <c r="Q2" s="310"/>
      <c r="S2">
        <v>1</v>
      </c>
      <c r="T2" s="4" t="s">
        <v>2833</v>
      </c>
      <c r="U2" s="260" t="s">
        <v>988</v>
      </c>
      <c r="V2" s="4"/>
      <c r="W2" s="260" t="s">
        <v>1332</v>
      </c>
      <c r="X2" s="260">
        <v>1.3</v>
      </c>
      <c r="Y2" s="4">
        <v>30</v>
      </c>
      <c r="Z2" s="4" t="s">
        <v>2705</v>
      </c>
      <c r="AA2" s="260" t="s">
        <v>2906</v>
      </c>
      <c r="AB2" s="260">
        <v>1</v>
      </c>
      <c r="AC2" s="9" t="s">
        <v>2913</v>
      </c>
      <c r="AD2" s="9" t="s">
        <v>2916</v>
      </c>
      <c r="AE2" s="310" t="s">
        <v>2900</v>
      </c>
      <c r="AF2" s="310">
        <v>2</v>
      </c>
    </row>
    <row r="3" spans="1:32" ht="15">
      <c r="A3" s="70" t="s">
        <v>2254</v>
      </c>
      <c r="B3" s="70" t="s">
        <v>19</v>
      </c>
      <c r="C3" s="70" t="s">
        <v>1554</v>
      </c>
      <c r="D3" s="70" t="s">
        <v>2404</v>
      </c>
      <c r="E3" s="70">
        <v>1</v>
      </c>
      <c r="F3" s="14" t="s">
        <v>2726</v>
      </c>
      <c r="G3" s="273" t="s">
        <v>2734</v>
      </c>
      <c r="H3" s="273" t="s">
        <v>2736</v>
      </c>
      <c r="I3" s="14" t="s">
        <v>2792</v>
      </c>
      <c r="J3" s="273" t="s">
        <v>2744</v>
      </c>
      <c r="K3" s="293" t="s">
        <v>2757</v>
      </c>
      <c r="L3" s="273" t="s">
        <v>2764</v>
      </c>
      <c r="M3" s="273" t="s">
        <v>2765</v>
      </c>
      <c r="N3" s="273" t="s">
        <v>2723</v>
      </c>
      <c r="O3" s="296" t="s">
        <v>2767</v>
      </c>
      <c r="P3" s="273" t="s">
        <v>2779</v>
      </c>
      <c r="Q3" s="9" t="s">
        <v>2693</v>
      </c>
      <c r="R3">
        <v>1.2</v>
      </c>
      <c r="S3">
        <v>2</v>
      </c>
      <c r="T3" s="4" t="s">
        <v>1334</v>
      </c>
      <c r="U3" s="260" t="s">
        <v>989</v>
      </c>
      <c r="V3" s="4"/>
      <c r="W3" s="260" t="s">
        <v>993</v>
      </c>
      <c r="X3" s="260">
        <v>0.5</v>
      </c>
      <c r="Y3" s="4">
        <v>10</v>
      </c>
      <c r="Z3" s="4" t="s">
        <v>1554</v>
      </c>
      <c r="AA3" s="260" t="s">
        <v>2900</v>
      </c>
      <c r="AB3" s="260">
        <v>2</v>
      </c>
      <c r="AC3" s="9" t="s">
        <v>2914</v>
      </c>
      <c r="AD3" s="9" t="s">
        <v>2917</v>
      </c>
      <c r="AE3" s="310" t="s">
        <v>2901</v>
      </c>
      <c r="AF3" s="310">
        <v>5</v>
      </c>
    </row>
    <row r="4" spans="1:32" ht="15">
      <c r="A4" s="70" t="s">
        <v>2255</v>
      </c>
      <c r="B4" s="70" t="s">
        <v>21</v>
      </c>
      <c r="C4" s="70" t="s">
        <v>1555</v>
      </c>
      <c r="D4" s="273" t="s">
        <v>2716</v>
      </c>
      <c r="E4" s="70">
        <v>2</v>
      </c>
      <c r="F4" s="14" t="s">
        <v>2725</v>
      </c>
      <c r="G4" s="14" t="s">
        <v>2735</v>
      </c>
      <c r="H4" s="14" t="s">
        <v>2737</v>
      </c>
      <c r="I4" s="14" t="s">
        <v>2793</v>
      </c>
      <c r="J4" s="14" t="s">
        <v>2745</v>
      </c>
      <c r="K4" s="293" t="s">
        <v>2750</v>
      </c>
      <c r="L4" s="273" t="s">
        <v>2685</v>
      </c>
      <c r="M4" s="273" t="s">
        <v>2766</v>
      </c>
      <c r="N4" s="273" t="s">
        <v>2771</v>
      </c>
      <c r="O4" s="296" t="s">
        <v>2773</v>
      </c>
      <c r="P4" s="273" t="s">
        <v>2780</v>
      </c>
      <c r="Q4" s="9" t="s">
        <v>2694</v>
      </c>
      <c r="R4">
        <v>2.2999999999999998</v>
      </c>
      <c r="S4">
        <v>3</v>
      </c>
      <c r="T4" s="4"/>
      <c r="U4" s="260" t="s">
        <v>990</v>
      </c>
      <c r="V4" s="4"/>
      <c r="W4" s="260" t="s">
        <v>991</v>
      </c>
      <c r="X4" s="260">
        <v>2.1</v>
      </c>
      <c r="Y4" s="4">
        <v>23</v>
      </c>
      <c r="Z4" s="4" t="s">
        <v>1555</v>
      </c>
      <c r="AA4" s="362" t="s">
        <v>2923</v>
      </c>
      <c r="AB4" s="260">
        <v>3</v>
      </c>
      <c r="AC4" s="9" t="s">
        <v>2793</v>
      </c>
      <c r="AD4" s="9" t="s">
        <v>2918</v>
      </c>
      <c r="AE4" s="310" t="s">
        <v>2924</v>
      </c>
      <c r="AF4" s="310">
        <v>7</v>
      </c>
    </row>
    <row r="5" spans="1:32" ht="15">
      <c r="A5" s="70" t="s">
        <v>2256</v>
      </c>
      <c r="B5" s="70" t="s">
        <v>22</v>
      </c>
      <c r="C5" s="70"/>
      <c r="E5" s="70">
        <v>3</v>
      </c>
      <c r="I5" s="14" t="s">
        <v>2794</v>
      </c>
      <c r="K5" s="293" t="s">
        <v>2751</v>
      </c>
      <c r="L5" s="273" t="s">
        <v>2763</v>
      </c>
      <c r="M5" s="273" t="s">
        <v>2767</v>
      </c>
      <c r="N5" s="273" t="s">
        <v>2772</v>
      </c>
      <c r="O5" s="296" t="s">
        <v>2774</v>
      </c>
      <c r="P5" s="273" t="s">
        <v>2781</v>
      </c>
      <c r="Q5" s="9" t="s">
        <v>2691</v>
      </c>
      <c r="R5">
        <v>2.2999999999999998</v>
      </c>
      <c r="S5">
        <v>4</v>
      </c>
      <c r="T5" s="4"/>
      <c r="U5" s="260" t="s">
        <v>991</v>
      </c>
      <c r="V5" s="4"/>
      <c r="W5" s="260" t="s">
        <v>996</v>
      </c>
      <c r="X5" s="260">
        <v>1.5</v>
      </c>
      <c r="Y5" s="4">
        <v>30</v>
      </c>
      <c r="Z5" s="4"/>
      <c r="AA5" s="260" t="s">
        <v>2904</v>
      </c>
      <c r="AB5" s="260">
        <v>4</v>
      </c>
      <c r="AC5" s="9" t="s">
        <v>2794</v>
      </c>
      <c r="AD5" s="9" t="s">
        <v>2919</v>
      </c>
      <c r="AE5" s="310" t="s">
        <v>1334</v>
      </c>
      <c r="AF5" s="310">
        <v>6</v>
      </c>
    </row>
    <row r="6" spans="1:32" ht="15">
      <c r="B6" s="70" t="s">
        <v>20</v>
      </c>
      <c r="E6" s="70">
        <v>4</v>
      </c>
      <c r="I6" s="14" t="s">
        <v>2795</v>
      </c>
      <c r="K6" s="293" t="s">
        <v>2752</v>
      </c>
      <c r="L6" s="14" t="s">
        <v>2762</v>
      </c>
      <c r="M6" s="273" t="s">
        <v>2768</v>
      </c>
      <c r="O6" s="296" t="s">
        <v>2775</v>
      </c>
      <c r="P6" s="273" t="s">
        <v>2782</v>
      </c>
      <c r="Q6" s="9" t="s">
        <v>2692</v>
      </c>
      <c r="R6" s="9" t="s">
        <v>202</v>
      </c>
      <c r="S6">
        <v>5</v>
      </c>
      <c r="T6" s="4"/>
      <c r="U6" s="260" t="s">
        <v>992</v>
      </c>
      <c r="V6" s="4"/>
      <c r="W6" s="260" t="s">
        <v>2317</v>
      </c>
      <c r="X6" s="260" t="s">
        <v>2684</v>
      </c>
      <c r="Y6" s="260" t="s">
        <v>202</v>
      </c>
      <c r="Z6" s="4"/>
      <c r="AA6" s="351" t="s">
        <v>2901</v>
      </c>
      <c r="AB6" s="351">
        <v>5</v>
      </c>
      <c r="AC6" s="351" t="s">
        <v>2795</v>
      </c>
      <c r="AD6" s="9" t="s">
        <v>2920</v>
      </c>
    </row>
    <row r="7" spans="1:32" ht="15">
      <c r="E7" s="70">
        <v>5</v>
      </c>
      <c r="I7" s="14" t="s">
        <v>2796</v>
      </c>
      <c r="K7" s="293" t="s">
        <v>2753</v>
      </c>
      <c r="O7" s="296" t="s">
        <v>2776</v>
      </c>
      <c r="P7" s="273" t="s">
        <v>2708</v>
      </c>
      <c r="S7">
        <v>6</v>
      </c>
      <c r="T7" s="4"/>
      <c r="U7" s="260" t="s">
        <v>993</v>
      </c>
      <c r="V7" s="4"/>
      <c r="W7" s="260"/>
      <c r="X7" s="260"/>
      <c r="Y7" s="4"/>
      <c r="Z7" s="4"/>
      <c r="AA7" s="351" t="s">
        <v>2903</v>
      </c>
      <c r="AB7" s="351">
        <v>6</v>
      </c>
      <c r="AD7" s="9" t="s">
        <v>2921</v>
      </c>
    </row>
    <row r="8" spans="1:32" ht="15">
      <c r="E8" s="70">
        <v>6</v>
      </c>
      <c r="I8" s="14"/>
      <c r="K8" s="293" t="s">
        <v>2754</v>
      </c>
      <c r="O8" s="296" t="s">
        <v>2777</v>
      </c>
      <c r="S8">
        <v>7</v>
      </c>
      <c r="T8" s="4"/>
      <c r="U8" s="260" t="s">
        <v>994</v>
      </c>
      <c r="V8" s="4"/>
      <c r="W8" s="260" t="s">
        <v>990</v>
      </c>
      <c r="X8" s="260">
        <v>1.2</v>
      </c>
      <c r="Y8" s="4">
        <v>40</v>
      </c>
      <c r="Z8" s="4"/>
      <c r="AA8" s="4"/>
    </row>
    <row r="9" spans="1:32" ht="25.5">
      <c r="K9" s="293" t="s">
        <v>2755</v>
      </c>
      <c r="S9">
        <v>8</v>
      </c>
      <c r="T9" s="4"/>
      <c r="U9" s="260" t="s">
        <v>995</v>
      </c>
      <c r="V9" s="4"/>
      <c r="W9" s="260" t="s">
        <v>992</v>
      </c>
      <c r="X9" s="260">
        <v>1.3</v>
      </c>
      <c r="Y9" s="4">
        <v>16</v>
      </c>
      <c r="Z9" s="4"/>
      <c r="AA9" s="4"/>
    </row>
    <row r="10" spans="1:32">
      <c r="K10" s="293" t="s">
        <v>2756</v>
      </c>
      <c r="T10" s="4"/>
      <c r="U10" s="260" t="s">
        <v>1247</v>
      </c>
      <c r="V10" s="4"/>
      <c r="W10" s="260" t="s">
        <v>1247</v>
      </c>
      <c r="X10" s="260">
        <v>1.1000000000000001</v>
      </c>
      <c r="Y10" s="4">
        <v>35</v>
      </c>
      <c r="Z10" s="4"/>
      <c r="AA10" s="4"/>
    </row>
    <row r="11" spans="1:32">
      <c r="T11" s="4"/>
      <c r="U11" s="260" t="s">
        <v>1332</v>
      </c>
      <c r="V11" s="4"/>
      <c r="W11" s="260" t="s">
        <v>998</v>
      </c>
      <c r="X11" s="260">
        <v>0.2</v>
      </c>
      <c r="Y11" s="4">
        <v>7</v>
      </c>
      <c r="Z11" s="4"/>
      <c r="AA11" s="4"/>
    </row>
    <row r="12" spans="1:32">
      <c r="T12" s="4"/>
      <c r="U12" s="260" t="s">
        <v>996</v>
      </c>
      <c r="V12" s="4"/>
      <c r="W12" s="260" t="s">
        <v>995</v>
      </c>
      <c r="X12" s="260">
        <v>0.9</v>
      </c>
      <c r="Y12" s="4">
        <v>12</v>
      </c>
      <c r="Z12" s="4"/>
      <c r="AA12" s="4"/>
    </row>
    <row r="13" spans="1:32">
      <c r="T13" s="4"/>
      <c r="U13" s="260" t="s">
        <v>997</v>
      </c>
      <c r="V13" s="4"/>
      <c r="W13" s="260" t="s">
        <v>994</v>
      </c>
      <c r="X13" s="260">
        <v>0.6</v>
      </c>
      <c r="Y13" s="4">
        <v>15</v>
      </c>
      <c r="Z13" s="4"/>
      <c r="AA13" s="4"/>
    </row>
    <row r="14" spans="1:32">
      <c r="K14" s="293"/>
      <c r="T14" s="4"/>
      <c r="U14" s="260" t="s">
        <v>1079</v>
      </c>
      <c r="V14" s="4"/>
      <c r="W14" s="260" t="s">
        <v>988</v>
      </c>
      <c r="X14" s="260">
        <v>0.8</v>
      </c>
      <c r="Y14" s="4">
        <v>20</v>
      </c>
      <c r="Z14" s="4"/>
      <c r="AA14" s="4"/>
    </row>
    <row r="15" spans="1:32">
      <c r="T15" s="4"/>
      <c r="U15" s="260" t="s">
        <v>2317</v>
      </c>
      <c r="V15" s="4"/>
      <c r="W15" s="260" t="s">
        <v>989</v>
      </c>
      <c r="X15" s="260">
        <v>0.3</v>
      </c>
      <c r="Y15" s="4">
        <v>8</v>
      </c>
      <c r="Z15" s="4"/>
      <c r="AA15" s="4"/>
    </row>
    <row r="16" spans="1:32">
      <c r="T16" s="4"/>
      <c r="U16" s="260"/>
      <c r="V16" s="4"/>
      <c r="W16" s="260" t="s">
        <v>997</v>
      </c>
      <c r="X16" s="260">
        <v>1.9</v>
      </c>
      <c r="Y16" s="4">
        <v>50</v>
      </c>
      <c r="Z16" s="4"/>
      <c r="AA16" s="4"/>
    </row>
    <row r="17" spans="20:27">
      <c r="T17" s="4"/>
      <c r="U17" s="4"/>
      <c r="V17" s="4"/>
      <c r="W17" s="4"/>
      <c r="X17" s="4"/>
      <c r="Y17" s="4"/>
      <c r="Z17" s="4"/>
      <c r="AA17" s="4"/>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sheetPr>
    <pageSetUpPr fitToPage="1"/>
  </sheetPr>
  <dimension ref="B1:C41"/>
  <sheetViews>
    <sheetView showGridLines="0" tabSelected="1" workbookViewId="0">
      <selection activeCell="B2" sqref="B2"/>
    </sheetView>
  </sheetViews>
  <sheetFormatPr defaultRowHeight="12"/>
  <cols>
    <col min="1" max="1" width="2.42578125" style="429" customWidth="1"/>
    <col min="2" max="2" width="9.140625" style="429"/>
    <col min="3" max="3" width="112.85546875" style="429" customWidth="1"/>
    <col min="4" max="258" width="9.140625" style="429"/>
    <col min="259" max="259" width="112.7109375" style="429" customWidth="1"/>
    <col min="260" max="514" width="9.140625" style="429"/>
    <col min="515" max="515" width="112.7109375" style="429" customWidth="1"/>
    <col min="516" max="770" width="9.140625" style="429"/>
    <col min="771" max="771" width="112.7109375" style="429" customWidth="1"/>
    <col min="772" max="1026" width="9.140625" style="429"/>
    <col min="1027" max="1027" width="112.7109375" style="429" customWidth="1"/>
    <col min="1028" max="1282" width="9.140625" style="429"/>
    <col min="1283" max="1283" width="112.7109375" style="429" customWidth="1"/>
    <col min="1284" max="1538" width="9.140625" style="429"/>
    <col min="1539" max="1539" width="112.7109375" style="429" customWidth="1"/>
    <col min="1540" max="1794" width="9.140625" style="429"/>
    <col min="1795" max="1795" width="112.7109375" style="429" customWidth="1"/>
    <col min="1796" max="2050" width="9.140625" style="429"/>
    <col min="2051" max="2051" width="112.7109375" style="429" customWidth="1"/>
    <col min="2052" max="2306" width="9.140625" style="429"/>
    <col min="2307" max="2307" width="112.7109375" style="429" customWidth="1"/>
    <col min="2308" max="2562" width="9.140625" style="429"/>
    <col min="2563" max="2563" width="112.7109375" style="429" customWidth="1"/>
    <col min="2564" max="2818" width="9.140625" style="429"/>
    <col min="2819" max="2819" width="112.7109375" style="429" customWidth="1"/>
    <col min="2820" max="3074" width="9.140625" style="429"/>
    <col min="3075" max="3075" width="112.7109375" style="429" customWidth="1"/>
    <col min="3076" max="3330" width="9.140625" style="429"/>
    <col min="3331" max="3331" width="112.7109375" style="429" customWidth="1"/>
    <col min="3332" max="3586" width="9.140625" style="429"/>
    <col min="3587" max="3587" width="112.7109375" style="429" customWidth="1"/>
    <col min="3588" max="3842" width="9.140625" style="429"/>
    <col min="3843" max="3843" width="112.7109375" style="429" customWidth="1"/>
    <col min="3844" max="4098" width="9.140625" style="429"/>
    <col min="4099" max="4099" width="112.7109375" style="429" customWidth="1"/>
    <col min="4100" max="4354" width="9.140625" style="429"/>
    <col min="4355" max="4355" width="112.7109375" style="429" customWidth="1"/>
    <col min="4356" max="4610" width="9.140625" style="429"/>
    <col min="4611" max="4611" width="112.7109375" style="429" customWidth="1"/>
    <col min="4612" max="4866" width="9.140625" style="429"/>
    <col min="4867" max="4867" width="112.7109375" style="429" customWidth="1"/>
    <col min="4868" max="5122" width="9.140625" style="429"/>
    <col min="5123" max="5123" width="112.7109375" style="429" customWidth="1"/>
    <col min="5124" max="5378" width="9.140625" style="429"/>
    <col min="5379" max="5379" width="112.7109375" style="429" customWidth="1"/>
    <col min="5380" max="5634" width="9.140625" style="429"/>
    <col min="5635" max="5635" width="112.7109375" style="429" customWidth="1"/>
    <col min="5636" max="5890" width="9.140625" style="429"/>
    <col min="5891" max="5891" width="112.7109375" style="429" customWidth="1"/>
    <col min="5892" max="6146" width="9.140625" style="429"/>
    <col min="6147" max="6147" width="112.7109375" style="429" customWidth="1"/>
    <col min="6148" max="6402" width="9.140625" style="429"/>
    <col min="6403" max="6403" width="112.7109375" style="429" customWidth="1"/>
    <col min="6404" max="6658" width="9.140625" style="429"/>
    <col min="6659" max="6659" width="112.7109375" style="429" customWidth="1"/>
    <col min="6660" max="6914" width="9.140625" style="429"/>
    <col min="6915" max="6915" width="112.7109375" style="429" customWidth="1"/>
    <col min="6916" max="7170" width="9.140625" style="429"/>
    <col min="7171" max="7171" width="112.7109375" style="429" customWidth="1"/>
    <col min="7172" max="7426" width="9.140625" style="429"/>
    <col min="7427" max="7427" width="112.7109375" style="429" customWidth="1"/>
    <col min="7428" max="7682" width="9.140625" style="429"/>
    <col min="7683" max="7683" width="112.7109375" style="429" customWidth="1"/>
    <col min="7684" max="7938" width="9.140625" style="429"/>
    <col min="7939" max="7939" width="112.7109375" style="429" customWidth="1"/>
    <col min="7940" max="8194" width="9.140625" style="429"/>
    <col min="8195" max="8195" width="112.7109375" style="429" customWidth="1"/>
    <col min="8196" max="8450" width="9.140625" style="429"/>
    <col min="8451" max="8451" width="112.7109375" style="429" customWidth="1"/>
    <col min="8452" max="8706" width="9.140625" style="429"/>
    <col min="8707" max="8707" width="112.7109375" style="429" customWidth="1"/>
    <col min="8708" max="8962" width="9.140625" style="429"/>
    <col min="8963" max="8963" width="112.7109375" style="429" customWidth="1"/>
    <col min="8964" max="9218" width="9.140625" style="429"/>
    <col min="9219" max="9219" width="112.7109375" style="429" customWidth="1"/>
    <col min="9220" max="9474" width="9.140625" style="429"/>
    <col min="9475" max="9475" width="112.7109375" style="429" customWidth="1"/>
    <col min="9476" max="9730" width="9.140625" style="429"/>
    <col min="9731" max="9731" width="112.7109375" style="429" customWidth="1"/>
    <col min="9732" max="9986" width="9.140625" style="429"/>
    <col min="9987" max="9987" width="112.7109375" style="429" customWidth="1"/>
    <col min="9988" max="10242" width="9.140625" style="429"/>
    <col min="10243" max="10243" width="112.7109375" style="429" customWidth="1"/>
    <col min="10244" max="10498" width="9.140625" style="429"/>
    <col min="10499" max="10499" width="112.7109375" style="429" customWidth="1"/>
    <col min="10500" max="10754" width="9.140625" style="429"/>
    <col min="10755" max="10755" width="112.7109375" style="429" customWidth="1"/>
    <col min="10756" max="11010" width="9.140625" style="429"/>
    <col min="11011" max="11011" width="112.7109375" style="429" customWidth="1"/>
    <col min="11012" max="11266" width="9.140625" style="429"/>
    <col min="11267" max="11267" width="112.7109375" style="429" customWidth="1"/>
    <col min="11268" max="11522" width="9.140625" style="429"/>
    <col min="11523" max="11523" width="112.7109375" style="429" customWidth="1"/>
    <col min="11524" max="11778" width="9.140625" style="429"/>
    <col min="11779" max="11779" width="112.7109375" style="429" customWidth="1"/>
    <col min="11780" max="12034" width="9.140625" style="429"/>
    <col min="12035" max="12035" width="112.7109375" style="429" customWidth="1"/>
    <col min="12036" max="12290" width="9.140625" style="429"/>
    <col min="12291" max="12291" width="112.7109375" style="429" customWidth="1"/>
    <col min="12292" max="12546" width="9.140625" style="429"/>
    <col min="12547" max="12547" width="112.7109375" style="429" customWidth="1"/>
    <col min="12548" max="12802" width="9.140625" style="429"/>
    <col min="12803" max="12803" width="112.7109375" style="429" customWidth="1"/>
    <col min="12804" max="13058" width="9.140625" style="429"/>
    <col min="13059" max="13059" width="112.7109375" style="429" customWidth="1"/>
    <col min="13060" max="13314" width="9.140625" style="429"/>
    <col min="13315" max="13315" width="112.7109375" style="429" customWidth="1"/>
    <col min="13316" max="13570" width="9.140625" style="429"/>
    <col min="13571" max="13571" width="112.7109375" style="429" customWidth="1"/>
    <col min="13572" max="13826" width="9.140625" style="429"/>
    <col min="13827" max="13827" width="112.7109375" style="429" customWidth="1"/>
    <col min="13828" max="14082" width="9.140625" style="429"/>
    <col min="14083" max="14083" width="112.7109375" style="429" customWidth="1"/>
    <col min="14084" max="14338" width="9.140625" style="429"/>
    <col min="14339" max="14339" width="112.7109375" style="429" customWidth="1"/>
    <col min="14340" max="14594" width="9.140625" style="429"/>
    <col min="14595" max="14595" width="112.7109375" style="429" customWidth="1"/>
    <col min="14596" max="14850" width="9.140625" style="429"/>
    <col min="14851" max="14851" width="112.7109375" style="429" customWidth="1"/>
    <col min="14852" max="15106" width="9.140625" style="429"/>
    <col min="15107" max="15107" width="112.7109375" style="429" customWidth="1"/>
    <col min="15108" max="15362" width="9.140625" style="429"/>
    <col min="15363" max="15363" width="112.7109375" style="429" customWidth="1"/>
    <col min="15364" max="15618" width="9.140625" style="429"/>
    <col min="15619" max="15619" width="112.7109375" style="429" customWidth="1"/>
    <col min="15620" max="15874" width="9.140625" style="429"/>
    <col min="15875" max="15875" width="112.7109375" style="429" customWidth="1"/>
    <col min="15876" max="16130" width="9.140625" style="429"/>
    <col min="16131" max="16131" width="112.7109375" style="429" customWidth="1"/>
    <col min="16132" max="16384" width="9.140625" style="429"/>
  </cols>
  <sheetData>
    <row r="1" spans="2:3" ht="18.75">
      <c r="B1" s="761" t="s">
        <v>3027</v>
      </c>
      <c r="C1" s="528"/>
    </row>
    <row r="2" spans="2:3" ht="18.75">
      <c r="B2" s="761" t="s">
        <v>3026</v>
      </c>
      <c r="C2" s="528"/>
    </row>
    <row r="3" spans="2:3" ht="12.75" thickBot="1">
      <c r="B3" s="529"/>
      <c r="C3" s="530"/>
    </row>
    <row r="4" spans="2:3" ht="35.25" customHeight="1">
      <c r="B4" s="696" t="s">
        <v>3009</v>
      </c>
      <c r="C4" s="697"/>
    </row>
    <row r="5" spans="2:3">
      <c r="B5" s="531"/>
      <c r="C5" s="532"/>
    </row>
    <row r="6" spans="2:3" ht="30.75" customHeight="1">
      <c r="B6" s="698" t="s">
        <v>2806</v>
      </c>
      <c r="C6" s="699"/>
    </row>
    <row r="7" spans="2:3">
      <c r="B7" s="531"/>
      <c r="C7" s="532"/>
    </row>
    <row r="8" spans="2:3">
      <c r="B8" s="533" t="s">
        <v>3008</v>
      </c>
      <c r="C8" s="534"/>
    </row>
    <row r="9" spans="2:3">
      <c r="B9" s="533"/>
      <c r="C9" s="535" t="s">
        <v>2988</v>
      </c>
    </row>
    <row r="10" spans="2:3">
      <c r="B10" s="533"/>
      <c r="C10" s="534"/>
    </row>
    <row r="11" spans="2:3">
      <c r="B11" s="533" t="s">
        <v>2807</v>
      </c>
      <c r="C11" s="534"/>
    </row>
    <row r="12" spans="2:3">
      <c r="B12" s="533"/>
      <c r="C12" s="535" t="s">
        <v>2808</v>
      </c>
    </row>
    <row r="13" spans="2:3">
      <c r="B13" s="533"/>
      <c r="C13" s="534"/>
    </row>
    <row r="14" spans="2:3">
      <c r="B14" s="533" t="s">
        <v>2810</v>
      </c>
      <c r="C14" s="534"/>
    </row>
    <row r="15" spans="2:3" ht="24">
      <c r="B15" s="533"/>
      <c r="C15" s="535" t="s">
        <v>2811</v>
      </c>
    </row>
    <row r="16" spans="2:3">
      <c r="B16" s="533"/>
      <c r="C16" s="537"/>
    </row>
    <row r="17" spans="2:3">
      <c r="B17" s="533" t="s">
        <v>520</v>
      </c>
      <c r="C17" s="534"/>
    </row>
    <row r="18" spans="2:3">
      <c r="B18" s="533"/>
      <c r="C18" s="535" t="s">
        <v>2812</v>
      </c>
    </row>
    <row r="19" spans="2:3">
      <c r="B19" s="533"/>
      <c r="C19" s="537"/>
    </row>
    <row r="20" spans="2:3">
      <c r="B20" s="533" t="s">
        <v>2813</v>
      </c>
      <c r="C20" s="534"/>
    </row>
    <row r="21" spans="2:3" ht="24">
      <c r="B21" s="533"/>
      <c r="C21" s="535" t="s">
        <v>2814</v>
      </c>
    </row>
    <row r="22" spans="2:3">
      <c r="B22" s="533"/>
      <c r="C22" s="537"/>
    </row>
    <row r="23" spans="2:3">
      <c r="B23" s="533" t="s">
        <v>2817</v>
      </c>
      <c r="C23" s="534"/>
    </row>
    <row r="24" spans="2:3" ht="60">
      <c r="B24" s="533"/>
      <c r="C24" s="535" t="s">
        <v>2818</v>
      </c>
    </row>
    <row r="25" spans="2:3">
      <c r="B25" s="533"/>
      <c r="C25" s="537"/>
    </row>
    <row r="26" spans="2:3">
      <c r="B26" s="533" t="s">
        <v>2819</v>
      </c>
      <c r="C26" s="534"/>
    </row>
    <row r="27" spans="2:3" ht="24">
      <c r="B27" s="533"/>
      <c r="C27" s="535" t="s">
        <v>2820</v>
      </c>
    </row>
    <row r="28" spans="2:3">
      <c r="B28" s="533"/>
      <c r="C28" s="537"/>
    </row>
    <row r="29" spans="2:3">
      <c r="B29" s="533"/>
      <c r="C29" s="537"/>
    </row>
    <row r="30" spans="2:3">
      <c r="B30" s="533" t="s">
        <v>2815</v>
      </c>
      <c r="C30" s="534"/>
    </row>
    <row r="31" spans="2:3" ht="48">
      <c r="B31" s="533"/>
      <c r="C31" s="535" t="s">
        <v>2816</v>
      </c>
    </row>
    <row r="32" spans="2:3">
      <c r="B32" s="533"/>
      <c r="C32" s="534"/>
    </row>
    <row r="33" spans="2:3">
      <c r="B33" s="533" t="s">
        <v>2821</v>
      </c>
      <c r="C33" s="534"/>
    </row>
    <row r="34" spans="2:3" ht="24">
      <c r="B34" s="533"/>
      <c r="C34" s="535" t="s">
        <v>2822</v>
      </c>
    </row>
    <row r="35" spans="2:3">
      <c r="B35" s="533"/>
      <c r="C35" s="534"/>
    </row>
    <row r="36" spans="2:3">
      <c r="B36" s="533" t="s">
        <v>2823</v>
      </c>
      <c r="C36" s="534"/>
    </row>
    <row r="37" spans="2:3" ht="24">
      <c r="B37" s="533"/>
      <c r="C37" s="535" t="s">
        <v>2824</v>
      </c>
    </row>
    <row r="38" spans="2:3">
      <c r="B38" s="533"/>
      <c r="C38" s="534"/>
    </row>
    <row r="39" spans="2:3">
      <c r="B39" s="533" t="s">
        <v>2758</v>
      </c>
      <c r="C39" s="534"/>
    </row>
    <row r="40" spans="2:3" ht="36">
      <c r="B40" s="533"/>
      <c r="C40" s="535" t="s">
        <v>2809</v>
      </c>
    </row>
    <row r="41" spans="2:3" ht="12.75" thickBot="1">
      <c r="B41" s="538"/>
      <c r="C41" s="539"/>
    </row>
  </sheetData>
  <mergeCells count="2">
    <mergeCell ref="B4:C4"/>
    <mergeCell ref="B6:C6"/>
  </mergeCells>
  <pageMargins left="0.7" right="0.7" top="0.75" bottom="0.75" header="0.3" footer="0.3"/>
  <pageSetup scale="54" orientation="portrait" r:id="rId1"/>
</worksheet>
</file>

<file path=xl/worksheets/sheet7.xml><?xml version="1.0" encoding="utf-8"?>
<worksheet xmlns="http://schemas.openxmlformats.org/spreadsheetml/2006/main" xmlns:r="http://schemas.openxmlformats.org/officeDocument/2006/relationships">
  <sheetPr codeName="Sheet8" enableFormatConditionsCalculation="0">
    <tabColor theme="6" tint="0.39997558519241921"/>
    <pageSetUpPr fitToPage="1"/>
  </sheetPr>
  <dimension ref="A1:H27"/>
  <sheetViews>
    <sheetView showGridLines="0" zoomScaleNormal="100" workbookViewId="0">
      <selection activeCell="B1" sqref="B1"/>
    </sheetView>
  </sheetViews>
  <sheetFormatPr defaultRowHeight="12"/>
  <cols>
    <col min="1" max="1" width="3" style="429" customWidth="1"/>
    <col min="2" max="2" width="35.42578125" style="429" customWidth="1"/>
    <col min="3" max="3" width="19.42578125" style="429" bestFit="1" customWidth="1"/>
    <col min="4" max="4" width="23.140625" style="429" customWidth="1"/>
    <col min="5" max="5" width="22.28515625" style="429" customWidth="1"/>
    <col min="6" max="6" width="29.85546875" style="429" customWidth="1"/>
    <col min="7" max="8" width="9.140625" style="429"/>
    <col min="9" max="10" width="9.140625" style="429" customWidth="1"/>
    <col min="11" max="16384" width="9.140625" style="429"/>
  </cols>
  <sheetData>
    <row r="1" spans="2:7" ht="18.75">
      <c r="B1" s="452" t="s">
        <v>905</v>
      </c>
    </row>
    <row r="2" spans="2:7">
      <c r="B2" s="429" t="s">
        <v>3005</v>
      </c>
    </row>
    <row r="3" spans="2:7">
      <c r="B3" s="456"/>
      <c r="C3" s="682" t="s">
        <v>3003</v>
      </c>
    </row>
    <row r="4" spans="2:7">
      <c r="B4" s="433" t="s">
        <v>1328</v>
      </c>
      <c r="C4" s="760"/>
    </row>
    <row r="5" spans="2:7">
      <c r="B5" s="433" t="s">
        <v>1329</v>
      </c>
      <c r="C5" s="760"/>
    </row>
    <row r="6" spans="2:7">
      <c r="B6" s="433" t="s">
        <v>1330</v>
      </c>
      <c r="C6" s="760"/>
    </row>
    <row r="7" spans="2:7">
      <c r="B7" s="433" t="s">
        <v>15</v>
      </c>
      <c r="C7" s="760"/>
    </row>
    <row r="8" spans="2:7">
      <c r="B8" s="433" t="s">
        <v>16</v>
      </c>
      <c r="C8" s="760"/>
    </row>
    <row r="9" spans="2:7">
      <c r="C9" s="429" t="s">
        <v>668</v>
      </c>
    </row>
    <row r="10" spans="2:7">
      <c r="B10" s="682" t="s">
        <v>1331</v>
      </c>
      <c r="C10" s="682" t="s">
        <v>17</v>
      </c>
      <c r="D10" s="682" t="s">
        <v>18</v>
      </c>
      <c r="E10" s="682" t="s">
        <v>2704</v>
      </c>
      <c r="F10" s="477"/>
      <c r="G10" s="313"/>
    </row>
    <row r="11" spans="2:7">
      <c r="B11" s="437" t="s">
        <v>14</v>
      </c>
      <c r="C11" s="475"/>
      <c r="D11" s="475" t="s">
        <v>2708</v>
      </c>
      <c r="E11" s="475" t="s">
        <v>2708</v>
      </c>
      <c r="F11" s="478"/>
      <c r="G11" s="479" t="str">
        <f>IF(D11="Unconditioned",Lookup!$A$2, "")</f>
        <v/>
      </c>
    </row>
    <row r="12" spans="2:7">
      <c r="B12" s="437" t="s">
        <v>988</v>
      </c>
      <c r="C12" s="480"/>
      <c r="D12" s="475" t="s">
        <v>2708</v>
      </c>
      <c r="E12" s="475" t="s">
        <v>2708</v>
      </c>
      <c r="F12" s="478"/>
      <c r="G12" s="479" t="str">
        <f>IF(D12="Unconditioned",Lookup!$A$2, "")</f>
        <v/>
      </c>
    </row>
    <row r="13" spans="2:7">
      <c r="B13" s="437" t="s">
        <v>989</v>
      </c>
      <c r="C13" s="480"/>
      <c r="D13" s="475" t="s">
        <v>2708</v>
      </c>
      <c r="E13" s="475" t="s">
        <v>2708</v>
      </c>
      <c r="F13" s="481"/>
      <c r="G13" s="479" t="str">
        <f>IF(D13="Unconditioned",Lookup!$A$2, "")</f>
        <v/>
      </c>
    </row>
    <row r="14" spans="2:7">
      <c r="B14" s="437" t="s">
        <v>992</v>
      </c>
      <c r="C14" s="480"/>
      <c r="D14" s="475" t="s">
        <v>2708</v>
      </c>
      <c r="E14" s="475" t="s">
        <v>2708</v>
      </c>
      <c r="F14" s="481"/>
      <c r="G14" s="479" t="str">
        <f>IF(D14="Unconditioned",Lookup!$A$2, "")</f>
        <v/>
      </c>
    </row>
    <row r="15" spans="2:7">
      <c r="B15" s="437" t="s">
        <v>993</v>
      </c>
      <c r="C15" s="480"/>
      <c r="D15" s="475" t="s">
        <v>2708</v>
      </c>
      <c r="E15" s="475" t="s">
        <v>2708</v>
      </c>
      <c r="F15" s="481"/>
      <c r="G15" s="479" t="str">
        <f>IF(D15="Unconditioned",Lookup!$A$2, "")</f>
        <v/>
      </c>
    </row>
    <row r="16" spans="2:7">
      <c r="B16" s="437" t="s">
        <v>994</v>
      </c>
      <c r="C16" s="480"/>
      <c r="D16" s="475" t="s">
        <v>2708</v>
      </c>
      <c r="E16" s="475" t="s">
        <v>2708</v>
      </c>
      <c r="F16" s="481"/>
      <c r="G16" s="479" t="str">
        <f>IF(D16="Unconditioned",Lookup!$A$2, "")</f>
        <v/>
      </c>
    </row>
    <row r="17" spans="1:8">
      <c r="B17" s="437" t="s">
        <v>995</v>
      </c>
      <c r="C17" s="480"/>
      <c r="D17" s="475" t="s">
        <v>2708</v>
      </c>
      <c r="E17" s="475" t="s">
        <v>2708</v>
      </c>
      <c r="F17" s="481"/>
      <c r="G17" s="479" t="str">
        <f>IF(D17="Unconditioned",Lookup!$A$2, "")</f>
        <v/>
      </c>
    </row>
    <row r="18" spans="1:8">
      <c r="B18" s="437" t="s">
        <v>1247</v>
      </c>
      <c r="C18" s="480"/>
      <c r="D18" s="475" t="s">
        <v>2708</v>
      </c>
      <c r="E18" s="475" t="s">
        <v>2708</v>
      </c>
      <c r="F18" s="481"/>
      <c r="G18" s="479" t="str">
        <f>IF(D18="Unconditioned",Lookup!$A$2, "")</f>
        <v/>
      </c>
    </row>
    <row r="19" spans="1:8">
      <c r="B19" s="437" t="s">
        <v>1332</v>
      </c>
      <c r="C19" s="480"/>
      <c r="D19" s="475" t="s">
        <v>2708</v>
      </c>
      <c r="E19" s="475" t="s">
        <v>2708</v>
      </c>
      <c r="F19" s="481"/>
      <c r="G19" s="479" t="str">
        <f>IF(D19="Unconditioned",Lookup!$A$2, "")</f>
        <v/>
      </c>
    </row>
    <row r="20" spans="1:8">
      <c r="B20" s="437" t="s">
        <v>996</v>
      </c>
      <c r="C20" s="480"/>
      <c r="D20" s="475" t="s">
        <v>2708</v>
      </c>
      <c r="E20" s="475" t="s">
        <v>2708</v>
      </c>
      <c r="F20" s="481"/>
      <c r="G20" s="479" t="str">
        <f>IF(D20="Unconditioned",Lookup!$A$2, "")</f>
        <v/>
      </c>
      <c r="H20" s="482"/>
    </row>
    <row r="21" spans="1:8">
      <c r="B21" s="437" t="s">
        <v>997</v>
      </c>
      <c r="C21" s="480"/>
      <c r="D21" s="475" t="s">
        <v>2708</v>
      </c>
      <c r="E21" s="475" t="s">
        <v>2708</v>
      </c>
      <c r="F21" s="481"/>
      <c r="G21" s="479" t="str">
        <f>IF(D21="Unconditioned",Lookup!$A$2, "")</f>
        <v/>
      </c>
    </row>
    <row r="22" spans="1:8">
      <c r="B22" s="437" t="s">
        <v>998</v>
      </c>
      <c r="C22" s="480"/>
      <c r="D22" s="475" t="s">
        <v>2708</v>
      </c>
      <c r="E22" s="475" t="s">
        <v>2708</v>
      </c>
      <c r="F22" s="481"/>
      <c r="G22" s="479" t="str">
        <f>IF(OR(D22="Heated-Only",D22="Heated &amp; Cooled")=TRUE,Lookup!A3,"")</f>
        <v/>
      </c>
    </row>
    <row r="23" spans="1:8">
      <c r="A23" s="313"/>
      <c r="B23" s="437" t="s">
        <v>2640</v>
      </c>
      <c r="C23" s="475"/>
      <c r="D23" s="475" t="s">
        <v>2708</v>
      </c>
      <c r="E23" s="475" t="s">
        <v>2708</v>
      </c>
      <c r="F23" s="481"/>
      <c r="G23" s="479" t="str">
        <f>IF(D23="Unconditioned",Lookup!$A$2, "")</f>
        <v/>
      </c>
    </row>
    <row r="24" spans="1:8">
      <c r="B24" s="437" t="s">
        <v>2719</v>
      </c>
      <c r="C24" s="683">
        <f>SUM(C11:C23)</f>
        <v>0</v>
      </c>
      <c r="D24" s="483"/>
      <c r="E24" s="483"/>
      <c r="F24" s="313"/>
      <c r="G24" s="313"/>
    </row>
    <row r="25" spans="1:8">
      <c r="B25" s="437" t="s">
        <v>2720</v>
      </c>
      <c r="C25" s="683">
        <f>'GHSF Calculator'!E15</f>
        <v>0</v>
      </c>
      <c r="E25" s="313"/>
    </row>
    <row r="27" spans="1:8">
      <c r="B27" s="433" t="s">
        <v>2350</v>
      </c>
      <c r="C27" s="484" t="s">
        <v>2708</v>
      </c>
    </row>
  </sheetData>
  <phoneticPr fontId="29" type="noConversion"/>
  <dataValidations xWindow="464" yWindow="322" count="3">
    <dataValidation type="list" allowBlank="1" showInputMessage="1" showErrorMessage="1" sqref="C27">
      <formula1>Garage</formula1>
    </dataValidation>
    <dataValidation type="list" allowBlank="1" showInputMessage="1" showErrorMessage="1" sqref="D11:D23">
      <formula1>Condition</formula1>
    </dataValidation>
    <dataValidation type="list" allowBlank="1" showInputMessage="1" showErrorMessage="1" sqref="E11:E23">
      <formula1>YN</formula1>
    </dataValidation>
  </dataValidations>
  <printOptions gridLines="1"/>
  <pageMargins left="0.75" right="0.75" top="1" bottom="1" header="0.5" footer="0.5"/>
  <pageSetup scale="46" orientation="landscape" r:id="rId1"/>
  <headerFooter alignWithMargins="0"/>
  <ignoredErrors>
    <ignoredError sqref="G22" formula="1"/>
  </ignoredErrors>
  <legacyDrawing r:id="rId2"/>
</worksheet>
</file>

<file path=xl/worksheets/sheet8.xml><?xml version="1.0" encoding="utf-8"?>
<worksheet xmlns="http://schemas.openxmlformats.org/spreadsheetml/2006/main" xmlns:r="http://schemas.openxmlformats.org/officeDocument/2006/relationships">
  <sheetPr>
    <tabColor theme="5" tint="-0.249977111117893"/>
  </sheetPr>
  <dimension ref="A1:AY193"/>
  <sheetViews>
    <sheetView showGridLines="0" workbookViewId="0">
      <selection activeCell="E3" sqref="E3"/>
    </sheetView>
  </sheetViews>
  <sheetFormatPr defaultRowHeight="12"/>
  <cols>
    <col min="1" max="1" width="81.140625" style="326" bestFit="1" customWidth="1"/>
    <col min="2" max="2" width="11.85546875" style="326" bestFit="1" customWidth="1"/>
    <col min="3" max="3" width="9.140625" style="326" bestFit="1" customWidth="1"/>
    <col min="4" max="4" width="8.28515625" style="326" bestFit="1" customWidth="1"/>
    <col min="5" max="5" width="11.5703125" style="326" customWidth="1"/>
    <col min="6" max="51" width="8.28515625" style="326" bestFit="1" customWidth="1"/>
    <col min="52" max="256" width="9.140625" style="326"/>
    <col min="257" max="257" width="81.140625" style="326" bestFit="1" customWidth="1"/>
    <col min="258" max="258" width="11.85546875" style="326" bestFit="1" customWidth="1"/>
    <col min="259" max="259" width="9.140625" style="326" bestFit="1" customWidth="1"/>
    <col min="260" max="307" width="8.28515625" style="326" bestFit="1" customWidth="1"/>
    <col min="308" max="512" width="9.140625" style="326"/>
    <col min="513" max="513" width="81.140625" style="326" bestFit="1" customWidth="1"/>
    <col min="514" max="514" width="11.85546875" style="326" bestFit="1" customWidth="1"/>
    <col min="515" max="515" width="9.140625" style="326" bestFit="1" customWidth="1"/>
    <col min="516" max="563" width="8.28515625" style="326" bestFit="1" customWidth="1"/>
    <col min="564" max="768" width="9.140625" style="326"/>
    <col min="769" max="769" width="81.140625" style="326" bestFit="1" customWidth="1"/>
    <col min="770" max="770" width="11.85546875" style="326" bestFit="1" customWidth="1"/>
    <col min="771" max="771" width="9.140625" style="326" bestFit="1" customWidth="1"/>
    <col min="772" max="819" width="8.28515625" style="326" bestFit="1" customWidth="1"/>
    <col min="820" max="1024" width="9.140625" style="326"/>
    <col min="1025" max="1025" width="81.140625" style="326" bestFit="1" customWidth="1"/>
    <col min="1026" max="1026" width="11.85546875" style="326" bestFit="1" customWidth="1"/>
    <col min="1027" max="1027" width="9.140625" style="326" bestFit="1" customWidth="1"/>
    <col min="1028" max="1075" width="8.28515625" style="326" bestFit="1" customWidth="1"/>
    <col min="1076" max="1280" width="9.140625" style="326"/>
    <col min="1281" max="1281" width="81.140625" style="326" bestFit="1" customWidth="1"/>
    <col min="1282" max="1282" width="11.85546875" style="326" bestFit="1" customWidth="1"/>
    <col min="1283" max="1283" width="9.140625" style="326" bestFit="1" customWidth="1"/>
    <col min="1284" max="1331" width="8.28515625" style="326" bestFit="1" customWidth="1"/>
    <col min="1332" max="1536" width="9.140625" style="326"/>
    <col min="1537" max="1537" width="81.140625" style="326" bestFit="1" customWidth="1"/>
    <col min="1538" max="1538" width="11.85546875" style="326" bestFit="1" customWidth="1"/>
    <col min="1539" max="1539" width="9.140625" style="326" bestFit="1" customWidth="1"/>
    <col min="1540" max="1587" width="8.28515625" style="326" bestFit="1" customWidth="1"/>
    <col min="1588" max="1792" width="9.140625" style="326"/>
    <col min="1793" max="1793" width="81.140625" style="326" bestFit="1" customWidth="1"/>
    <col min="1794" max="1794" width="11.85546875" style="326" bestFit="1" customWidth="1"/>
    <col min="1795" max="1795" width="9.140625" style="326" bestFit="1" customWidth="1"/>
    <col min="1796" max="1843" width="8.28515625" style="326" bestFit="1" customWidth="1"/>
    <col min="1844" max="2048" width="9.140625" style="326"/>
    <col min="2049" max="2049" width="81.140625" style="326" bestFit="1" customWidth="1"/>
    <col min="2050" max="2050" width="11.85546875" style="326" bestFit="1" customWidth="1"/>
    <col min="2051" max="2051" width="9.140625" style="326" bestFit="1" customWidth="1"/>
    <col min="2052" max="2099" width="8.28515625" style="326" bestFit="1" customWidth="1"/>
    <col min="2100" max="2304" width="9.140625" style="326"/>
    <col min="2305" max="2305" width="81.140625" style="326" bestFit="1" customWidth="1"/>
    <col min="2306" max="2306" width="11.85546875" style="326" bestFit="1" customWidth="1"/>
    <col min="2307" max="2307" width="9.140625" style="326" bestFit="1" customWidth="1"/>
    <col min="2308" max="2355" width="8.28515625" style="326" bestFit="1" customWidth="1"/>
    <col min="2356" max="2560" width="9.140625" style="326"/>
    <col min="2561" max="2561" width="81.140625" style="326" bestFit="1" customWidth="1"/>
    <col min="2562" max="2562" width="11.85546875" style="326" bestFit="1" customWidth="1"/>
    <col min="2563" max="2563" width="9.140625" style="326" bestFit="1" customWidth="1"/>
    <col min="2564" max="2611" width="8.28515625" style="326" bestFit="1" customWidth="1"/>
    <col min="2612" max="2816" width="9.140625" style="326"/>
    <col min="2817" max="2817" width="81.140625" style="326" bestFit="1" customWidth="1"/>
    <col min="2818" max="2818" width="11.85546875" style="326" bestFit="1" customWidth="1"/>
    <col min="2819" max="2819" width="9.140625" style="326" bestFit="1" customWidth="1"/>
    <col min="2820" max="2867" width="8.28515625" style="326" bestFit="1" customWidth="1"/>
    <col min="2868" max="3072" width="9.140625" style="326"/>
    <col min="3073" max="3073" width="81.140625" style="326" bestFit="1" customWidth="1"/>
    <col min="3074" max="3074" width="11.85546875" style="326" bestFit="1" customWidth="1"/>
    <col min="3075" max="3075" width="9.140625" style="326" bestFit="1" customWidth="1"/>
    <col min="3076" max="3123" width="8.28515625" style="326" bestFit="1" customWidth="1"/>
    <col min="3124" max="3328" width="9.140625" style="326"/>
    <col min="3329" max="3329" width="81.140625" style="326" bestFit="1" customWidth="1"/>
    <col min="3330" max="3330" width="11.85546875" style="326" bestFit="1" customWidth="1"/>
    <col min="3331" max="3331" width="9.140625" style="326" bestFit="1" customWidth="1"/>
    <col min="3332" max="3379" width="8.28515625" style="326" bestFit="1" customWidth="1"/>
    <col min="3380" max="3584" width="9.140625" style="326"/>
    <col min="3585" max="3585" width="81.140625" style="326" bestFit="1" customWidth="1"/>
    <col min="3586" max="3586" width="11.85546875" style="326" bestFit="1" customWidth="1"/>
    <col min="3587" max="3587" width="9.140625" style="326" bestFit="1" customWidth="1"/>
    <col min="3588" max="3635" width="8.28515625" style="326" bestFit="1" customWidth="1"/>
    <col min="3636" max="3840" width="9.140625" style="326"/>
    <col min="3841" max="3841" width="81.140625" style="326" bestFit="1" customWidth="1"/>
    <col min="3842" max="3842" width="11.85546875" style="326" bestFit="1" customWidth="1"/>
    <col min="3843" max="3843" width="9.140625" style="326" bestFit="1" customWidth="1"/>
    <col min="3844" max="3891" width="8.28515625" style="326" bestFit="1" customWidth="1"/>
    <col min="3892" max="4096" width="9.140625" style="326"/>
    <col min="4097" max="4097" width="81.140625" style="326" bestFit="1" customWidth="1"/>
    <col min="4098" max="4098" width="11.85546875" style="326" bestFit="1" customWidth="1"/>
    <col min="4099" max="4099" width="9.140625" style="326" bestFit="1" customWidth="1"/>
    <col min="4100" max="4147" width="8.28515625" style="326" bestFit="1" customWidth="1"/>
    <col min="4148" max="4352" width="9.140625" style="326"/>
    <col min="4353" max="4353" width="81.140625" style="326" bestFit="1" customWidth="1"/>
    <col min="4354" max="4354" width="11.85546875" style="326" bestFit="1" customWidth="1"/>
    <col min="4355" max="4355" width="9.140625" style="326" bestFit="1" customWidth="1"/>
    <col min="4356" max="4403" width="8.28515625" style="326" bestFit="1" customWidth="1"/>
    <col min="4404" max="4608" width="9.140625" style="326"/>
    <col min="4609" max="4609" width="81.140625" style="326" bestFit="1" customWidth="1"/>
    <col min="4610" max="4610" width="11.85546875" style="326" bestFit="1" customWidth="1"/>
    <col min="4611" max="4611" width="9.140625" style="326" bestFit="1" customWidth="1"/>
    <col min="4612" max="4659" width="8.28515625" style="326" bestFit="1" customWidth="1"/>
    <col min="4660" max="4864" width="9.140625" style="326"/>
    <col min="4865" max="4865" width="81.140625" style="326" bestFit="1" customWidth="1"/>
    <col min="4866" max="4866" width="11.85546875" style="326" bestFit="1" customWidth="1"/>
    <col min="4867" max="4867" width="9.140625" style="326" bestFit="1" customWidth="1"/>
    <col min="4868" max="4915" width="8.28515625" style="326" bestFit="1" customWidth="1"/>
    <col min="4916" max="5120" width="9.140625" style="326"/>
    <col min="5121" max="5121" width="81.140625" style="326" bestFit="1" customWidth="1"/>
    <col min="5122" max="5122" width="11.85546875" style="326" bestFit="1" customWidth="1"/>
    <col min="5123" max="5123" width="9.140625" style="326" bestFit="1" customWidth="1"/>
    <col min="5124" max="5171" width="8.28515625" style="326" bestFit="1" customWidth="1"/>
    <col min="5172" max="5376" width="9.140625" style="326"/>
    <col min="5377" max="5377" width="81.140625" style="326" bestFit="1" customWidth="1"/>
    <col min="5378" max="5378" width="11.85546875" style="326" bestFit="1" customWidth="1"/>
    <col min="5379" max="5379" width="9.140625" style="326" bestFit="1" customWidth="1"/>
    <col min="5380" max="5427" width="8.28515625" style="326" bestFit="1" customWidth="1"/>
    <col min="5428" max="5632" width="9.140625" style="326"/>
    <col min="5633" max="5633" width="81.140625" style="326" bestFit="1" customWidth="1"/>
    <col min="5634" max="5634" width="11.85546875" style="326" bestFit="1" customWidth="1"/>
    <col min="5635" max="5635" width="9.140625" style="326" bestFit="1" customWidth="1"/>
    <col min="5636" max="5683" width="8.28515625" style="326" bestFit="1" customWidth="1"/>
    <col min="5684" max="5888" width="9.140625" style="326"/>
    <col min="5889" max="5889" width="81.140625" style="326" bestFit="1" customWidth="1"/>
    <col min="5890" max="5890" width="11.85546875" style="326" bestFit="1" customWidth="1"/>
    <col min="5891" max="5891" width="9.140625" style="326" bestFit="1" customWidth="1"/>
    <col min="5892" max="5939" width="8.28515625" style="326" bestFit="1" customWidth="1"/>
    <col min="5940" max="6144" width="9.140625" style="326"/>
    <col min="6145" max="6145" width="81.140625" style="326" bestFit="1" customWidth="1"/>
    <col min="6146" max="6146" width="11.85546875" style="326" bestFit="1" customWidth="1"/>
    <col min="6147" max="6147" width="9.140625" style="326" bestFit="1" customWidth="1"/>
    <col min="6148" max="6195" width="8.28515625" style="326" bestFit="1" customWidth="1"/>
    <col min="6196" max="6400" width="9.140625" style="326"/>
    <col min="6401" max="6401" width="81.140625" style="326" bestFit="1" customWidth="1"/>
    <col min="6402" max="6402" width="11.85546875" style="326" bestFit="1" customWidth="1"/>
    <col min="6403" max="6403" width="9.140625" style="326" bestFit="1" customWidth="1"/>
    <col min="6404" max="6451" width="8.28515625" style="326" bestFit="1" customWidth="1"/>
    <col min="6452" max="6656" width="9.140625" style="326"/>
    <col min="6657" max="6657" width="81.140625" style="326" bestFit="1" customWidth="1"/>
    <col min="6658" max="6658" width="11.85546875" style="326" bestFit="1" customWidth="1"/>
    <col min="6659" max="6659" width="9.140625" style="326" bestFit="1" customWidth="1"/>
    <col min="6660" max="6707" width="8.28515625" style="326" bestFit="1" customWidth="1"/>
    <col min="6708" max="6912" width="9.140625" style="326"/>
    <col min="6913" max="6913" width="81.140625" style="326" bestFit="1" customWidth="1"/>
    <col min="6914" max="6914" width="11.85546875" style="326" bestFit="1" customWidth="1"/>
    <col min="6915" max="6915" width="9.140625" style="326" bestFit="1" customWidth="1"/>
    <col min="6916" max="6963" width="8.28515625" style="326" bestFit="1" customWidth="1"/>
    <col min="6964" max="7168" width="9.140625" style="326"/>
    <col min="7169" max="7169" width="81.140625" style="326" bestFit="1" customWidth="1"/>
    <col min="7170" max="7170" width="11.85546875" style="326" bestFit="1" customWidth="1"/>
    <col min="7171" max="7171" width="9.140625" style="326" bestFit="1" customWidth="1"/>
    <col min="7172" max="7219" width="8.28515625" style="326" bestFit="1" customWidth="1"/>
    <col min="7220" max="7424" width="9.140625" style="326"/>
    <col min="7425" max="7425" width="81.140625" style="326" bestFit="1" customWidth="1"/>
    <col min="7426" max="7426" width="11.85546875" style="326" bestFit="1" customWidth="1"/>
    <col min="7427" max="7427" width="9.140625" style="326" bestFit="1" customWidth="1"/>
    <col min="7428" max="7475" width="8.28515625" style="326" bestFit="1" customWidth="1"/>
    <col min="7476" max="7680" width="9.140625" style="326"/>
    <col min="7681" max="7681" width="81.140625" style="326" bestFit="1" customWidth="1"/>
    <col min="7682" max="7682" width="11.85546875" style="326" bestFit="1" customWidth="1"/>
    <col min="7683" max="7683" width="9.140625" style="326" bestFit="1" customWidth="1"/>
    <col min="7684" max="7731" width="8.28515625" style="326" bestFit="1" customWidth="1"/>
    <col min="7732" max="7936" width="9.140625" style="326"/>
    <col min="7937" max="7937" width="81.140625" style="326" bestFit="1" customWidth="1"/>
    <col min="7938" max="7938" width="11.85546875" style="326" bestFit="1" customWidth="1"/>
    <col min="7939" max="7939" width="9.140625" style="326" bestFit="1" customWidth="1"/>
    <col min="7940" max="7987" width="8.28515625" style="326" bestFit="1" customWidth="1"/>
    <col min="7988" max="8192" width="9.140625" style="326"/>
    <col min="8193" max="8193" width="81.140625" style="326" bestFit="1" customWidth="1"/>
    <col min="8194" max="8194" width="11.85546875" style="326" bestFit="1" customWidth="1"/>
    <col min="8195" max="8195" width="9.140625" style="326" bestFit="1" customWidth="1"/>
    <col min="8196" max="8243" width="8.28515625" style="326" bestFit="1" customWidth="1"/>
    <col min="8244" max="8448" width="9.140625" style="326"/>
    <col min="8449" max="8449" width="81.140625" style="326" bestFit="1" customWidth="1"/>
    <col min="8450" max="8450" width="11.85546875" style="326" bestFit="1" customWidth="1"/>
    <col min="8451" max="8451" width="9.140625" style="326" bestFit="1" customWidth="1"/>
    <col min="8452" max="8499" width="8.28515625" style="326" bestFit="1" customWidth="1"/>
    <col min="8500" max="8704" width="9.140625" style="326"/>
    <col min="8705" max="8705" width="81.140625" style="326" bestFit="1" customWidth="1"/>
    <col min="8706" max="8706" width="11.85546875" style="326" bestFit="1" customWidth="1"/>
    <col min="8707" max="8707" width="9.140625" style="326" bestFit="1" customWidth="1"/>
    <col min="8708" max="8755" width="8.28515625" style="326" bestFit="1" customWidth="1"/>
    <col min="8756" max="8960" width="9.140625" style="326"/>
    <col min="8961" max="8961" width="81.140625" style="326" bestFit="1" customWidth="1"/>
    <col min="8962" max="8962" width="11.85546875" style="326" bestFit="1" customWidth="1"/>
    <col min="8963" max="8963" width="9.140625" style="326" bestFit="1" customWidth="1"/>
    <col min="8964" max="9011" width="8.28515625" style="326" bestFit="1" customWidth="1"/>
    <col min="9012" max="9216" width="9.140625" style="326"/>
    <col min="9217" max="9217" width="81.140625" style="326" bestFit="1" customWidth="1"/>
    <col min="9218" max="9218" width="11.85546875" style="326" bestFit="1" customWidth="1"/>
    <col min="9219" max="9219" width="9.140625" style="326" bestFit="1" customWidth="1"/>
    <col min="9220" max="9267" width="8.28515625" style="326" bestFit="1" customWidth="1"/>
    <col min="9268" max="9472" width="9.140625" style="326"/>
    <col min="9473" max="9473" width="81.140625" style="326" bestFit="1" customWidth="1"/>
    <col min="9474" max="9474" width="11.85546875" style="326" bestFit="1" customWidth="1"/>
    <col min="9475" max="9475" width="9.140625" style="326" bestFit="1" customWidth="1"/>
    <col min="9476" max="9523" width="8.28515625" style="326" bestFit="1" customWidth="1"/>
    <col min="9524" max="9728" width="9.140625" style="326"/>
    <col min="9729" max="9729" width="81.140625" style="326" bestFit="1" customWidth="1"/>
    <col min="9730" max="9730" width="11.85546875" style="326" bestFit="1" customWidth="1"/>
    <col min="9731" max="9731" width="9.140625" style="326" bestFit="1" customWidth="1"/>
    <col min="9732" max="9779" width="8.28515625" style="326" bestFit="1" customWidth="1"/>
    <col min="9780" max="9984" width="9.140625" style="326"/>
    <col min="9985" max="9985" width="81.140625" style="326" bestFit="1" customWidth="1"/>
    <col min="9986" max="9986" width="11.85546875" style="326" bestFit="1" customWidth="1"/>
    <col min="9987" max="9987" width="9.140625" style="326" bestFit="1" customWidth="1"/>
    <col min="9988" max="10035" width="8.28515625" style="326" bestFit="1" customWidth="1"/>
    <col min="10036" max="10240" width="9.140625" style="326"/>
    <col min="10241" max="10241" width="81.140625" style="326" bestFit="1" customWidth="1"/>
    <col min="10242" max="10242" width="11.85546875" style="326" bestFit="1" customWidth="1"/>
    <col min="10243" max="10243" width="9.140625" style="326" bestFit="1" customWidth="1"/>
    <col min="10244" max="10291" width="8.28515625" style="326" bestFit="1" customWidth="1"/>
    <col min="10292" max="10496" width="9.140625" style="326"/>
    <col min="10497" max="10497" width="81.140625" style="326" bestFit="1" customWidth="1"/>
    <col min="10498" max="10498" width="11.85546875" style="326" bestFit="1" customWidth="1"/>
    <col min="10499" max="10499" width="9.140625" style="326" bestFit="1" customWidth="1"/>
    <col min="10500" max="10547" width="8.28515625" style="326" bestFit="1" customWidth="1"/>
    <col min="10548" max="10752" width="9.140625" style="326"/>
    <col min="10753" max="10753" width="81.140625" style="326" bestFit="1" customWidth="1"/>
    <col min="10754" max="10754" width="11.85546875" style="326" bestFit="1" customWidth="1"/>
    <col min="10755" max="10755" width="9.140625" style="326" bestFit="1" customWidth="1"/>
    <col min="10756" max="10803" width="8.28515625" style="326" bestFit="1" customWidth="1"/>
    <col min="10804" max="11008" width="9.140625" style="326"/>
    <col min="11009" max="11009" width="81.140625" style="326" bestFit="1" customWidth="1"/>
    <col min="11010" max="11010" width="11.85546875" style="326" bestFit="1" customWidth="1"/>
    <col min="11011" max="11011" width="9.140625" style="326" bestFit="1" customWidth="1"/>
    <col min="11012" max="11059" width="8.28515625" style="326" bestFit="1" customWidth="1"/>
    <col min="11060" max="11264" width="9.140625" style="326"/>
    <col min="11265" max="11265" width="81.140625" style="326" bestFit="1" customWidth="1"/>
    <col min="11266" max="11266" width="11.85546875" style="326" bestFit="1" customWidth="1"/>
    <col min="11267" max="11267" width="9.140625" style="326" bestFit="1" customWidth="1"/>
    <col min="11268" max="11315" width="8.28515625" style="326" bestFit="1" customWidth="1"/>
    <col min="11316" max="11520" width="9.140625" style="326"/>
    <col min="11521" max="11521" width="81.140625" style="326" bestFit="1" customWidth="1"/>
    <col min="11522" max="11522" width="11.85546875" style="326" bestFit="1" customWidth="1"/>
    <col min="11523" max="11523" width="9.140625" style="326" bestFit="1" customWidth="1"/>
    <col min="11524" max="11571" width="8.28515625" style="326" bestFit="1" customWidth="1"/>
    <col min="11572" max="11776" width="9.140625" style="326"/>
    <col min="11777" max="11777" width="81.140625" style="326" bestFit="1" customWidth="1"/>
    <col min="11778" max="11778" width="11.85546875" style="326" bestFit="1" customWidth="1"/>
    <col min="11779" max="11779" width="9.140625" style="326" bestFit="1" customWidth="1"/>
    <col min="11780" max="11827" width="8.28515625" style="326" bestFit="1" customWidth="1"/>
    <col min="11828" max="12032" width="9.140625" style="326"/>
    <col min="12033" max="12033" width="81.140625" style="326" bestFit="1" customWidth="1"/>
    <col min="12034" max="12034" width="11.85546875" style="326" bestFit="1" customWidth="1"/>
    <col min="12035" max="12035" width="9.140625" style="326" bestFit="1" customWidth="1"/>
    <col min="12036" max="12083" width="8.28515625" style="326" bestFit="1" customWidth="1"/>
    <col min="12084" max="12288" width="9.140625" style="326"/>
    <col min="12289" max="12289" width="81.140625" style="326" bestFit="1" customWidth="1"/>
    <col min="12290" max="12290" width="11.85546875" style="326" bestFit="1" customWidth="1"/>
    <col min="12291" max="12291" width="9.140625" style="326" bestFit="1" customWidth="1"/>
    <col min="12292" max="12339" width="8.28515625" style="326" bestFit="1" customWidth="1"/>
    <col min="12340" max="12544" width="9.140625" style="326"/>
    <col min="12545" max="12545" width="81.140625" style="326" bestFit="1" customWidth="1"/>
    <col min="12546" max="12546" width="11.85546875" style="326" bestFit="1" customWidth="1"/>
    <col min="12547" max="12547" width="9.140625" style="326" bestFit="1" customWidth="1"/>
    <col min="12548" max="12595" width="8.28515625" style="326" bestFit="1" customWidth="1"/>
    <col min="12596" max="12800" width="9.140625" style="326"/>
    <col min="12801" max="12801" width="81.140625" style="326" bestFit="1" customWidth="1"/>
    <col min="12802" max="12802" width="11.85546875" style="326" bestFit="1" customWidth="1"/>
    <col min="12803" max="12803" width="9.140625" style="326" bestFit="1" customWidth="1"/>
    <col min="12804" max="12851" width="8.28515625" style="326" bestFit="1" customWidth="1"/>
    <col min="12852" max="13056" width="9.140625" style="326"/>
    <col min="13057" max="13057" width="81.140625" style="326" bestFit="1" customWidth="1"/>
    <col min="13058" max="13058" width="11.85546875" style="326" bestFit="1" customWidth="1"/>
    <col min="13059" max="13059" width="9.140625" style="326" bestFit="1" customWidth="1"/>
    <col min="13060" max="13107" width="8.28515625" style="326" bestFit="1" customWidth="1"/>
    <col min="13108" max="13312" width="9.140625" style="326"/>
    <col min="13313" max="13313" width="81.140625" style="326" bestFit="1" customWidth="1"/>
    <col min="13314" max="13314" width="11.85546875" style="326" bestFit="1" customWidth="1"/>
    <col min="13315" max="13315" width="9.140625" style="326" bestFit="1" customWidth="1"/>
    <col min="13316" max="13363" width="8.28515625" style="326" bestFit="1" customWidth="1"/>
    <col min="13364" max="13568" width="9.140625" style="326"/>
    <col min="13569" max="13569" width="81.140625" style="326" bestFit="1" customWidth="1"/>
    <col min="13570" max="13570" width="11.85546875" style="326" bestFit="1" customWidth="1"/>
    <col min="13571" max="13571" width="9.140625" style="326" bestFit="1" customWidth="1"/>
    <col min="13572" max="13619" width="8.28515625" style="326" bestFit="1" customWidth="1"/>
    <col min="13620" max="13824" width="9.140625" style="326"/>
    <col min="13825" max="13825" width="81.140625" style="326" bestFit="1" customWidth="1"/>
    <col min="13826" max="13826" width="11.85546875" style="326" bestFit="1" customWidth="1"/>
    <col min="13827" max="13827" width="9.140625" style="326" bestFit="1" customWidth="1"/>
    <col min="13828" max="13875" width="8.28515625" style="326" bestFit="1" customWidth="1"/>
    <col min="13876" max="14080" width="9.140625" style="326"/>
    <col min="14081" max="14081" width="81.140625" style="326" bestFit="1" customWidth="1"/>
    <col min="14082" max="14082" width="11.85546875" style="326" bestFit="1" customWidth="1"/>
    <col min="14083" max="14083" width="9.140625" style="326" bestFit="1" customWidth="1"/>
    <col min="14084" max="14131" width="8.28515625" style="326" bestFit="1" customWidth="1"/>
    <col min="14132" max="14336" width="9.140625" style="326"/>
    <col min="14337" max="14337" width="81.140625" style="326" bestFit="1" customWidth="1"/>
    <col min="14338" max="14338" width="11.85546875" style="326" bestFit="1" customWidth="1"/>
    <col min="14339" max="14339" width="9.140625" style="326" bestFit="1" customWidth="1"/>
    <col min="14340" max="14387" width="8.28515625" style="326" bestFit="1" customWidth="1"/>
    <col min="14388" max="14592" width="9.140625" style="326"/>
    <col min="14593" max="14593" width="81.140625" style="326" bestFit="1" customWidth="1"/>
    <col min="14594" max="14594" width="11.85546875" style="326" bestFit="1" customWidth="1"/>
    <col min="14595" max="14595" width="9.140625" style="326" bestFit="1" customWidth="1"/>
    <col min="14596" max="14643" width="8.28515625" style="326" bestFit="1" customWidth="1"/>
    <col min="14644" max="14848" width="9.140625" style="326"/>
    <col min="14849" max="14849" width="81.140625" style="326" bestFit="1" customWidth="1"/>
    <col min="14850" max="14850" width="11.85546875" style="326" bestFit="1" customWidth="1"/>
    <col min="14851" max="14851" width="9.140625" style="326" bestFit="1" customWidth="1"/>
    <col min="14852" max="14899" width="8.28515625" style="326" bestFit="1" customWidth="1"/>
    <col min="14900" max="15104" width="9.140625" style="326"/>
    <col min="15105" max="15105" width="81.140625" style="326" bestFit="1" customWidth="1"/>
    <col min="15106" max="15106" width="11.85546875" style="326" bestFit="1" customWidth="1"/>
    <col min="15107" max="15107" width="9.140625" style="326" bestFit="1" customWidth="1"/>
    <col min="15108" max="15155" width="8.28515625" style="326" bestFit="1" customWidth="1"/>
    <col min="15156" max="15360" width="9.140625" style="326"/>
    <col min="15361" max="15361" width="81.140625" style="326" bestFit="1" customWidth="1"/>
    <col min="15362" max="15362" width="11.85546875" style="326" bestFit="1" customWidth="1"/>
    <col min="15363" max="15363" width="9.140625" style="326" bestFit="1" customWidth="1"/>
    <col min="15364" max="15411" width="8.28515625" style="326" bestFit="1" customWidth="1"/>
    <col min="15412" max="15616" width="9.140625" style="326"/>
    <col min="15617" max="15617" width="81.140625" style="326" bestFit="1" customWidth="1"/>
    <col min="15618" max="15618" width="11.85546875" style="326" bestFit="1" customWidth="1"/>
    <col min="15619" max="15619" width="9.140625" style="326" bestFit="1" customWidth="1"/>
    <col min="15620" max="15667" width="8.28515625" style="326" bestFit="1" customWidth="1"/>
    <col min="15668" max="15872" width="9.140625" style="326"/>
    <col min="15873" max="15873" width="81.140625" style="326" bestFit="1" customWidth="1"/>
    <col min="15874" max="15874" width="11.85546875" style="326" bestFit="1" customWidth="1"/>
    <col min="15875" max="15875" width="9.140625" style="326" bestFit="1" customWidth="1"/>
    <col min="15876" max="15923" width="8.28515625" style="326" bestFit="1" customWidth="1"/>
    <col min="15924" max="16128" width="9.140625" style="326"/>
    <col min="16129" max="16129" width="81.140625" style="326" bestFit="1" customWidth="1"/>
    <col min="16130" max="16130" width="11.85546875" style="326" bestFit="1" customWidth="1"/>
    <col min="16131" max="16131" width="9.140625" style="326" bestFit="1" customWidth="1"/>
    <col min="16132" max="16179" width="8.28515625" style="326" bestFit="1" customWidth="1"/>
    <col min="16180" max="16384" width="9.140625" style="326"/>
  </cols>
  <sheetData>
    <row r="1" spans="1:51" ht="18.75">
      <c r="A1" s="324" t="s">
        <v>2883</v>
      </c>
      <c r="B1" s="325"/>
      <c r="C1" s="325"/>
      <c r="D1" s="325"/>
      <c r="E1" s="325"/>
      <c r="F1" s="325"/>
      <c r="G1" s="325"/>
      <c r="H1" s="325"/>
      <c r="I1" s="325"/>
      <c r="J1" s="325"/>
      <c r="K1" s="325"/>
      <c r="L1" s="325"/>
      <c r="M1" s="325"/>
      <c r="N1" s="325"/>
      <c r="O1" s="325"/>
      <c r="P1" s="325"/>
      <c r="Q1" s="325"/>
      <c r="R1" s="325"/>
      <c r="S1" s="325"/>
      <c r="T1" s="325"/>
      <c r="U1" s="325"/>
      <c r="V1" s="325"/>
      <c r="W1" s="325"/>
      <c r="X1" s="325"/>
      <c r="Y1" s="325"/>
      <c r="Z1" s="325"/>
      <c r="AA1" s="325"/>
      <c r="AB1" s="325"/>
      <c r="AC1" s="325"/>
      <c r="AD1" s="325"/>
      <c r="AE1" s="325"/>
      <c r="AF1" s="325"/>
      <c r="AG1" s="325"/>
      <c r="AH1" s="325"/>
      <c r="AI1" s="325"/>
      <c r="AJ1" s="325"/>
      <c r="AK1" s="325"/>
      <c r="AL1" s="325"/>
      <c r="AM1" s="325"/>
      <c r="AN1" s="325"/>
      <c r="AO1" s="325"/>
      <c r="AP1" s="325"/>
      <c r="AQ1" s="325"/>
      <c r="AR1" s="325"/>
      <c r="AS1" s="325"/>
      <c r="AT1" s="325"/>
      <c r="AU1" s="325"/>
      <c r="AV1" s="325"/>
      <c r="AW1" s="325"/>
      <c r="AX1" s="325"/>
      <c r="AY1" s="325"/>
    </row>
    <row r="2" spans="1:51" ht="19.5" thickBot="1">
      <c r="A2" s="324"/>
      <c r="B2" s="325"/>
      <c r="C2" s="325"/>
      <c r="D2" s="325"/>
      <c r="E2" s="325"/>
      <c r="F2" s="325"/>
      <c r="G2" s="325"/>
      <c r="H2" s="325"/>
      <c r="I2" s="325"/>
      <c r="J2" s="325"/>
      <c r="K2" s="325"/>
      <c r="L2" s="325"/>
      <c r="M2" s="325"/>
      <c r="N2" s="325"/>
      <c r="O2" s="325"/>
      <c r="P2" s="325"/>
      <c r="Q2" s="325"/>
      <c r="R2" s="325"/>
      <c r="S2" s="325"/>
      <c r="T2" s="325"/>
      <c r="U2" s="325"/>
      <c r="V2" s="325"/>
      <c r="W2" s="325"/>
      <c r="X2" s="325"/>
      <c r="Y2" s="325"/>
      <c r="Z2" s="325"/>
      <c r="AA2" s="325"/>
      <c r="AB2" s="325"/>
      <c r="AC2" s="325"/>
      <c r="AD2" s="325"/>
      <c r="AE2" s="325"/>
      <c r="AF2" s="325"/>
      <c r="AG2" s="325"/>
      <c r="AH2" s="325"/>
      <c r="AI2" s="325"/>
      <c r="AJ2" s="325"/>
      <c r="AK2" s="325"/>
      <c r="AL2" s="325"/>
      <c r="AM2" s="325"/>
      <c r="AN2" s="325"/>
      <c r="AO2" s="325"/>
      <c r="AP2" s="325"/>
      <c r="AQ2" s="325"/>
      <c r="AR2" s="325"/>
      <c r="AS2" s="325"/>
      <c r="AT2" s="325"/>
      <c r="AU2" s="325"/>
      <c r="AV2" s="325"/>
      <c r="AW2" s="325"/>
      <c r="AX2" s="325"/>
      <c r="AY2" s="325"/>
    </row>
    <row r="3" spans="1:51" ht="16.5" thickBot="1">
      <c r="A3" s="352" t="e">
        <f>"Electric Utility: "&amp;'Project Size'!#REF!&amp;"; Gas Utility: "&amp;'Project Size'!#REF!</f>
        <v>#REF!</v>
      </c>
      <c r="B3" s="327" t="s">
        <v>2884</v>
      </c>
      <c r="C3" s="328">
        <v>5.5E-2</v>
      </c>
      <c r="D3" s="325"/>
      <c r="E3" s="361" t="e">
        <f>VLOOKUP('Project Size'!#REF!,'Drop Down'!$AA$2:$AB$7,2,FALSE)</f>
        <v>#REF!</v>
      </c>
      <c r="F3" s="361" t="e">
        <f>VLOOKUP('Project Size'!#REF!,'Drop Down'!AE2:AF5,2,FALSE)</f>
        <v>#REF!</v>
      </c>
      <c r="G3" s="325"/>
      <c r="H3" s="325"/>
      <c r="I3" s="325"/>
      <c r="J3" s="325"/>
      <c r="K3" s="325"/>
      <c r="L3" s="325"/>
      <c r="M3" s="325"/>
      <c r="N3" s="325"/>
      <c r="O3" s="325"/>
      <c r="P3" s="325"/>
      <c r="Q3" s="325"/>
      <c r="R3" s="325"/>
      <c r="S3" s="325"/>
      <c r="T3" s="325"/>
      <c r="U3" s="325"/>
      <c r="V3" s="325"/>
      <c r="W3" s="325"/>
      <c r="X3" s="325"/>
      <c r="Y3" s="325"/>
      <c r="Z3" s="325"/>
      <c r="AA3" s="325"/>
      <c r="AB3" s="325"/>
      <c r="AC3" s="325"/>
      <c r="AD3" s="325"/>
      <c r="AE3" s="325"/>
      <c r="AF3" s="325"/>
      <c r="AG3" s="325"/>
      <c r="AH3" s="325"/>
      <c r="AI3" s="325"/>
      <c r="AJ3" s="325"/>
      <c r="AK3" s="325"/>
      <c r="AL3" s="325"/>
      <c r="AM3" s="325"/>
      <c r="AN3" s="325"/>
      <c r="AO3" s="325"/>
      <c r="AP3" s="325"/>
      <c r="AQ3" s="325"/>
      <c r="AR3" s="325"/>
      <c r="AS3" s="325"/>
      <c r="AT3" s="325"/>
      <c r="AU3" s="325"/>
      <c r="AV3" s="325"/>
      <c r="AW3" s="325"/>
      <c r="AX3" s="325"/>
      <c r="AY3" s="325"/>
    </row>
    <row r="4" spans="1:51" ht="15.75" thickBot="1">
      <c r="A4" s="329" t="s">
        <v>2885</v>
      </c>
    </row>
    <row r="5" spans="1:51" ht="12.75" thickBot="1">
      <c r="A5" s="330" t="s">
        <v>2886</v>
      </c>
      <c r="B5" s="331">
        <v>2010</v>
      </c>
      <c r="C5" s="332">
        <v>2011</v>
      </c>
      <c r="D5" s="332">
        <v>2012</v>
      </c>
      <c r="E5" s="332">
        <v>2013</v>
      </c>
      <c r="F5" s="332">
        <v>2014</v>
      </c>
      <c r="G5" s="332">
        <v>2015</v>
      </c>
      <c r="H5" s="332">
        <v>2016</v>
      </c>
      <c r="I5" s="332">
        <v>2017</v>
      </c>
      <c r="J5" s="332">
        <v>2018</v>
      </c>
      <c r="K5" s="332">
        <v>2019</v>
      </c>
      <c r="L5" s="332">
        <v>2020</v>
      </c>
      <c r="M5" s="332">
        <v>2021</v>
      </c>
      <c r="N5" s="332">
        <v>2022</v>
      </c>
      <c r="O5" s="332">
        <v>2023</v>
      </c>
      <c r="P5" s="332">
        <v>2024</v>
      </c>
      <c r="Q5" s="332">
        <v>2025</v>
      </c>
      <c r="R5" s="332">
        <v>2026</v>
      </c>
      <c r="S5" s="332">
        <v>2027</v>
      </c>
      <c r="T5" s="332">
        <v>2028</v>
      </c>
      <c r="U5" s="332">
        <v>2029</v>
      </c>
      <c r="V5" s="332">
        <v>2030</v>
      </c>
      <c r="W5" s="332">
        <v>2031</v>
      </c>
      <c r="X5" s="332">
        <v>2032</v>
      </c>
      <c r="Y5" s="332">
        <v>2033</v>
      </c>
      <c r="Z5" s="332">
        <v>2034</v>
      </c>
      <c r="AA5" s="332">
        <v>2035</v>
      </c>
      <c r="AB5" s="332">
        <v>2036</v>
      </c>
      <c r="AC5" s="332">
        <v>2037</v>
      </c>
      <c r="AD5" s="332">
        <v>2038</v>
      </c>
      <c r="AE5" s="332">
        <v>2039</v>
      </c>
      <c r="AF5" s="332">
        <v>2040</v>
      </c>
      <c r="AG5" s="332">
        <v>2041</v>
      </c>
      <c r="AH5" s="332">
        <v>2042</v>
      </c>
      <c r="AI5" s="332">
        <v>2043</v>
      </c>
      <c r="AJ5" s="332">
        <v>2044</v>
      </c>
      <c r="AK5" s="332">
        <v>2045</v>
      </c>
      <c r="AL5" s="332">
        <v>2046</v>
      </c>
      <c r="AM5" s="332">
        <v>2047</v>
      </c>
      <c r="AN5" s="332">
        <v>2048</v>
      </c>
      <c r="AO5" s="332">
        <v>2049</v>
      </c>
      <c r="AP5" s="332">
        <v>2050</v>
      </c>
      <c r="AQ5" s="332">
        <v>2051</v>
      </c>
      <c r="AR5" s="332">
        <v>2052</v>
      </c>
      <c r="AS5" s="332">
        <v>2053</v>
      </c>
      <c r="AT5" s="332">
        <v>2054</v>
      </c>
      <c r="AU5" s="332">
        <v>2055</v>
      </c>
      <c r="AV5" s="332">
        <v>2056</v>
      </c>
      <c r="AW5" s="332">
        <v>2057</v>
      </c>
      <c r="AX5" s="332">
        <v>2058</v>
      </c>
      <c r="AY5" s="333">
        <v>2059</v>
      </c>
    </row>
    <row r="6" spans="1:51">
      <c r="A6" s="334" t="s">
        <v>2896</v>
      </c>
      <c r="B6" s="335" t="e">
        <f t="shared" ref="B6:K7" si="0">IF($E$3=1,VLOOKUP($A6,CentralHudson,B$193,FALSE),IF($E$3=2,VLOOKUP($A6,ConEd,B$193,FALSE),IF($E$3=3,VLOOKUP($A6,NationalGrid,B$193,FALSE),IF($E$3=4,VLOOKUP($A6,NYSEG,B$193,FALSE),IF($E$3=5,VLOOKUP($A6,OandR,B$193,FALSE),VLOOKUP($A6,RGandE,B$193,FALSE))))))</f>
        <v>#REF!</v>
      </c>
      <c r="C6" s="335" t="e">
        <f t="shared" si="0"/>
        <v>#REF!</v>
      </c>
      <c r="D6" s="335" t="e">
        <f t="shared" si="0"/>
        <v>#REF!</v>
      </c>
      <c r="E6" s="335" t="e">
        <f t="shared" si="0"/>
        <v>#REF!</v>
      </c>
      <c r="F6" s="335" t="e">
        <f t="shared" si="0"/>
        <v>#REF!</v>
      </c>
      <c r="G6" s="335" t="e">
        <f t="shared" si="0"/>
        <v>#REF!</v>
      </c>
      <c r="H6" s="335" t="e">
        <f t="shared" si="0"/>
        <v>#REF!</v>
      </c>
      <c r="I6" s="335" t="e">
        <f t="shared" si="0"/>
        <v>#REF!</v>
      </c>
      <c r="J6" s="335" t="e">
        <f t="shared" si="0"/>
        <v>#REF!</v>
      </c>
      <c r="K6" s="335" t="e">
        <f t="shared" si="0"/>
        <v>#REF!</v>
      </c>
      <c r="L6" s="335" t="e">
        <f t="shared" ref="L6:U7" si="1">IF($E$3=1,VLOOKUP($A6,CentralHudson,L$193,FALSE),IF($E$3=2,VLOOKUP($A6,ConEd,L$193,FALSE),IF($E$3=3,VLOOKUP($A6,NationalGrid,L$193,FALSE),IF($E$3=4,VLOOKUP($A6,NYSEG,L$193,FALSE),IF($E$3=5,VLOOKUP($A6,OandR,L$193,FALSE),VLOOKUP($A6,RGandE,L$193,FALSE))))))</f>
        <v>#REF!</v>
      </c>
      <c r="M6" s="335" t="e">
        <f t="shared" si="1"/>
        <v>#REF!</v>
      </c>
      <c r="N6" s="335" t="e">
        <f t="shared" si="1"/>
        <v>#REF!</v>
      </c>
      <c r="O6" s="335" t="e">
        <f t="shared" si="1"/>
        <v>#REF!</v>
      </c>
      <c r="P6" s="335" t="e">
        <f t="shared" si="1"/>
        <v>#REF!</v>
      </c>
      <c r="Q6" s="335" t="e">
        <f t="shared" si="1"/>
        <v>#REF!</v>
      </c>
      <c r="R6" s="335" t="e">
        <f t="shared" si="1"/>
        <v>#REF!</v>
      </c>
      <c r="S6" s="335" t="e">
        <f t="shared" si="1"/>
        <v>#REF!</v>
      </c>
      <c r="T6" s="335" t="e">
        <f t="shared" si="1"/>
        <v>#REF!</v>
      </c>
      <c r="U6" s="335" t="e">
        <f t="shared" si="1"/>
        <v>#REF!</v>
      </c>
      <c r="V6" s="335" t="e">
        <f t="shared" ref="V6:AE7" si="2">IF($E$3=1,VLOOKUP($A6,CentralHudson,V$193,FALSE),IF($E$3=2,VLOOKUP($A6,ConEd,V$193,FALSE),IF($E$3=3,VLOOKUP($A6,NationalGrid,V$193,FALSE),IF($E$3=4,VLOOKUP($A6,NYSEG,V$193,FALSE),IF($E$3=5,VLOOKUP($A6,OandR,V$193,FALSE),VLOOKUP($A6,RGandE,V$193,FALSE))))))</f>
        <v>#REF!</v>
      </c>
      <c r="W6" s="335" t="e">
        <f t="shared" si="2"/>
        <v>#REF!</v>
      </c>
      <c r="X6" s="335" t="e">
        <f t="shared" si="2"/>
        <v>#REF!</v>
      </c>
      <c r="Y6" s="335" t="e">
        <f t="shared" si="2"/>
        <v>#REF!</v>
      </c>
      <c r="Z6" s="335" t="e">
        <f t="shared" si="2"/>
        <v>#REF!</v>
      </c>
      <c r="AA6" s="335" t="e">
        <f t="shared" si="2"/>
        <v>#REF!</v>
      </c>
      <c r="AB6" s="335" t="e">
        <f t="shared" si="2"/>
        <v>#REF!</v>
      </c>
      <c r="AC6" s="335" t="e">
        <f t="shared" si="2"/>
        <v>#REF!</v>
      </c>
      <c r="AD6" s="335" t="e">
        <f t="shared" si="2"/>
        <v>#REF!</v>
      </c>
      <c r="AE6" s="335" t="e">
        <f t="shared" si="2"/>
        <v>#REF!</v>
      </c>
      <c r="AF6" s="335" t="e">
        <f t="shared" ref="AF6:AO7" si="3">IF($E$3=1,VLOOKUP($A6,CentralHudson,AF$193,FALSE),IF($E$3=2,VLOOKUP($A6,ConEd,AF$193,FALSE),IF($E$3=3,VLOOKUP($A6,NationalGrid,AF$193,FALSE),IF($E$3=4,VLOOKUP($A6,NYSEG,AF$193,FALSE),IF($E$3=5,VLOOKUP($A6,OandR,AF$193,FALSE),VLOOKUP($A6,RGandE,AF$193,FALSE))))))</f>
        <v>#REF!</v>
      </c>
      <c r="AG6" s="335" t="e">
        <f t="shared" si="3"/>
        <v>#REF!</v>
      </c>
      <c r="AH6" s="335" t="e">
        <f t="shared" si="3"/>
        <v>#REF!</v>
      </c>
      <c r="AI6" s="335" t="e">
        <f t="shared" si="3"/>
        <v>#REF!</v>
      </c>
      <c r="AJ6" s="335" t="e">
        <f t="shared" si="3"/>
        <v>#REF!</v>
      </c>
      <c r="AK6" s="335" t="e">
        <f t="shared" si="3"/>
        <v>#REF!</v>
      </c>
      <c r="AL6" s="335" t="e">
        <f t="shared" si="3"/>
        <v>#REF!</v>
      </c>
      <c r="AM6" s="335" t="e">
        <f t="shared" si="3"/>
        <v>#REF!</v>
      </c>
      <c r="AN6" s="335" t="e">
        <f t="shared" si="3"/>
        <v>#REF!</v>
      </c>
      <c r="AO6" s="335" t="e">
        <f t="shared" si="3"/>
        <v>#REF!</v>
      </c>
      <c r="AP6" s="335" t="e">
        <f t="shared" ref="AP6:AY7" si="4">IF($E$3=1,VLOOKUP($A6,CentralHudson,AP$193,FALSE),IF($E$3=2,VLOOKUP($A6,ConEd,AP$193,FALSE),IF($E$3=3,VLOOKUP($A6,NationalGrid,AP$193,FALSE),IF($E$3=4,VLOOKUP($A6,NYSEG,AP$193,FALSE),IF($E$3=5,VLOOKUP($A6,OandR,AP$193,FALSE),VLOOKUP($A6,RGandE,AP$193,FALSE))))))</f>
        <v>#REF!</v>
      </c>
      <c r="AQ6" s="335" t="e">
        <f t="shared" si="4"/>
        <v>#REF!</v>
      </c>
      <c r="AR6" s="335" t="e">
        <f t="shared" si="4"/>
        <v>#REF!</v>
      </c>
      <c r="AS6" s="335" t="e">
        <f t="shared" si="4"/>
        <v>#REF!</v>
      </c>
      <c r="AT6" s="335" t="e">
        <f t="shared" si="4"/>
        <v>#REF!</v>
      </c>
      <c r="AU6" s="335" t="e">
        <f t="shared" si="4"/>
        <v>#REF!</v>
      </c>
      <c r="AV6" s="335" t="e">
        <f t="shared" si="4"/>
        <v>#REF!</v>
      </c>
      <c r="AW6" s="335" t="e">
        <f t="shared" si="4"/>
        <v>#REF!</v>
      </c>
      <c r="AX6" s="335" t="e">
        <f t="shared" si="4"/>
        <v>#REF!</v>
      </c>
      <c r="AY6" s="335" t="e">
        <f t="shared" si="4"/>
        <v>#REF!</v>
      </c>
    </row>
    <row r="7" spans="1:51">
      <c r="A7" s="338" t="s">
        <v>2897</v>
      </c>
      <c r="B7" s="335" t="e">
        <f t="shared" si="0"/>
        <v>#REF!</v>
      </c>
      <c r="C7" s="335" t="e">
        <f t="shared" si="0"/>
        <v>#REF!</v>
      </c>
      <c r="D7" s="335" t="e">
        <f t="shared" si="0"/>
        <v>#REF!</v>
      </c>
      <c r="E7" s="335" t="e">
        <f t="shared" si="0"/>
        <v>#REF!</v>
      </c>
      <c r="F7" s="335" t="e">
        <f t="shared" si="0"/>
        <v>#REF!</v>
      </c>
      <c r="G7" s="335" t="e">
        <f t="shared" si="0"/>
        <v>#REF!</v>
      </c>
      <c r="H7" s="335" t="e">
        <f t="shared" si="0"/>
        <v>#REF!</v>
      </c>
      <c r="I7" s="335" t="e">
        <f t="shared" si="0"/>
        <v>#REF!</v>
      </c>
      <c r="J7" s="335" t="e">
        <f t="shared" si="0"/>
        <v>#REF!</v>
      </c>
      <c r="K7" s="335" t="e">
        <f t="shared" si="0"/>
        <v>#REF!</v>
      </c>
      <c r="L7" s="335" t="e">
        <f t="shared" si="1"/>
        <v>#REF!</v>
      </c>
      <c r="M7" s="335" t="e">
        <f t="shared" si="1"/>
        <v>#REF!</v>
      </c>
      <c r="N7" s="335" t="e">
        <f t="shared" si="1"/>
        <v>#REF!</v>
      </c>
      <c r="O7" s="335" t="e">
        <f t="shared" si="1"/>
        <v>#REF!</v>
      </c>
      <c r="P7" s="335" t="e">
        <f t="shared" si="1"/>
        <v>#REF!</v>
      </c>
      <c r="Q7" s="335" t="e">
        <f t="shared" si="1"/>
        <v>#REF!</v>
      </c>
      <c r="R7" s="335" t="e">
        <f t="shared" si="1"/>
        <v>#REF!</v>
      </c>
      <c r="S7" s="335" t="e">
        <f t="shared" si="1"/>
        <v>#REF!</v>
      </c>
      <c r="T7" s="335" t="e">
        <f t="shared" si="1"/>
        <v>#REF!</v>
      </c>
      <c r="U7" s="335" t="e">
        <f t="shared" si="1"/>
        <v>#REF!</v>
      </c>
      <c r="V7" s="335" t="e">
        <f t="shared" si="2"/>
        <v>#REF!</v>
      </c>
      <c r="W7" s="335" t="e">
        <f t="shared" si="2"/>
        <v>#REF!</v>
      </c>
      <c r="X7" s="335" t="e">
        <f t="shared" si="2"/>
        <v>#REF!</v>
      </c>
      <c r="Y7" s="335" t="e">
        <f t="shared" si="2"/>
        <v>#REF!</v>
      </c>
      <c r="Z7" s="335" t="e">
        <f t="shared" si="2"/>
        <v>#REF!</v>
      </c>
      <c r="AA7" s="335" t="e">
        <f t="shared" si="2"/>
        <v>#REF!</v>
      </c>
      <c r="AB7" s="335" t="e">
        <f t="shared" si="2"/>
        <v>#REF!</v>
      </c>
      <c r="AC7" s="335" t="e">
        <f t="shared" si="2"/>
        <v>#REF!</v>
      </c>
      <c r="AD7" s="335" t="e">
        <f t="shared" si="2"/>
        <v>#REF!</v>
      </c>
      <c r="AE7" s="335" t="e">
        <f t="shared" si="2"/>
        <v>#REF!</v>
      </c>
      <c r="AF7" s="335" t="e">
        <f t="shared" si="3"/>
        <v>#REF!</v>
      </c>
      <c r="AG7" s="335" t="e">
        <f t="shared" si="3"/>
        <v>#REF!</v>
      </c>
      <c r="AH7" s="335" t="e">
        <f t="shared" si="3"/>
        <v>#REF!</v>
      </c>
      <c r="AI7" s="335" t="e">
        <f t="shared" si="3"/>
        <v>#REF!</v>
      </c>
      <c r="AJ7" s="335" t="e">
        <f t="shared" si="3"/>
        <v>#REF!</v>
      </c>
      <c r="AK7" s="335" t="e">
        <f t="shared" si="3"/>
        <v>#REF!</v>
      </c>
      <c r="AL7" s="335" t="e">
        <f t="shared" si="3"/>
        <v>#REF!</v>
      </c>
      <c r="AM7" s="335" t="e">
        <f t="shared" si="3"/>
        <v>#REF!</v>
      </c>
      <c r="AN7" s="335" t="e">
        <f t="shared" si="3"/>
        <v>#REF!</v>
      </c>
      <c r="AO7" s="335" t="e">
        <f t="shared" si="3"/>
        <v>#REF!</v>
      </c>
      <c r="AP7" s="335" t="e">
        <f t="shared" si="4"/>
        <v>#REF!</v>
      </c>
      <c r="AQ7" s="335" t="e">
        <f t="shared" si="4"/>
        <v>#REF!</v>
      </c>
      <c r="AR7" s="335" t="e">
        <f t="shared" si="4"/>
        <v>#REF!</v>
      </c>
      <c r="AS7" s="335" t="e">
        <f t="shared" si="4"/>
        <v>#REF!</v>
      </c>
      <c r="AT7" s="335" t="e">
        <f t="shared" si="4"/>
        <v>#REF!</v>
      </c>
      <c r="AU7" s="335" t="e">
        <f t="shared" si="4"/>
        <v>#REF!</v>
      </c>
      <c r="AV7" s="335" t="e">
        <f t="shared" si="4"/>
        <v>#REF!</v>
      </c>
      <c r="AW7" s="335" t="e">
        <f t="shared" si="4"/>
        <v>#REF!</v>
      </c>
      <c r="AX7" s="335" t="e">
        <f t="shared" si="4"/>
        <v>#REF!</v>
      </c>
      <c r="AY7" s="335" t="e">
        <f t="shared" si="4"/>
        <v>#REF!</v>
      </c>
    </row>
    <row r="8" spans="1:51">
      <c r="A8" s="338" t="s">
        <v>2898</v>
      </c>
      <c r="B8" s="335" t="e">
        <f t="shared" ref="B8:K9" si="5">IF($F$3=2,VLOOKUP($A8,ConEd,B$193,FALSE),IF($F$3=5,VLOOKUP($A8,OandR,B$193,FALSE),IF($F$3=7,VLOOKUP($A8,KEDLI,B$193,FALSE),VLOOKUP($A8,CentralHudson,B$193,FALSE))))</f>
        <v>#REF!</v>
      </c>
      <c r="C8" s="335" t="e">
        <f t="shared" si="5"/>
        <v>#REF!</v>
      </c>
      <c r="D8" s="335" t="e">
        <f t="shared" si="5"/>
        <v>#REF!</v>
      </c>
      <c r="E8" s="335" t="e">
        <f t="shared" si="5"/>
        <v>#REF!</v>
      </c>
      <c r="F8" s="335" t="e">
        <f t="shared" si="5"/>
        <v>#REF!</v>
      </c>
      <c r="G8" s="335" t="e">
        <f t="shared" si="5"/>
        <v>#REF!</v>
      </c>
      <c r="H8" s="335" t="e">
        <f t="shared" si="5"/>
        <v>#REF!</v>
      </c>
      <c r="I8" s="335" t="e">
        <f t="shared" si="5"/>
        <v>#REF!</v>
      </c>
      <c r="J8" s="335" t="e">
        <f t="shared" si="5"/>
        <v>#REF!</v>
      </c>
      <c r="K8" s="335" t="e">
        <f t="shared" si="5"/>
        <v>#REF!</v>
      </c>
      <c r="L8" s="335" t="e">
        <f t="shared" ref="L8:U9" si="6">IF($F$3=2,VLOOKUP($A8,ConEd,L$193,FALSE),IF($F$3=5,VLOOKUP($A8,OandR,L$193,FALSE),IF($F$3=7,VLOOKUP($A8,KEDLI,L$193,FALSE),VLOOKUP($A8,CentralHudson,L$193,FALSE))))</f>
        <v>#REF!</v>
      </c>
      <c r="M8" s="335" t="e">
        <f t="shared" si="6"/>
        <v>#REF!</v>
      </c>
      <c r="N8" s="335" t="e">
        <f t="shared" si="6"/>
        <v>#REF!</v>
      </c>
      <c r="O8" s="335" t="e">
        <f t="shared" si="6"/>
        <v>#REF!</v>
      </c>
      <c r="P8" s="335" t="e">
        <f t="shared" si="6"/>
        <v>#REF!</v>
      </c>
      <c r="Q8" s="335" t="e">
        <f t="shared" si="6"/>
        <v>#REF!</v>
      </c>
      <c r="R8" s="335" t="e">
        <f t="shared" si="6"/>
        <v>#REF!</v>
      </c>
      <c r="S8" s="335" t="e">
        <f t="shared" si="6"/>
        <v>#REF!</v>
      </c>
      <c r="T8" s="335" t="e">
        <f t="shared" si="6"/>
        <v>#REF!</v>
      </c>
      <c r="U8" s="335" t="e">
        <f t="shared" si="6"/>
        <v>#REF!</v>
      </c>
      <c r="V8" s="335" t="e">
        <f t="shared" ref="V8:AE9" si="7">IF($F$3=2,VLOOKUP($A8,ConEd,V$193,FALSE),IF($F$3=5,VLOOKUP($A8,OandR,V$193,FALSE),IF($F$3=7,VLOOKUP($A8,KEDLI,V$193,FALSE),VLOOKUP($A8,CentralHudson,V$193,FALSE))))</f>
        <v>#REF!</v>
      </c>
      <c r="W8" s="335" t="e">
        <f t="shared" si="7"/>
        <v>#REF!</v>
      </c>
      <c r="X8" s="335" t="e">
        <f t="shared" si="7"/>
        <v>#REF!</v>
      </c>
      <c r="Y8" s="335" t="e">
        <f t="shared" si="7"/>
        <v>#REF!</v>
      </c>
      <c r="Z8" s="335" t="e">
        <f t="shared" si="7"/>
        <v>#REF!</v>
      </c>
      <c r="AA8" s="335" t="e">
        <f t="shared" si="7"/>
        <v>#REF!</v>
      </c>
      <c r="AB8" s="335" t="e">
        <f t="shared" si="7"/>
        <v>#REF!</v>
      </c>
      <c r="AC8" s="335" t="e">
        <f t="shared" si="7"/>
        <v>#REF!</v>
      </c>
      <c r="AD8" s="335" t="e">
        <f t="shared" si="7"/>
        <v>#REF!</v>
      </c>
      <c r="AE8" s="335" t="e">
        <f t="shared" si="7"/>
        <v>#REF!</v>
      </c>
      <c r="AF8" s="335" t="e">
        <f t="shared" ref="AF8:AO9" si="8">IF($F$3=2,VLOOKUP($A8,ConEd,AF$193,FALSE),IF($F$3=5,VLOOKUP($A8,OandR,AF$193,FALSE),IF($F$3=7,VLOOKUP($A8,KEDLI,AF$193,FALSE),VLOOKUP($A8,CentralHudson,AF$193,FALSE))))</f>
        <v>#REF!</v>
      </c>
      <c r="AG8" s="335" t="e">
        <f t="shared" si="8"/>
        <v>#REF!</v>
      </c>
      <c r="AH8" s="335" t="e">
        <f t="shared" si="8"/>
        <v>#REF!</v>
      </c>
      <c r="AI8" s="335" t="e">
        <f t="shared" si="8"/>
        <v>#REF!</v>
      </c>
      <c r="AJ8" s="335" t="e">
        <f t="shared" si="8"/>
        <v>#REF!</v>
      </c>
      <c r="AK8" s="335" t="e">
        <f t="shared" si="8"/>
        <v>#REF!</v>
      </c>
      <c r="AL8" s="335" t="e">
        <f t="shared" si="8"/>
        <v>#REF!</v>
      </c>
      <c r="AM8" s="335" t="e">
        <f t="shared" si="8"/>
        <v>#REF!</v>
      </c>
      <c r="AN8" s="335" t="e">
        <f t="shared" si="8"/>
        <v>#REF!</v>
      </c>
      <c r="AO8" s="335" t="e">
        <f t="shared" si="8"/>
        <v>#REF!</v>
      </c>
      <c r="AP8" s="335" t="e">
        <f t="shared" ref="AP8:AY9" si="9">IF($F$3=2,VLOOKUP($A8,ConEd,AP$193,FALSE),IF($F$3=5,VLOOKUP($A8,OandR,AP$193,FALSE),IF($F$3=7,VLOOKUP($A8,KEDLI,AP$193,FALSE),VLOOKUP($A8,CentralHudson,AP$193,FALSE))))</f>
        <v>#REF!</v>
      </c>
      <c r="AQ8" s="335" t="e">
        <f t="shared" si="9"/>
        <v>#REF!</v>
      </c>
      <c r="AR8" s="335" t="e">
        <f t="shared" si="9"/>
        <v>#REF!</v>
      </c>
      <c r="AS8" s="335" t="e">
        <f t="shared" si="9"/>
        <v>#REF!</v>
      </c>
      <c r="AT8" s="335" t="e">
        <f t="shared" si="9"/>
        <v>#REF!</v>
      </c>
      <c r="AU8" s="335" t="e">
        <f t="shared" si="9"/>
        <v>#REF!</v>
      </c>
      <c r="AV8" s="335" t="e">
        <f t="shared" si="9"/>
        <v>#REF!</v>
      </c>
      <c r="AW8" s="335" t="e">
        <f t="shared" si="9"/>
        <v>#REF!</v>
      </c>
      <c r="AX8" s="335" t="e">
        <f t="shared" si="9"/>
        <v>#REF!</v>
      </c>
      <c r="AY8" s="335" t="e">
        <f t="shared" si="9"/>
        <v>#REF!</v>
      </c>
    </row>
    <row r="9" spans="1:51">
      <c r="A9" s="338" t="s">
        <v>2899</v>
      </c>
      <c r="B9" s="335" t="e">
        <f t="shared" si="5"/>
        <v>#REF!</v>
      </c>
      <c r="C9" s="335" t="e">
        <f t="shared" si="5"/>
        <v>#REF!</v>
      </c>
      <c r="D9" s="335" t="e">
        <f t="shared" si="5"/>
        <v>#REF!</v>
      </c>
      <c r="E9" s="335" t="e">
        <f t="shared" si="5"/>
        <v>#REF!</v>
      </c>
      <c r="F9" s="335" t="e">
        <f t="shared" si="5"/>
        <v>#REF!</v>
      </c>
      <c r="G9" s="335" t="e">
        <f t="shared" si="5"/>
        <v>#REF!</v>
      </c>
      <c r="H9" s="335" t="e">
        <f t="shared" si="5"/>
        <v>#REF!</v>
      </c>
      <c r="I9" s="335" t="e">
        <f t="shared" si="5"/>
        <v>#REF!</v>
      </c>
      <c r="J9" s="335" t="e">
        <f t="shared" si="5"/>
        <v>#REF!</v>
      </c>
      <c r="K9" s="335" t="e">
        <f t="shared" si="5"/>
        <v>#REF!</v>
      </c>
      <c r="L9" s="335" t="e">
        <f t="shared" si="6"/>
        <v>#REF!</v>
      </c>
      <c r="M9" s="335" t="e">
        <f t="shared" si="6"/>
        <v>#REF!</v>
      </c>
      <c r="N9" s="335" t="e">
        <f t="shared" si="6"/>
        <v>#REF!</v>
      </c>
      <c r="O9" s="335" t="e">
        <f t="shared" si="6"/>
        <v>#REF!</v>
      </c>
      <c r="P9" s="335" t="e">
        <f t="shared" si="6"/>
        <v>#REF!</v>
      </c>
      <c r="Q9" s="335" t="e">
        <f t="shared" si="6"/>
        <v>#REF!</v>
      </c>
      <c r="R9" s="335" t="e">
        <f t="shared" si="6"/>
        <v>#REF!</v>
      </c>
      <c r="S9" s="335" t="e">
        <f t="shared" si="6"/>
        <v>#REF!</v>
      </c>
      <c r="T9" s="335" t="e">
        <f t="shared" si="6"/>
        <v>#REF!</v>
      </c>
      <c r="U9" s="335" t="e">
        <f t="shared" si="6"/>
        <v>#REF!</v>
      </c>
      <c r="V9" s="335" t="e">
        <f t="shared" si="7"/>
        <v>#REF!</v>
      </c>
      <c r="W9" s="335" t="e">
        <f t="shared" si="7"/>
        <v>#REF!</v>
      </c>
      <c r="X9" s="335" t="e">
        <f t="shared" si="7"/>
        <v>#REF!</v>
      </c>
      <c r="Y9" s="335" t="e">
        <f t="shared" si="7"/>
        <v>#REF!</v>
      </c>
      <c r="Z9" s="335" t="e">
        <f t="shared" si="7"/>
        <v>#REF!</v>
      </c>
      <c r="AA9" s="335" t="e">
        <f t="shared" si="7"/>
        <v>#REF!</v>
      </c>
      <c r="AB9" s="335" t="e">
        <f t="shared" si="7"/>
        <v>#REF!</v>
      </c>
      <c r="AC9" s="335" t="e">
        <f t="shared" si="7"/>
        <v>#REF!</v>
      </c>
      <c r="AD9" s="335" t="e">
        <f t="shared" si="7"/>
        <v>#REF!</v>
      </c>
      <c r="AE9" s="335" t="e">
        <f t="shared" si="7"/>
        <v>#REF!</v>
      </c>
      <c r="AF9" s="335" t="e">
        <f t="shared" si="8"/>
        <v>#REF!</v>
      </c>
      <c r="AG9" s="335" t="e">
        <f t="shared" si="8"/>
        <v>#REF!</v>
      </c>
      <c r="AH9" s="335" t="e">
        <f t="shared" si="8"/>
        <v>#REF!</v>
      </c>
      <c r="AI9" s="335" t="e">
        <f t="shared" si="8"/>
        <v>#REF!</v>
      </c>
      <c r="AJ9" s="335" t="e">
        <f t="shared" si="8"/>
        <v>#REF!</v>
      </c>
      <c r="AK9" s="335" t="e">
        <f t="shared" si="8"/>
        <v>#REF!</v>
      </c>
      <c r="AL9" s="335" t="e">
        <f t="shared" si="8"/>
        <v>#REF!</v>
      </c>
      <c r="AM9" s="335" t="e">
        <f t="shared" si="8"/>
        <v>#REF!</v>
      </c>
      <c r="AN9" s="335" t="e">
        <f t="shared" si="8"/>
        <v>#REF!</v>
      </c>
      <c r="AO9" s="335" t="e">
        <f t="shared" si="8"/>
        <v>#REF!</v>
      </c>
      <c r="AP9" s="335" t="e">
        <f t="shared" si="9"/>
        <v>#REF!</v>
      </c>
      <c r="AQ9" s="335" t="e">
        <f t="shared" si="9"/>
        <v>#REF!</v>
      </c>
      <c r="AR9" s="335" t="e">
        <f t="shared" si="9"/>
        <v>#REF!</v>
      </c>
      <c r="AS9" s="335" t="e">
        <f t="shared" si="9"/>
        <v>#REF!</v>
      </c>
      <c r="AT9" s="335" t="e">
        <f t="shared" si="9"/>
        <v>#REF!</v>
      </c>
      <c r="AU9" s="335" t="e">
        <f t="shared" si="9"/>
        <v>#REF!</v>
      </c>
      <c r="AV9" s="335" t="e">
        <f t="shared" si="9"/>
        <v>#REF!</v>
      </c>
      <c r="AW9" s="335" t="e">
        <f t="shared" si="9"/>
        <v>#REF!</v>
      </c>
      <c r="AX9" s="335" t="e">
        <f t="shared" si="9"/>
        <v>#REF!</v>
      </c>
      <c r="AY9" s="335" t="e">
        <f t="shared" si="9"/>
        <v>#REF!</v>
      </c>
    </row>
    <row r="10" spans="1:51">
      <c r="A10" s="338" t="s">
        <v>2887</v>
      </c>
      <c r="B10" s="335" t="e">
        <f t="shared" ref="B10:AG10" si="10">IF($E$3=1,VLOOKUP($A10,CentralHudson,B$193,FALSE),IF($E$3=2,VLOOKUP($A10,ConEd,B$193,FALSE),IF($E$3=3,VLOOKUP($A10,NationalGrid,B$193,FALSE),IF($E$3=4,VLOOKUP($A10,NYSEG,B$193,FALSE),IF($E$3=5,VLOOKUP(A$6,OandR,B$193,FALSE),VLOOKUP($A10,RGandE,B$193,FALSE))))))</f>
        <v>#REF!</v>
      </c>
      <c r="C10" s="335" t="e">
        <f t="shared" si="10"/>
        <v>#REF!</v>
      </c>
      <c r="D10" s="335" t="e">
        <f t="shared" si="10"/>
        <v>#REF!</v>
      </c>
      <c r="E10" s="335" t="e">
        <f t="shared" si="10"/>
        <v>#REF!</v>
      </c>
      <c r="F10" s="335" t="e">
        <f t="shared" si="10"/>
        <v>#REF!</v>
      </c>
      <c r="G10" s="335" t="e">
        <f t="shared" si="10"/>
        <v>#REF!</v>
      </c>
      <c r="H10" s="335" t="e">
        <f t="shared" si="10"/>
        <v>#REF!</v>
      </c>
      <c r="I10" s="335" t="e">
        <f t="shared" si="10"/>
        <v>#REF!</v>
      </c>
      <c r="J10" s="335" t="e">
        <f t="shared" si="10"/>
        <v>#REF!</v>
      </c>
      <c r="K10" s="335" t="e">
        <f t="shared" si="10"/>
        <v>#REF!</v>
      </c>
      <c r="L10" s="335" t="e">
        <f t="shared" si="10"/>
        <v>#REF!</v>
      </c>
      <c r="M10" s="335" t="e">
        <f t="shared" si="10"/>
        <v>#REF!</v>
      </c>
      <c r="N10" s="335" t="e">
        <f t="shared" si="10"/>
        <v>#REF!</v>
      </c>
      <c r="O10" s="335" t="e">
        <f t="shared" si="10"/>
        <v>#REF!</v>
      </c>
      <c r="P10" s="335" t="e">
        <f t="shared" si="10"/>
        <v>#REF!</v>
      </c>
      <c r="Q10" s="335" t="e">
        <f t="shared" si="10"/>
        <v>#REF!</v>
      </c>
      <c r="R10" s="335" t="e">
        <f t="shared" si="10"/>
        <v>#REF!</v>
      </c>
      <c r="S10" s="335" t="e">
        <f t="shared" si="10"/>
        <v>#REF!</v>
      </c>
      <c r="T10" s="335" t="e">
        <f t="shared" si="10"/>
        <v>#REF!</v>
      </c>
      <c r="U10" s="335" t="e">
        <f t="shared" si="10"/>
        <v>#REF!</v>
      </c>
      <c r="V10" s="335" t="e">
        <f t="shared" si="10"/>
        <v>#REF!</v>
      </c>
      <c r="W10" s="335" t="e">
        <f t="shared" si="10"/>
        <v>#REF!</v>
      </c>
      <c r="X10" s="335" t="e">
        <f t="shared" si="10"/>
        <v>#REF!</v>
      </c>
      <c r="Y10" s="335" t="e">
        <f t="shared" si="10"/>
        <v>#REF!</v>
      </c>
      <c r="Z10" s="335" t="e">
        <f t="shared" si="10"/>
        <v>#REF!</v>
      </c>
      <c r="AA10" s="335" t="e">
        <f t="shared" si="10"/>
        <v>#REF!</v>
      </c>
      <c r="AB10" s="335" t="e">
        <f t="shared" si="10"/>
        <v>#REF!</v>
      </c>
      <c r="AC10" s="335" t="e">
        <f t="shared" si="10"/>
        <v>#REF!</v>
      </c>
      <c r="AD10" s="335" t="e">
        <f t="shared" si="10"/>
        <v>#REF!</v>
      </c>
      <c r="AE10" s="335" t="e">
        <f t="shared" si="10"/>
        <v>#REF!</v>
      </c>
      <c r="AF10" s="335" t="e">
        <f t="shared" si="10"/>
        <v>#REF!</v>
      </c>
      <c r="AG10" s="335" t="e">
        <f t="shared" si="10"/>
        <v>#REF!</v>
      </c>
      <c r="AH10" s="335" t="e">
        <f t="shared" ref="AH10:AY10" si="11">IF($E$3=1,VLOOKUP($A10,CentralHudson,AH$193,FALSE),IF($E$3=2,VLOOKUP($A10,ConEd,AH$193,FALSE),IF($E$3=3,VLOOKUP($A10,NationalGrid,AH$193,FALSE),IF($E$3=4,VLOOKUP($A10,NYSEG,AH$193,FALSE),IF($E$3=5,VLOOKUP(AG$6,OandR,AH$193,FALSE),VLOOKUP($A10,RGandE,AH$193,FALSE))))))</f>
        <v>#REF!</v>
      </c>
      <c r="AI10" s="335" t="e">
        <f t="shared" si="11"/>
        <v>#REF!</v>
      </c>
      <c r="AJ10" s="335" t="e">
        <f t="shared" si="11"/>
        <v>#REF!</v>
      </c>
      <c r="AK10" s="335" t="e">
        <f t="shared" si="11"/>
        <v>#REF!</v>
      </c>
      <c r="AL10" s="335" t="e">
        <f t="shared" si="11"/>
        <v>#REF!</v>
      </c>
      <c r="AM10" s="335" t="e">
        <f t="shared" si="11"/>
        <v>#REF!</v>
      </c>
      <c r="AN10" s="335" t="e">
        <f t="shared" si="11"/>
        <v>#REF!</v>
      </c>
      <c r="AO10" s="335" t="e">
        <f t="shared" si="11"/>
        <v>#REF!</v>
      </c>
      <c r="AP10" s="335" t="e">
        <f t="shared" si="11"/>
        <v>#REF!</v>
      </c>
      <c r="AQ10" s="335" t="e">
        <f t="shared" si="11"/>
        <v>#REF!</v>
      </c>
      <c r="AR10" s="335" t="e">
        <f t="shared" si="11"/>
        <v>#REF!</v>
      </c>
      <c r="AS10" s="335" t="e">
        <f t="shared" si="11"/>
        <v>#REF!</v>
      </c>
      <c r="AT10" s="335" t="e">
        <f t="shared" si="11"/>
        <v>#REF!</v>
      </c>
      <c r="AU10" s="335" t="e">
        <f t="shared" si="11"/>
        <v>#REF!</v>
      </c>
      <c r="AV10" s="335" t="e">
        <f t="shared" si="11"/>
        <v>#REF!</v>
      </c>
      <c r="AW10" s="335" t="e">
        <f t="shared" si="11"/>
        <v>#REF!</v>
      </c>
      <c r="AX10" s="335" t="e">
        <f t="shared" si="11"/>
        <v>#REF!</v>
      </c>
      <c r="AY10" s="335" t="e">
        <f t="shared" si="11"/>
        <v>#REF!</v>
      </c>
    </row>
    <row r="11" spans="1:51">
      <c r="A11" s="338" t="s">
        <v>2888</v>
      </c>
      <c r="B11" s="335" t="e">
        <f t="shared" ref="B11:AG11" si="12">IF($E$3=1,VLOOKUP($A11,CentralHudson,B$193,FALSE),IF($E$3=2,VLOOKUP($A11,ConEd,B$193,FALSE),IF($E$3=3,VLOOKUP($A11,NationalGrid,B$193,FALSE),IF($E$3=4,VLOOKUP($A11,NYSEG,B$193,FALSE),IF($E$3=5,VLOOKUP(A$6,OandR,B$193,FALSE),VLOOKUP($A11,RGandE,B$193,FALSE))))))</f>
        <v>#REF!</v>
      </c>
      <c r="C11" s="335" t="e">
        <f t="shared" si="12"/>
        <v>#REF!</v>
      </c>
      <c r="D11" s="335" t="e">
        <f t="shared" si="12"/>
        <v>#REF!</v>
      </c>
      <c r="E11" s="335" t="e">
        <f t="shared" si="12"/>
        <v>#REF!</v>
      </c>
      <c r="F11" s="335" t="e">
        <f t="shared" si="12"/>
        <v>#REF!</v>
      </c>
      <c r="G11" s="335" t="e">
        <f t="shared" si="12"/>
        <v>#REF!</v>
      </c>
      <c r="H11" s="335" t="e">
        <f t="shared" si="12"/>
        <v>#REF!</v>
      </c>
      <c r="I11" s="335" t="e">
        <f t="shared" si="12"/>
        <v>#REF!</v>
      </c>
      <c r="J11" s="335" t="e">
        <f t="shared" si="12"/>
        <v>#REF!</v>
      </c>
      <c r="K11" s="335" t="e">
        <f t="shared" si="12"/>
        <v>#REF!</v>
      </c>
      <c r="L11" s="335" t="e">
        <f t="shared" si="12"/>
        <v>#REF!</v>
      </c>
      <c r="M11" s="335" t="e">
        <f t="shared" si="12"/>
        <v>#REF!</v>
      </c>
      <c r="N11" s="335" t="e">
        <f t="shared" si="12"/>
        <v>#REF!</v>
      </c>
      <c r="O11" s="335" t="e">
        <f t="shared" si="12"/>
        <v>#REF!</v>
      </c>
      <c r="P11" s="335" t="e">
        <f t="shared" si="12"/>
        <v>#REF!</v>
      </c>
      <c r="Q11" s="335" t="e">
        <f t="shared" si="12"/>
        <v>#REF!</v>
      </c>
      <c r="R11" s="335" t="e">
        <f t="shared" si="12"/>
        <v>#REF!</v>
      </c>
      <c r="S11" s="335" t="e">
        <f t="shared" si="12"/>
        <v>#REF!</v>
      </c>
      <c r="T11" s="335" t="e">
        <f t="shared" si="12"/>
        <v>#REF!</v>
      </c>
      <c r="U11" s="335" t="e">
        <f t="shared" si="12"/>
        <v>#REF!</v>
      </c>
      <c r="V11" s="335" t="e">
        <f t="shared" si="12"/>
        <v>#REF!</v>
      </c>
      <c r="W11" s="335" t="e">
        <f t="shared" si="12"/>
        <v>#REF!</v>
      </c>
      <c r="X11" s="335" t="e">
        <f t="shared" si="12"/>
        <v>#REF!</v>
      </c>
      <c r="Y11" s="335" t="e">
        <f t="shared" si="12"/>
        <v>#REF!</v>
      </c>
      <c r="Z11" s="335" t="e">
        <f t="shared" si="12"/>
        <v>#REF!</v>
      </c>
      <c r="AA11" s="335" t="e">
        <f t="shared" si="12"/>
        <v>#REF!</v>
      </c>
      <c r="AB11" s="335" t="e">
        <f t="shared" si="12"/>
        <v>#REF!</v>
      </c>
      <c r="AC11" s="335" t="e">
        <f t="shared" si="12"/>
        <v>#REF!</v>
      </c>
      <c r="AD11" s="335" t="e">
        <f t="shared" si="12"/>
        <v>#REF!</v>
      </c>
      <c r="AE11" s="335" t="e">
        <f t="shared" si="12"/>
        <v>#REF!</v>
      </c>
      <c r="AF11" s="335" t="e">
        <f t="shared" si="12"/>
        <v>#REF!</v>
      </c>
      <c r="AG11" s="335" t="e">
        <f t="shared" si="12"/>
        <v>#REF!</v>
      </c>
      <c r="AH11" s="335" t="e">
        <f t="shared" ref="AH11:AY11" si="13">IF($E$3=1,VLOOKUP($A11,CentralHudson,AH$193,FALSE),IF($E$3=2,VLOOKUP($A11,ConEd,AH$193,FALSE),IF($E$3=3,VLOOKUP($A11,NationalGrid,AH$193,FALSE),IF($E$3=4,VLOOKUP($A11,NYSEG,AH$193,FALSE),IF($E$3=5,VLOOKUP(AG$6,OandR,AH$193,FALSE),VLOOKUP($A11,RGandE,AH$193,FALSE))))))</f>
        <v>#REF!</v>
      </c>
      <c r="AI11" s="335" t="e">
        <f t="shared" si="13"/>
        <v>#REF!</v>
      </c>
      <c r="AJ11" s="335" t="e">
        <f t="shared" si="13"/>
        <v>#REF!</v>
      </c>
      <c r="AK11" s="335" t="e">
        <f t="shared" si="13"/>
        <v>#REF!</v>
      </c>
      <c r="AL11" s="335" t="e">
        <f t="shared" si="13"/>
        <v>#REF!</v>
      </c>
      <c r="AM11" s="335" t="e">
        <f t="shared" si="13"/>
        <v>#REF!</v>
      </c>
      <c r="AN11" s="335" t="e">
        <f t="shared" si="13"/>
        <v>#REF!</v>
      </c>
      <c r="AO11" s="335" t="e">
        <f t="shared" si="13"/>
        <v>#REF!</v>
      </c>
      <c r="AP11" s="335" t="e">
        <f t="shared" si="13"/>
        <v>#REF!</v>
      </c>
      <c r="AQ11" s="335" t="e">
        <f t="shared" si="13"/>
        <v>#REF!</v>
      </c>
      <c r="AR11" s="335" t="e">
        <f t="shared" si="13"/>
        <v>#REF!</v>
      </c>
      <c r="AS11" s="335" t="e">
        <f t="shared" si="13"/>
        <v>#REF!</v>
      </c>
      <c r="AT11" s="335" t="e">
        <f t="shared" si="13"/>
        <v>#REF!</v>
      </c>
      <c r="AU11" s="335" t="e">
        <f t="shared" si="13"/>
        <v>#REF!</v>
      </c>
      <c r="AV11" s="335" t="e">
        <f t="shared" si="13"/>
        <v>#REF!</v>
      </c>
      <c r="AW11" s="335" t="e">
        <f t="shared" si="13"/>
        <v>#REF!</v>
      </c>
      <c r="AX11" s="335" t="e">
        <f t="shared" si="13"/>
        <v>#REF!</v>
      </c>
      <c r="AY11" s="335" t="e">
        <f t="shared" si="13"/>
        <v>#REF!</v>
      </c>
    </row>
    <row r="12" spans="1:51">
      <c r="A12" s="338" t="s">
        <v>2889</v>
      </c>
      <c r="B12" s="335" t="e">
        <f t="shared" ref="B12:AG12" si="14">IF($E$3=1,VLOOKUP($A12,CentralHudson,B$193,FALSE),IF($E$3=2,VLOOKUP($A12,ConEd,B$193,FALSE),IF($E$3=3,VLOOKUP($A12,NationalGrid,B$193,FALSE),IF($E$3=4,VLOOKUP($A12,NYSEG,B$193,FALSE),IF($E$3=5,VLOOKUP(A$6,OandR,B$193,FALSE),VLOOKUP($A12,RGandE,B$193,FALSE))))))</f>
        <v>#REF!</v>
      </c>
      <c r="C12" s="335" t="e">
        <f t="shared" si="14"/>
        <v>#REF!</v>
      </c>
      <c r="D12" s="335" t="e">
        <f t="shared" si="14"/>
        <v>#REF!</v>
      </c>
      <c r="E12" s="335" t="e">
        <f t="shared" si="14"/>
        <v>#REF!</v>
      </c>
      <c r="F12" s="335" t="e">
        <f t="shared" si="14"/>
        <v>#REF!</v>
      </c>
      <c r="G12" s="335" t="e">
        <f t="shared" si="14"/>
        <v>#REF!</v>
      </c>
      <c r="H12" s="335" t="e">
        <f t="shared" si="14"/>
        <v>#REF!</v>
      </c>
      <c r="I12" s="335" t="e">
        <f t="shared" si="14"/>
        <v>#REF!</v>
      </c>
      <c r="J12" s="335" t="e">
        <f t="shared" si="14"/>
        <v>#REF!</v>
      </c>
      <c r="K12" s="335" t="e">
        <f t="shared" si="14"/>
        <v>#REF!</v>
      </c>
      <c r="L12" s="335" t="e">
        <f t="shared" si="14"/>
        <v>#REF!</v>
      </c>
      <c r="M12" s="335" t="e">
        <f t="shared" si="14"/>
        <v>#REF!</v>
      </c>
      <c r="N12" s="335" t="e">
        <f t="shared" si="14"/>
        <v>#REF!</v>
      </c>
      <c r="O12" s="335" t="e">
        <f t="shared" si="14"/>
        <v>#REF!</v>
      </c>
      <c r="P12" s="335" t="e">
        <f t="shared" si="14"/>
        <v>#REF!</v>
      </c>
      <c r="Q12" s="335" t="e">
        <f t="shared" si="14"/>
        <v>#REF!</v>
      </c>
      <c r="R12" s="335" t="e">
        <f t="shared" si="14"/>
        <v>#REF!</v>
      </c>
      <c r="S12" s="335" t="e">
        <f t="shared" si="14"/>
        <v>#REF!</v>
      </c>
      <c r="T12" s="335" t="e">
        <f t="shared" si="14"/>
        <v>#REF!</v>
      </c>
      <c r="U12" s="335" t="e">
        <f t="shared" si="14"/>
        <v>#REF!</v>
      </c>
      <c r="V12" s="335" t="e">
        <f t="shared" si="14"/>
        <v>#REF!</v>
      </c>
      <c r="W12" s="335" t="e">
        <f t="shared" si="14"/>
        <v>#REF!</v>
      </c>
      <c r="X12" s="335" t="e">
        <f t="shared" si="14"/>
        <v>#REF!</v>
      </c>
      <c r="Y12" s="335" t="e">
        <f t="shared" si="14"/>
        <v>#REF!</v>
      </c>
      <c r="Z12" s="335" t="e">
        <f t="shared" si="14"/>
        <v>#REF!</v>
      </c>
      <c r="AA12" s="335" t="e">
        <f t="shared" si="14"/>
        <v>#REF!</v>
      </c>
      <c r="AB12" s="335" t="e">
        <f t="shared" si="14"/>
        <v>#REF!</v>
      </c>
      <c r="AC12" s="335" t="e">
        <f t="shared" si="14"/>
        <v>#REF!</v>
      </c>
      <c r="AD12" s="335" t="e">
        <f t="shared" si="14"/>
        <v>#REF!</v>
      </c>
      <c r="AE12" s="335" t="e">
        <f t="shared" si="14"/>
        <v>#REF!</v>
      </c>
      <c r="AF12" s="335" t="e">
        <f t="shared" si="14"/>
        <v>#REF!</v>
      </c>
      <c r="AG12" s="335" t="e">
        <f t="shared" si="14"/>
        <v>#REF!</v>
      </c>
      <c r="AH12" s="335" t="e">
        <f t="shared" ref="AH12:AY12" si="15">IF($E$3=1,VLOOKUP($A12,CentralHudson,AH$193,FALSE),IF($E$3=2,VLOOKUP($A12,ConEd,AH$193,FALSE),IF($E$3=3,VLOOKUP($A12,NationalGrid,AH$193,FALSE),IF($E$3=4,VLOOKUP($A12,NYSEG,AH$193,FALSE),IF($E$3=5,VLOOKUP(AG$6,OandR,AH$193,FALSE),VLOOKUP($A12,RGandE,AH$193,FALSE))))))</f>
        <v>#REF!</v>
      </c>
      <c r="AI12" s="335" t="e">
        <f t="shared" si="15"/>
        <v>#REF!</v>
      </c>
      <c r="AJ12" s="335" t="e">
        <f t="shared" si="15"/>
        <v>#REF!</v>
      </c>
      <c r="AK12" s="335" t="e">
        <f t="shared" si="15"/>
        <v>#REF!</v>
      </c>
      <c r="AL12" s="335" t="e">
        <f t="shared" si="15"/>
        <v>#REF!</v>
      </c>
      <c r="AM12" s="335" t="e">
        <f t="shared" si="15"/>
        <v>#REF!</v>
      </c>
      <c r="AN12" s="335" t="e">
        <f t="shared" si="15"/>
        <v>#REF!</v>
      </c>
      <c r="AO12" s="335" t="e">
        <f t="shared" si="15"/>
        <v>#REF!</v>
      </c>
      <c r="AP12" s="335" t="e">
        <f t="shared" si="15"/>
        <v>#REF!</v>
      </c>
      <c r="AQ12" s="335" t="e">
        <f t="shared" si="15"/>
        <v>#REF!</v>
      </c>
      <c r="AR12" s="335" t="e">
        <f t="shared" si="15"/>
        <v>#REF!</v>
      </c>
      <c r="AS12" s="335" t="e">
        <f t="shared" si="15"/>
        <v>#REF!</v>
      </c>
      <c r="AT12" s="335" t="e">
        <f t="shared" si="15"/>
        <v>#REF!</v>
      </c>
      <c r="AU12" s="335" t="e">
        <f t="shared" si="15"/>
        <v>#REF!</v>
      </c>
      <c r="AV12" s="335" t="e">
        <f t="shared" si="15"/>
        <v>#REF!</v>
      </c>
      <c r="AW12" s="335" t="e">
        <f t="shared" si="15"/>
        <v>#REF!</v>
      </c>
      <c r="AX12" s="335" t="e">
        <f t="shared" si="15"/>
        <v>#REF!</v>
      </c>
      <c r="AY12" s="335" t="e">
        <f t="shared" si="15"/>
        <v>#REF!</v>
      </c>
    </row>
    <row r="13" spans="1:51" ht="12.75" thickBot="1">
      <c r="A13" s="345" t="s">
        <v>2890</v>
      </c>
      <c r="B13" s="335" t="e">
        <f t="shared" ref="B13:AG13" si="16">IF($E$3=1,VLOOKUP($A13,CentralHudson,B$193,FALSE),IF($E$3=2,VLOOKUP($A13,ConEd,B$193,FALSE),IF($E$3=3,VLOOKUP($A13,NationalGrid,B$193,FALSE),IF($E$3=4,VLOOKUP($A13,NYSEG,B$193,FALSE),IF($E$3=5,VLOOKUP(A$6,OandR,B$193,FALSE),VLOOKUP($A13,RGandE,B$193,FALSE))))))</f>
        <v>#REF!</v>
      </c>
      <c r="C13" s="335" t="e">
        <f t="shared" si="16"/>
        <v>#REF!</v>
      </c>
      <c r="D13" s="335" t="e">
        <f t="shared" si="16"/>
        <v>#REF!</v>
      </c>
      <c r="E13" s="335" t="e">
        <f t="shared" si="16"/>
        <v>#REF!</v>
      </c>
      <c r="F13" s="335" t="e">
        <f t="shared" si="16"/>
        <v>#REF!</v>
      </c>
      <c r="G13" s="335" t="e">
        <f t="shared" si="16"/>
        <v>#REF!</v>
      </c>
      <c r="H13" s="335" t="e">
        <f t="shared" si="16"/>
        <v>#REF!</v>
      </c>
      <c r="I13" s="335" t="e">
        <f t="shared" si="16"/>
        <v>#REF!</v>
      </c>
      <c r="J13" s="335" t="e">
        <f t="shared" si="16"/>
        <v>#REF!</v>
      </c>
      <c r="K13" s="335" t="e">
        <f t="shared" si="16"/>
        <v>#REF!</v>
      </c>
      <c r="L13" s="335" t="e">
        <f t="shared" si="16"/>
        <v>#REF!</v>
      </c>
      <c r="M13" s="335" t="e">
        <f t="shared" si="16"/>
        <v>#REF!</v>
      </c>
      <c r="N13" s="335" t="e">
        <f t="shared" si="16"/>
        <v>#REF!</v>
      </c>
      <c r="O13" s="335" t="e">
        <f t="shared" si="16"/>
        <v>#REF!</v>
      </c>
      <c r="P13" s="335" t="e">
        <f t="shared" si="16"/>
        <v>#REF!</v>
      </c>
      <c r="Q13" s="335" t="e">
        <f t="shared" si="16"/>
        <v>#REF!</v>
      </c>
      <c r="R13" s="335" t="e">
        <f t="shared" si="16"/>
        <v>#REF!</v>
      </c>
      <c r="S13" s="335" t="e">
        <f t="shared" si="16"/>
        <v>#REF!</v>
      </c>
      <c r="T13" s="335" t="e">
        <f t="shared" si="16"/>
        <v>#REF!</v>
      </c>
      <c r="U13" s="335" t="e">
        <f t="shared" si="16"/>
        <v>#REF!</v>
      </c>
      <c r="V13" s="335" t="e">
        <f t="shared" si="16"/>
        <v>#REF!</v>
      </c>
      <c r="W13" s="335" t="e">
        <f t="shared" si="16"/>
        <v>#REF!</v>
      </c>
      <c r="X13" s="335" t="e">
        <f t="shared" si="16"/>
        <v>#REF!</v>
      </c>
      <c r="Y13" s="335" t="e">
        <f t="shared" si="16"/>
        <v>#REF!</v>
      </c>
      <c r="Z13" s="335" t="e">
        <f t="shared" si="16"/>
        <v>#REF!</v>
      </c>
      <c r="AA13" s="335" t="e">
        <f t="shared" si="16"/>
        <v>#REF!</v>
      </c>
      <c r="AB13" s="335" t="e">
        <f t="shared" si="16"/>
        <v>#REF!</v>
      </c>
      <c r="AC13" s="335" t="e">
        <f t="shared" si="16"/>
        <v>#REF!</v>
      </c>
      <c r="AD13" s="335" t="e">
        <f t="shared" si="16"/>
        <v>#REF!</v>
      </c>
      <c r="AE13" s="335" t="e">
        <f t="shared" si="16"/>
        <v>#REF!</v>
      </c>
      <c r="AF13" s="335" t="e">
        <f t="shared" si="16"/>
        <v>#REF!</v>
      </c>
      <c r="AG13" s="335" t="e">
        <f t="shared" si="16"/>
        <v>#REF!</v>
      </c>
      <c r="AH13" s="335" t="e">
        <f t="shared" ref="AH13:AY13" si="17">IF($E$3=1,VLOOKUP($A13,CentralHudson,AH$193,FALSE),IF($E$3=2,VLOOKUP($A13,ConEd,AH$193,FALSE),IF($E$3=3,VLOOKUP($A13,NationalGrid,AH$193,FALSE),IF($E$3=4,VLOOKUP($A13,NYSEG,AH$193,FALSE),IF($E$3=5,VLOOKUP(AG$6,OandR,AH$193,FALSE),VLOOKUP($A13,RGandE,AH$193,FALSE))))))</f>
        <v>#REF!</v>
      </c>
      <c r="AI13" s="335" t="e">
        <f t="shared" si="17"/>
        <v>#REF!</v>
      </c>
      <c r="AJ13" s="335" t="e">
        <f t="shared" si="17"/>
        <v>#REF!</v>
      </c>
      <c r="AK13" s="335" t="e">
        <f t="shared" si="17"/>
        <v>#REF!</v>
      </c>
      <c r="AL13" s="335" t="e">
        <f t="shared" si="17"/>
        <v>#REF!</v>
      </c>
      <c r="AM13" s="335" t="e">
        <f t="shared" si="17"/>
        <v>#REF!</v>
      </c>
      <c r="AN13" s="335" t="e">
        <f t="shared" si="17"/>
        <v>#REF!</v>
      </c>
      <c r="AO13" s="335" t="e">
        <f t="shared" si="17"/>
        <v>#REF!</v>
      </c>
      <c r="AP13" s="335" t="e">
        <f t="shared" si="17"/>
        <v>#REF!</v>
      </c>
      <c r="AQ13" s="335" t="e">
        <f t="shared" si="17"/>
        <v>#REF!</v>
      </c>
      <c r="AR13" s="335" t="e">
        <f t="shared" si="17"/>
        <v>#REF!</v>
      </c>
      <c r="AS13" s="335" t="e">
        <f t="shared" si="17"/>
        <v>#REF!</v>
      </c>
      <c r="AT13" s="335" t="e">
        <f t="shared" si="17"/>
        <v>#REF!</v>
      </c>
      <c r="AU13" s="335" t="e">
        <f t="shared" si="17"/>
        <v>#REF!</v>
      </c>
      <c r="AV13" s="335" t="e">
        <f t="shared" si="17"/>
        <v>#REF!</v>
      </c>
      <c r="AW13" s="335" t="e">
        <f t="shared" si="17"/>
        <v>#REF!</v>
      </c>
      <c r="AX13" s="335" t="e">
        <f t="shared" si="17"/>
        <v>#REF!</v>
      </c>
      <c r="AY13" s="335" t="e">
        <f t="shared" si="17"/>
        <v>#REF!</v>
      </c>
    </row>
    <row r="14" spans="1:51">
      <c r="B14" s="325"/>
      <c r="C14" s="325"/>
      <c r="D14" s="325"/>
      <c r="E14" s="325"/>
      <c r="F14" s="325"/>
      <c r="G14" s="325"/>
      <c r="H14" s="325"/>
      <c r="I14" s="325"/>
      <c r="J14" s="325"/>
      <c r="K14" s="325"/>
      <c r="L14" s="325"/>
      <c r="M14" s="325"/>
      <c r="N14" s="325"/>
      <c r="O14" s="325"/>
      <c r="P14" s="325"/>
      <c r="Q14" s="325"/>
      <c r="R14" s="325"/>
      <c r="S14" s="325"/>
      <c r="T14" s="325"/>
      <c r="U14" s="325"/>
      <c r="V14" s="325"/>
      <c r="W14" s="325"/>
      <c r="X14" s="325"/>
      <c r="Y14" s="325"/>
      <c r="Z14" s="325"/>
      <c r="AA14" s="325"/>
      <c r="AB14" s="325"/>
      <c r="AC14" s="325"/>
      <c r="AD14" s="325"/>
      <c r="AE14" s="325"/>
    </row>
    <row r="15" spans="1:51" ht="15.75" thickBot="1">
      <c r="A15" s="329" t="s">
        <v>2891</v>
      </c>
      <c r="B15" s="325"/>
      <c r="C15" s="325"/>
      <c r="D15" s="325"/>
      <c r="E15" s="325"/>
      <c r="F15" s="325"/>
      <c r="G15" s="325"/>
      <c r="H15" s="325"/>
      <c r="I15" s="325"/>
      <c r="J15" s="325"/>
      <c r="K15" s="325"/>
      <c r="L15" s="325"/>
      <c r="M15" s="325"/>
      <c r="N15" s="325"/>
      <c r="O15" s="325"/>
      <c r="P15" s="325"/>
      <c r="Q15" s="325"/>
      <c r="R15" s="325"/>
      <c r="S15" s="325"/>
      <c r="T15" s="325"/>
      <c r="U15" s="325"/>
      <c r="V15" s="325"/>
      <c r="W15" s="325"/>
      <c r="X15" s="325"/>
      <c r="Y15" s="325"/>
      <c r="Z15" s="325"/>
      <c r="AA15" s="325"/>
      <c r="AB15" s="325"/>
      <c r="AC15" s="325"/>
      <c r="AD15" s="325"/>
      <c r="AE15" s="325"/>
    </row>
    <row r="16" spans="1:51" ht="12.75" thickBot="1">
      <c r="A16" s="330" t="s">
        <v>2886</v>
      </c>
      <c r="B16" s="331">
        <v>1</v>
      </c>
      <c r="C16" s="332">
        <v>2</v>
      </c>
      <c r="D16" s="332">
        <v>3</v>
      </c>
      <c r="E16" s="332">
        <v>4</v>
      </c>
      <c r="F16" s="332">
        <v>5</v>
      </c>
      <c r="G16" s="332">
        <v>6</v>
      </c>
      <c r="H16" s="332">
        <v>7</v>
      </c>
      <c r="I16" s="332">
        <v>8</v>
      </c>
      <c r="J16" s="332">
        <v>9</v>
      </c>
      <c r="K16" s="332">
        <v>10</v>
      </c>
      <c r="L16" s="332">
        <v>11</v>
      </c>
      <c r="M16" s="332">
        <v>12</v>
      </c>
      <c r="N16" s="332">
        <v>13</v>
      </c>
      <c r="O16" s="332">
        <v>14</v>
      </c>
      <c r="P16" s="332">
        <v>15</v>
      </c>
      <c r="Q16" s="332">
        <v>16</v>
      </c>
      <c r="R16" s="332">
        <v>17</v>
      </c>
      <c r="S16" s="332">
        <v>18</v>
      </c>
      <c r="T16" s="332">
        <v>19</v>
      </c>
      <c r="U16" s="332">
        <v>20</v>
      </c>
      <c r="V16" s="332">
        <v>21</v>
      </c>
      <c r="W16" s="332">
        <v>22</v>
      </c>
      <c r="X16" s="332">
        <v>23</v>
      </c>
      <c r="Y16" s="332">
        <v>24</v>
      </c>
      <c r="Z16" s="332">
        <v>25</v>
      </c>
      <c r="AA16" s="332">
        <v>26</v>
      </c>
      <c r="AB16" s="332">
        <v>27</v>
      </c>
      <c r="AC16" s="332">
        <v>28</v>
      </c>
      <c r="AD16" s="332">
        <v>29</v>
      </c>
      <c r="AE16" s="332">
        <v>30</v>
      </c>
      <c r="AF16" s="332">
        <f t="shared" ref="AF16:AY16" si="18">AE16+1</f>
        <v>31</v>
      </c>
      <c r="AG16" s="332">
        <f t="shared" si="18"/>
        <v>32</v>
      </c>
      <c r="AH16" s="332">
        <f t="shared" si="18"/>
        <v>33</v>
      </c>
      <c r="AI16" s="332">
        <f t="shared" si="18"/>
        <v>34</v>
      </c>
      <c r="AJ16" s="332">
        <f t="shared" si="18"/>
        <v>35</v>
      </c>
      <c r="AK16" s="332">
        <f t="shared" si="18"/>
        <v>36</v>
      </c>
      <c r="AL16" s="332">
        <f t="shared" si="18"/>
        <v>37</v>
      </c>
      <c r="AM16" s="332">
        <f t="shared" si="18"/>
        <v>38</v>
      </c>
      <c r="AN16" s="332">
        <f t="shared" si="18"/>
        <v>39</v>
      </c>
      <c r="AO16" s="332">
        <f t="shared" si="18"/>
        <v>40</v>
      </c>
      <c r="AP16" s="332">
        <f t="shared" si="18"/>
        <v>41</v>
      </c>
      <c r="AQ16" s="332">
        <f t="shared" si="18"/>
        <v>42</v>
      </c>
      <c r="AR16" s="332">
        <f t="shared" si="18"/>
        <v>43</v>
      </c>
      <c r="AS16" s="332">
        <f t="shared" si="18"/>
        <v>44</v>
      </c>
      <c r="AT16" s="332">
        <f t="shared" si="18"/>
        <v>45</v>
      </c>
      <c r="AU16" s="332">
        <f t="shared" si="18"/>
        <v>46</v>
      </c>
      <c r="AV16" s="332">
        <f t="shared" si="18"/>
        <v>47</v>
      </c>
      <c r="AW16" s="332">
        <f t="shared" si="18"/>
        <v>48</v>
      </c>
      <c r="AX16" s="332">
        <f t="shared" si="18"/>
        <v>49</v>
      </c>
      <c r="AY16" s="333">
        <f t="shared" si="18"/>
        <v>50</v>
      </c>
    </row>
    <row r="17" spans="1:51">
      <c r="A17" s="334" t="s">
        <v>2908</v>
      </c>
      <c r="B17" s="335" t="e">
        <f t="shared" ref="B17:B24" si="19">B6/(1+$C$3)^(B$16-0.5)</f>
        <v>#REF!</v>
      </c>
      <c r="C17" s="336" t="e">
        <f t="shared" ref="C17:AY22" si="20">(C6/(1+$C$3)^(C$16-0.5)+B17)</f>
        <v>#REF!</v>
      </c>
      <c r="D17" s="336" t="e">
        <f t="shared" si="20"/>
        <v>#REF!</v>
      </c>
      <c r="E17" s="336" t="e">
        <f t="shared" si="20"/>
        <v>#REF!</v>
      </c>
      <c r="F17" s="336" t="e">
        <f t="shared" si="20"/>
        <v>#REF!</v>
      </c>
      <c r="G17" s="336" t="e">
        <f t="shared" si="20"/>
        <v>#REF!</v>
      </c>
      <c r="H17" s="336" t="e">
        <f t="shared" si="20"/>
        <v>#REF!</v>
      </c>
      <c r="I17" s="336" t="e">
        <f t="shared" si="20"/>
        <v>#REF!</v>
      </c>
      <c r="J17" s="336" t="e">
        <f t="shared" si="20"/>
        <v>#REF!</v>
      </c>
      <c r="K17" s="336" t="e">
        <f t="shared" si="20"/>
        <v>#REF!</v>
      </c>
      <c r="L17" s="336" t="e">
        <f t="shared" si="20"/>
        <v>#REF!</v>
      </c>
      <c r="M17" s="336" t="e">
        <f t="shared" si="20"/>
        <v>#REF!</v>
      </c>
      <c r="N17" s="336" t="e">
        <f t="shared" si="20"/>
        <v>#REF!</v>
      </c>
      <c r="O17" s="336" t="e">
        <f t="shared" si="20"/>
        <v>#REF!</v>
      </c>
      <c r="P17" s="336" t="e">
        <f t="shared" si="20"/>
        <v>#REF!</v>
      </c>
      <c r="Q17" s="336" t="e">
        <f t="shared" si="20"/>
        <v>#REF!</v>
      </c>
      <c r="R17" s="336" t="e">
        <f t="shared" si="20"/>
        <v>#REF!</v>
      </c>
      <c r="S17" s="336" t="e">
        <f t="shared" si="20"/>
        <v>#REF!</v>
      </c>
      <c r="T17" s="336" t="e">
        <f t="shared" si="20"/>
        <v>#REF!</v>
      </c>
      <c r="U17" s="336" t="e">
        <f t="shared" si="20"/>
        <v>#REF!</v>
      </c>
      <c r="V17" s="336" t="e">
        <f t="shared" si="20"/>
        <v>#REF!</v>
      </c>
      <c r="W17" s="336" t="e">
        <f t="shared" si="20"/>
        <v>#REF!</v>
      </c>
      <c r="X17" s="336" t="e">
        <f t="shared" si="20"/>
        <v>#REF!</v>
      </c>
      <c r="Y17" s="336" t="e">
        <f t="shared" si="20"/>
        <v>#REF!</v>
      </c>
      <c r="Z17" s="336" t="e">
        <f t="shared" si="20"/>
        <v>#REF!</v>
      </c>
      <c r="AA17" s="336" t="e">
        <f t="shared" si="20"/>
        <v>#REF!</v>
      </c>
      <c r="AB17" s="336" t="e">
        <f t="shared" si="20"/>
        <v>#REF!</v>
      </c>
      <c r="AC17" s="336" t="e">
        <f t="shared" si="20"/>
        <v>#REF!</v>
      </c>
      <c r="AD17" s="336" t="e">
        <f t="shared" si="20"/>
        <v>#REF!</v>
      </c>
      <c r="AE17" s="336" t="e">
        <f t="shared" si="20"/>
        <v>#REF!</v>
      </c>
      <c r="AF17" s="336" t="e">
        <f t="shared" si="20"/>
        <v>#REF!</v>
      </c>
      <c r="AG17" s="336" t="e">
        <f t="shared" si="20"/>
        <v>#REF!</v>
      </c>
      <c r="AH17" s="336" t="e">
        <f t="shared" si="20"/>
        <v>#REF!</v>
      </c>
      <c r="AI17" s="336" t="e">
        <f t="shared" si="20"/>
        <v>#REF!</v>
      </c>
      <c r="AJ17" s="336" t="e">
        <f t="shared" si="20"/>
        <v>#REF!</v>
      </c>
      <c r="AK17" s="336" t="e">
        <f t="shared" si="20"/>
        <v>#REF!</v>
      </c>
      <c r="AL17" s="336" t="e">
        <f t="shared" si="20"/>
        <v>#REF!</v>
      </c>
      <c r="AM17" s="336" t="e">
        <f t="shared" si="20"/>
        <v>#REF!</v>
      </c>
      <c r="AN17" s="336" t="e">
        <f t="shared" si="20"/>
        <v>#REF!</v>
      </c>
      <c r="AO17" s="336" t="e">
        <f t="shared" si="20"/>
        <v>#REF!</v>
      </c>
      <c r="AP17" s="336" t="e">
        <f t="shared" si="20"/>
        <v>#REF!</v>
      </c>
      <c r="AQ17" s="336" t="e">
        <f t="shared" si="20"/>
        <v>#REF!</v>
      </c>
      <c r="AR17" s="336" t="e">
        <f t="shared" si="20"/>
        <v>#REF!</v>
      </c>
      <c r="AS17" s="336" t="e">
        <f t="shared" si="20"/>
        <v>#REF!</v>
      </c>
      <c r="AT17" s="336" t="e">
        <f t="shared" si="20"/>
        <v>#REF!</v>
      </c>
      <c r="AU17" s="336" t="e">
        <f t="shared" si="20"/>
        <v>#REF!</v>
      </c>
      <c r="AV17" s="336" t="e">
        <f t="shared" si="20"/>
        <v>#REF!</v>
      </c>
      <c r="AW17" s="336" t="e">
        <f t="shared" si="20"/>
        <v>#REF!</v>
      </c>
      <c r="AX17" s="336" t="e">
        <f t="shared" si="20"/>
        <v>#REF!</v>
      </c>
      <c r="AY17" s="337" t="e">
        <f t="shared" si="20"/>
        <v>#REF!</v>
      </c>
    </row>
    <row r="18" spans="1:51">
      <c r="A18" s="338" t="s">
        <v>2909</v>
      </c>
      <c r="B18" s="342" t="e">
        <f t="shared" si="19"/>
        <v>#REF!</v>
      </c>
      <c r="C18" s="343" t="e">
        <f t="shared" si="20"/>
        <v>#REF!</v>
      </c>
      <c r="D18" s="343" t="e">
        <f t="shared" si="20"/>
        <v>#REF!</v>
      </c>
      <c r="E18" s="343" t="e">
        <f t="shared" si="20"/>
        <v>#REF!</v>
      </c>
      <c r="F18" s="343" t="e">
        <f t="shared" si="20"/>
        <v>#REF!</v>
      </c>
      <c r="G18" s="343" t="e">
        <f t="shared" si="20"/>
        <v>#REF!</v>
      </c>
      <c r="H18" s="343" t="e">
        <f t="shared" si="20"/>
        <v>#REF!</v>
      </c>
      <c r="I18" s="343" t="e">
        <f t="shared" si="20"/>
        <v>#REF!</v>
      </c>
      <c r="J18" s="343" t="e">
        <f t="shared" si="20"/>
        <v>#REF!</v>
      </c>
      <c r="K18" s="343" t="e">
        <f t="shared" si="20"/>
        <v>#REF!</v>
      </c>
      <c r="L18" s="343" t="e">
        <f t="shared" si="20"/>
        <v>#REF!</v>
      </c>
      <c r="M18" s="343" t="e">
        <f t="shared" si="20"/>
        <v>#REF!</v>
      </c>
      <c r="N18" s="343" t="e">
        <f t="shared" si="20"/>
        <v>#REF!</v>
      </c>
      <c r="O18" s="343" t="e">
        <f t="shared" si="20"/>
        <v>#REF!</v>
      </c>
      <c r="P18" s="343" t="e">
        <f t="shared" si="20"/>
        <v>#REF!</v>
      </c>
      <c r="Q18" s="343" t="e">
        <f t="shared" si="20"/>
        <v>#REF!</v>
      </c>
      <c r="R18" s="343" t="e">
        <f t="shared" si="20"/>
        <v>#REF!</v>
      </c>
      <c r="S18" s="343" t="e">
        <f t="shared" si="20"/>
        <v>#REF!</v>
      </c>
      <c r="T18" s="343" t="e">
        <f t="shared" si="20"/>
        <v>#REF!</v>
      </c>
      <c r="U18" s="343" t="e">
        <f t="shared" si="20"/>
        <v>#REF!</v>
      </c>
      <c r="V18" s="343" t="e">
        <f t="shared" si="20"/>
        <v>#REF!</v>
      </c>
      <c r="W18" s="343" t="e">
        <f t="shared" si="20"/>
        <v>#REF!</v>
      </c>
      <c r="X18" s="343" t="e">
        <f t="shared" si="20"/>
        <v>#REF!</v>
      </c>
      <c r="Y18" s="343" t="e">
        <f t="shared" si="20"/>
        <v>#REF!</v>
      </c>
      <c r="Z18" s="343" t="e">
        <f t="shared" si="20"/>
        <v>#REF!</v>
      </c>
      <c r="AA18" s="343" t="e">
        <f t="shared" si="20"/>
        <v>#REF!</v>
      </c>
      <c r="AB18" s="343" t="e">
        <f t="shared" si="20"/>
        <v>#REF!</v>
      </c>
      <c r="AC18" s="343" t="e">
        <f t="shared" si="20"/>
        <v>#REF!</v>
      </c>
      <c r="AD18" s="343" t="e">
        <f t="shared" si="20"/>
        <v>#REF!</v>
      </c>
      <c r="AE18" s="343" t="e">
        <f t="shared" si="20"/>
        <v>#REF!</v>
      </c>
      <c r="AF18" s="343" t="e">
        <f t="shared" si="20"/>
        <v>#REF!</v>
      </c>
      <c r="AG18" s="343" t="e">
        <f t="shared" si="20"/>
        <v>#REF!</v>
      </c>
      <c r="AH18" s="343" t="e">
        <f t="shared" si="20"/>
        <v>#REF!</v>
      </c>
      <c r="AI18" s="343" t="e">
        <f t="shared" si="20"/>
        <v>#REF!</v>
      </c>
      <c r="AJ18" s="343" t="e">
        <f t="shared" si="20"/>
        <v>#REF!</v>
      </c>
      <c r="AK18" s="343" t="e">
        <f t="shared" si="20"/>
        <v>#REF!</v>
      </c>
      <c r="AL18" s="343" t="e">
        <f t="shared" si="20"/>
        <v>#REF!</v>
      </c>
      <c r="AM18" s="343" t="e">
        <f t="shared" si="20"/>
        <v>#REF!</v>
      </c>
      <c r="AN18" s="343" t="e">
        <f t="shared" si="20"/>
        <v>#REF!</v>
      </c>
      <c r="AO18" s="343" t="e">
        <f t="shared" si="20"/>
        <v>#REF!</v>
      </c>
      <c r="AP18" s="343" t="e">
        <f t="shared" si="20"/>
        <v>#REF!</v>
      </c>
      <c r="AQ18" s="343" t="e">
        <f t="shared" si="20"/>
        <v>#REF!</v>
      </c>
      <c r="AR18" s="343" t="e">
        <f t="shared" si="20"/>
        <v>#REF!</v>
      </c>
      <c r="AS18" s="343" t="e">
        <f t="shared" si="20"/>
        <v>#REF!</v>
      </c>
      <c r="AT18" s="343" t="e">
        <f t="shared" si="20"/>
        <v>#REF!</v>
      </c>
      <c r="AU18" s="343" t="e">
        <f t="shared" si="20"/>
        <v>#REF!</v>
      </c>
      <c r="AV18" s="343" t="e">
        <f t="shared" si="20"/>
        <v>#REF!</v>
      </c>
      <c r="AW18" s="343" t="e">
        <f t="shared" si="20"/>
        <v>#REF!</v>
      </c>
      <c r="AX18" s="343" t="e">
        <f t="shared" si="20"/>
        <v>#REF!</v>
      </c>
      <c r="AY18" s="344" t="e">
        <f t="shared" si="20"/>
        <v>#REF!</v>
      </c>
    </row>
    <row r="19" spans="1:51">
      <c r="A19" s="338" t="s">
        <v>2910</v>
      </c>
      <c r="B19" s="342" t="e">
        <f t="shared" si="19"/>
        <v>#REF!</v>
      </c>
      <c r="C19" s="343" t="e">
        <f t="shared" si="20"/>
        <v>#REF!</v>
      </c>
      <c r="D19" s="343" t="e">
        <f t="shared" si="20"/>
        <v>#REF!</v>
      </c>
      <c r="E19" s="343" t="e">
        <f t="shared" si="20"/>
        <v>#REF!</v>
      </c>
      <c r="F19" s="343" t="e">
        <f t="shared" si="20"/>
        <v>#REF!</v>
      </c>
      <c r="G19" s="343" t="e">
        <f t="shared" si="20"/>
        <v>#REF!</v>
      </c>
      <c r="H19" s="343" t="e">
        <f t="shared" si="20"/>
        <v>#REF!</v>
      </c>
      <c r="I19" s="343" t="e">
        <f t="shared" si="20"/>
        <v>#REF!</v>
      </c>
      <c r="J19" s="343" t="e">
        <f t="shared" si="20"/>
        <v>#REF!</v>
      </c>
      <c r="K19" s="343" t="e">
        <f t="shared" si="20"/>
        <v>#REF!</v>
      </c>
      <c r="L19" s="343" t="e">
        <f t="shared" si="20"/>
        <v>#REF!</v>
      </c>
      <c r="M19" s="343" t="e">
        <f t="shared" si="20"/>
        <v>#REF!</v>
      </c>
      <c r="N19" s="343" t="e">
        <f t="shared" si="20"/>
        <v>#REF!</v>
      </c>
      <c r="O19" s="343" t="e">
        <f t="shared" si="20"/>
        <v>#REF!</v>
      </c>
      <c r="P19" s="343" t="e">
        <f t="shared" si="20"/>
        <v>#REF!</v>
      </c>
      <c r="Q19" s="343" t="e">
        <f t="shared" si="20"/>
        <v>#REF!</v>
      </c>
      <c r="R19" s="343" t="e">
        <f t="shared" si="20"/>
        <v>#REF!</v>
      </c>
      <c r="S19" s="343" t="e">
        <f t="shared" si="20"/>
        <v>#REF!</v>
      </c>
      <c r="T19" s="343" t="e">
        <f t="shared" si="20"/>
        <v>#REF!</v>
      </c>
      <c r="U19" s="343" t="e">
        <f t="shared" si="20"/>
        <v>#REF!</v>
      </c>
      <c r="V19" s="343" t="e">
        <f t="shared" si="20"/>
        <v>#REF!</v>
      </c>
      <c r="W19" s="343" t="e">
        <f t="shared" si="20"/>
        <v>#REF!</v>
      </c>
      <c r="X19" s="343" t="e">
        <f t="shared" si="20"/>
        <v>#REF!</v>
      </c>
      <c r="Y19" s="343" t="e">
        <f t="shared" si="20"/>
        <v>#REF!</v>
      </c>
      <c r="Z19" s="343" t="e">
        <f t="shared" si="20"/>
        <v>#REF!</v>
      </c>
      <c r="AA19" s="343" t="e">
        <f t="shared" si="20"/>
        <v>#REF!</v>
      </c>
      <c r="AB19" s="343" t="e">
        <f t="shared" si="20"/>
        <v>#REF!</v>
      </c>
      <c r="AC19" s="343" t="e">
        <f t="shared" si="20"/>
        <v>#REF!</v>
      </c>
      <c r="AD19" s="343" t="e">
        <f t="shared" si="20"/>
        <v>#REF!</v>
      </c>
      <c r="AE19" s="343" t="e">
        <f t="shared" si="20"/>
        <v>#REF!</v>
      </c>
      <c r="AF19" s="343" t="e">
        <f t="shared" si="20"/>
        <v>#REF!</v>
      </c>
      <c r="AG19" s="343" t="e">
        <f t="shared" si="20"/>
        <v>#REF!</v>
      </c>
      <c r="AH19" s="343" t="e">
        <f t="shared" si="20"/>
        <v>#REF!</v>
      </c>
      <c r="AI19" s="343" t="e">
        <f t="shared" si="20"/>
        <v>#REF!</v>
      </c>
      <c r="AJ19" s="343" t="e">
        <f t="shared" si="20"/>
        <v>#REF!</v>
      </c>
      <c r="AK19" s="343" t="e">
        <f t="shared" si="20"/>
        <v>#REF!</v>
      </c>
      <c r="AL19" s="343" t="e">
        <f t="shared" si="20"/>
        <v>#REF!</v>
      </c>
      <c r="AM19" s="343" t="e">
        <f t="shared" si="20"/>
        <v>#REF!</v>
      </c>
      <c r="AN19" s="343" t="e">
        <f t="shared" si="20"/>
        <v>#REF!</v>
      </c>
      <c r="AO19" s="343" t="e">
        <f t="shared" si="20"/>
        <v>#REF!</v>
      </c>
      <c r="AP19" s="343" t="e">
        <f t="shared" si="20"/>
        <v>#REF!</v>
      </c>
      <c r="AQ19" s="343" t="e">
        <f t="shared" si="20"/>
        <v>#REF!</v>
      </c>
      <c r="AR19" s="343" t="e">
        <f t="shared" si="20"/>
        <v>#REF!</v>
      </c>
      <c r="AS19" s="343" t="e">
        <f t="shared" si="20"/>
        <v>#REF!</v>
      </c>
      <c r="AT19" s="343" t="e">
        <f t="shared" si="20"/>
        <v>#REF!</v>
      </c>
      <c r="AU19" s="343" t="e">
        <f t="shared" si="20"/>
        <v>#REF!</v>
      </c>
      <c r="AV19" s="343" t="e">
        <f t="shared" si="20"/>
        <v>#REF!</v>
      </c>
      <c r="AW19" s="343" t="e">
        <f t="shared" si="20"/>
        <v>#REF!</v>
      </c>
      <c r="AX19" s="343" t="e">
        <f t="shared" si="20"/>
        <v>#REF!</v>
      </c>
      <c r="AY19" s="344" t="e">
        <f t="shared" si="20"/>
        <v>#REF!</v>
      </c>
    </row>
    <row r="20" spans="1:51">
      <c r="A20" s="338" t="s">
        <v>2911</v>
      </c>
      <c r="B20" s="342" t="e">
        <f t="shared" si="19"/>
        <v>#REF!</v>
      </c>
      <c r="C20" s="343" t="e">
        <f t="shared" si="20"/>
        <v>#REF!</v>
      </c>
      <c r="D20" s="343" t="e">
        <f t="shared" si="20"/>
        <v>#REF!</v>
      </c>
      <c r="E20" s="343" t="e">
        <f t="shared" si="20"/>
        <v>#REF!</v>
      </c>
      <c r="F20" s="343" t="e">
        <f t="shared" si="20"/>
        <v>#REF!</v>
      </c>
      <c r="G20" s="343" t="e">
        <f t="shared" si="20"/>
        <v>#REF!</v>
      </c>
      <c r="H20" s="343" t="e">
        <f t="shared" si="20"/>
        <v>#REF!</v>
      </c>
      <c r="I20" s="343" t="e">
        <f t="shared" si="20"/>
        <v>#REF!</v>
      </c>
      <c r="J20" s="343" t="e">
        <f t="shared" si="20"/>
        <v>#REF!</v>
      </c>
      <c r="K20" s="343" t="e">
        <f t="shared" si="20"/>
        <v>#REF!</v>
      </c>
      <c r="L20" s="343" t="e">
        <f t="shared" si="20"/>
        <v>#REF!</v>
      </c>
      <c r="M20" s="343" t="e">
        <f t="shared" si="20"/>
        <v>#REF!</v>
      </c>
      <c r="N20" s="343" t="e">
        <f t="shared" si="20"/>
        <v>#REF!</v>
      </c>
      <c r="O20" s="343" t="e">
        <f t="shared" si="20"/>
        <v>#REF!</v>
      </c>
      <c r="P20" s="343" t="e">
        <f t="shared" si="20"/>
        <v>#REF!</v>
      </c>
      <c r="Q20" s="343" t="e">
        <f t="shared" si="20"/>
        <v>#REF!</v>
      </c>
      <c r="R20" s="343" t="e">
        <f t="shared" si="20"/>
        <v>#REF!</v>
      </c>
      <c r="S20" s="343" t="e">
        <f t="shared" si="20"/>
        <v>#REF!</v>
      </c>
      <c r="T20" s="343" t="e">
        <f t="shared" si="20"/>
        <v>#REF!</v>
      </c>
      <c r="U20" s="343" t="e">
        <f t="shared" si="20"/>
        <v>#REF!</v>
      </c>
      <c r="V20" s="343" t="e">
        <f t="shared" si="20"/>
        <v>#REF!</v>
      </c>
      <c r="W20" s="343" t="e">
        <f t="shared" si="20"/>
        <v>#REF!</v>
      </c>
      <c r="X20" s="343" t="e">
        <f t="shared" si="20"/>
        <v>#REF!</v>
      </c>
      <c r="Y20" s="343" t="e">
        <f t="shared" si="20"/>
        <v>#REF!</v>
      </c>
      <c r="Z20" s="343" t="e">
        <f t="shared" si="20"/>
        <v>#REF!</v>
      </c>
      <c r="AA20" s="343" t="e">
        <f t="shared" si="20"/>
        <v>#REF!</v>
      </c>
      <c r="AB20" s="343" t="e">
        <f t="shared" si="20"/>
        <v>#REF!</v>
      </c>
      <c r="AC20" s="343" t="e">
        <f t="shared" si="20"/>
        <v>#REF!</v>
      </c>
      <c r="AD20" s="343" t="e">
        <f t="shared" si="20"/>
        <v>#REF!</v>
      </c>
      <c r="AE20" s="343" t="e">
        <f t="shared" si="20"/>
        <v>#REF!</v>
      </c>
      <c r="AF20" s="343" t="e">
        <f t="shared" si="20"/>
        <v>#REF!</v>
      </c>
      <c r="AG20" s="343" t="e">
        <f t="shared" si="20"/>
        <v>#REF!</v>
      </c>
      <c r="AH20" s="343" t="e">
        <f t="shared" si="20"/>
        <v>#REF!</v>
      </c>
      <c r="AI20" s="343" t="e">
        <f t="shared" si="20"/>
        <v>#REF!</v>
      </c>
      <c r="AJ20" s="343" t="e">
        <f t="shared" si="20"/>
        <v>#REF!</v>
      </c>
      <c r="AK20" s="343" t="e">
        <f t="shared" si="20"/>
        <v>#REF!</v>
      </c>
      <c r="AL20" s="343" t="e">
        <f t="shared" si="20"/>
        <v>#REF!</v>
      </c>
      <c r="AM20" s="343" t="e">
        <f t="shared" si="20"/>
        <v>#REF!</v>
      </c>
      <c r="AN20" s="343" t="e">
        <f t="shared" si="20"/>
        <v>#REF!</v>
      </c>
      <c r="AO20" s="343" t="e">
        <f t="shared" si="20"/>
        <v>#REF!</v>
      </c>
      <c r="AP20" s="343" t="e">
        <f t="shared" si="20"/>
        <v>#REF!</v>
      </c>
      <c r="AQ20" s="343" t="e">
        <f t="shared" si="20"/>
        <v>#REF!</v>
      </c>
      <c r="AR20" s="343" t="e">
        <f t="shared" si="20"/>
        <v>#REF!</v>
      </c>
      <c r="AS20" s="343" t="e">
        <f t="shared" si="20"/>
        <v>#REF!</v>
      </c>
      <c r="AT20" s="343" t="e">
        <f t="shared" si="20"/>
        <v>#REF!</v>
      </c>
      <c r="AU20" s="343" t="e">
        <f t="shared" si="20"/>
        <v>#REF!</v>
      </c>
      <c r="AV20" s="343" t="e">
        <f t="shared" si="20"/>
        <v>#REF!</v>
      </c>
      <c r="AW20" s="343" t="e">
        <f t="shared" si="20"/>
        <v>#REF!</v>
      </c>
      <c r="AX20" s="343" t="e">
        <f t="shared" si="20"/>
        <v>#REF!</v>
      </c>
      <c r="AY20" s="344" t="e">
        <f t="shared" si="20"/>
        <v>#REF!</v>
      </c>
    </row>
    <row r="21" spans="1:51">
      <c r="A21" s="338" t="s">
        <v>2912</v>
      </c>
      <c r="B21" s="342" t="e">
        <f t="shared" si="19"/>
        <v>#REF!</v>
      </c>
      <c r="C21" s="343" t="e">
        <f t="shared" si="20"/>
        <v>#REF!</v>
      </c>
      <c r="D21" s="343" t="e">
        <f t="shared" si="20"/>
        <v>#REF!</v>
      </c>
      <c r="E21" s="343" t="e">
        <f t="shared" si="20"/>
        <v>#REF!</v>
      </c>
      <c r="F21" s="343" t="e">
        <f t="shared" si="20"/>
        <v>#REF!</v>
      </c>
      <c r="G21" s="343" t="e">
        <f t="shared" si="20"/>
        <v>#REF!</v>
      </c>
      <c r="H21" s="343" t="e">
        <f t="shared" si="20"/>
        <v>#REF!</v>
      </c>
      <c r="I21" s="343" t="e">
        <f t="shared" si="20"/>
        <v>#REF!</v>
      </c>
      <c r="J21" s="343" t="e">
        <f t="shared" si="20"/>
        <v>#REF!</v>
      </c>
      <c r="K21" s="343" t="e">
        <f t="shared" si="20"/>
        <v>#REF!</v>
      </c>
      <c r="L21" s="343" t="e">
        <f t="shared" si="20"/>
        <v>#REF!</v>
      </c>
      <c r="M21" s="343" t="e">
        <f t="shared" si="20"/>
        <v>#REF!</v>
      </c>
      <c r="N21" s="343" t="e">
        <f t="shared" si="20"/>
        <v>#REF!</v>
      </c>
      <c r="O21" s="343" t="e">
        <f t="shared" si="20"/>
        <v>#REF!</v>
      </c>
      <c r="P21" s="343" t="e">
        <f t="shared" si="20"/>
        <v>#REF!</v>
      </c>
      <c r="Q21" s="343" t="e">
        <f t="shared" si="20"/>
        <v>#REF!</v>
      </c>
      <c r="R21" s="343" t="e">
        <f t="shared" si="20"/>
        <v>#REF!</v>
      </c>
      <c r="S21" s="343" t="e">
        <f t="shared" si="20"/>
        <v>#REF!</v>
      </c>
      <c r="T21" s="343" t="e">
        <f t="shared" si="20"/>
        <v>#REF!</v>
      </c>
      <c r="U21" s="343" t="e">
        <f t="shared" si="20"/>
        <v>#REF!</v>
      </c>
      <c r="V21" s="343" t="e">
        <f t="shared" si="20"/>
        <v>#REF!</v>
      </c>
      <c r="W21" s="343" t="e">
        <f t="shared" si="20"/>
        <v>#REF!</v>
      </c>
      <c r="X21" s="343" t="e">
        <f t="shared" si="20"/>
        <v>#REF!</v>
      </c>
      <c r="Y21" s="343" t="e">
        <f t="shared" si="20"/>
        <v>#REF!</v>
      </c>
      <c r="Z21" s="343" t="e">
        <f t="shared" si="20"/>
        <v>#REF!</v>
      </c>
      <c r="AA21" s="343" t="e">
        <f t="shared" si="20"/>
        <v>#REF!</v>
      </c>
      <c r="AB21" s="343" t="e">
        <f t="shared" si="20"/>
        <v>#REF!</v>
      </c>
      <c r="AC21" s="343" t="e">
        <f t="shared" si="20"/>
        <v>#REF!</v>
      </c>
      <c r="AD21" s="343" t="e">
        <f t="shared" si="20"/>
        <v>#REF!</v>
      </c>
      <c r="AE21" s="343" t="e">
        <f t="shared" si="20"/>
        <v>#REF!</v>
      </c>
      <c r="AF21" s="343" t="e">
        <f t="shared" si="20"/>
        <v>#REF!</v>
      </c>
      <c r="AG21" s="343" t="e">
        <f t="shared" si="20"/>
        <v>#REF!</v>
      </c>
      <c r="AH21" s="343" t="e">
        <f t="shared" si="20"/>
        <v>#REF!</v>
      </c>
      <c r="AI21" s="343" t="e">
        <f t="shared" si="20"/>
        <v>#REF!</v>
      </c>
      <c r="AJ21" s="343" t="e">
        <f t="shared" si="20"/>
        <v>#REF!</v>
      </c>
      <c r="AK21" s="343" t="e">
        <f t="shared" si="20"/>
        <v>#REF!</v>
      </c>
      <c r="AL21" s="343" t="e">
        <f t="shared" si="20"/>
        <v>#REF!</v>
      </c>
      <c r="AM21" s="343" t="e">
        <f t="shared" si="20"/>
        <v>#REF!</v>
      </c>
      <c r="AN21" s="343" t="e">
        <f t="shared" si="20"/>
        <v>#REF!</v>
      </c>
      <c r="AO21" s="343" t="e">
        <f t="shared" si="20"/>
        <v>#REF!</v>
      </c>
      <c r="AP21" s="343" t="e">
        <f t="shared" si="20"/>
        <v>#REF!</v>
      </c>
      <c r="AQ21" s="343" t="e">
        <f t="shared" si="20"/>
        <v>#REF!</v>
      </c>
      <c r="AR21" s="343" t="e">
        <f t="shared" si="20"/>
        <v>#REF!</v>
      </c>
      <c r="AS21" s="343" t="e">
        <f t="shared" si="20"/>
        <v>#REF!</v>
      </c>
      <c r="AT21" s="343" t="e">
        <f t="shared" si="20"/>
        <v>#REF!</v>
      </c>
      <c r="AU21" s="343" t="e">
        <f t="shared" si="20"/>
        <v>#REF!</v>
      </c>
      <c r="AV21" s="343" t="e">
        <f t="shared" si="20"/>
        <v>#REF!</v>
      </c>
      <c r="AW21" s="343" t="e">
        <f t="shared" si="20"/>
        <v>#REF!</v>
      </c>
      <c r="AX21" s="343" t="e">
        <f t="shared" si="20"/>
        <v>#REF!</v>
      </c>
      <c r="AY21" s="344" t="e">
        <f t="shared" si="20"/>
        <v>#REF!</v>
      </c>
    </row>
    <row r="22" spans="1:51">
      <c r="A22" s="338" t="s">
        <v>2892</v>
      </c>
      <c r="B22" s="339" t="e">
        <f t="shared" si="19"/>
        <v>#REF!</v>
      </c>
      <c r="C22" s="340" t="e">
        <f t="shared" si="20"/>
        <v>#REF!</v>
      </c>
      <c r="D22" s="340" t="e">
        <f t="shared" si="20"/>
        <v>#REF!</v>
      </c>
      <c r="E22" s="340" t="e">
        <f t="shared" si="20"/>
        <v>#REF!</v>
      </c>
      <c r="F22" s="340" t="e">
        <f t="shared" si="20"/>
        <v>#REF!</v>
      </c>
      <c r="G22" s="340" t="e">
        <f t="shared" si="20"/>
        <v>#REF!</v>
      </c>
      <c r="H22" s="340" t="e">
        <f t="shared" si="20"/>
        <v>#REF!</v>
      </c>
      <c r="I22" s="340" t="e">
        <f t="shared" si="20"/>
        <v>#REF!</v>
      </c>
      <c r="J22" s="340" t="e">
        <f t="shared" si="20"/>
        <v>#REF!</v>
      </c>
      <c r="K22" s="340" t="e">
        <f t="shared" si="20"/>
        <v>#REF!</v>
      </c>
      <c r="L22" s="340" t="e">
        <f t="shared" si="20"/>
        <v>#REF!</v>
      </c>
      <c r="M22" s="340" t="e">
        <f t="shared" ref="M22:AY22" si="21">(M11/(1+$C$3)^(M$16-0.5)+L22)</f>
        <v>#REF!</v>
      </c>
      <c r="N22" s="340" t="e">
        <f t="shared" si="21"/>
        <v>#REF!</v>
      </c>
      <c r="O22" s="340" t="e">
        <f t="shared" si="21"/>
        <v>#REF!</v>
      </c>
      <c r="P22" s="340" t="e">
        <f t="shared" si="21"/>
        <v>#REF!</v>
      </c>
      <c r="Q22" s="340" t="e">
        <f t="shared" si="21"/>
        <v>#REF!</v>
      </c>
      <c r="R22" s="340" t="e">
        <f t="shared" si="21"/>
        <v>#REF!</v>
      </c>
      <c r="S22" s="340" t="e">
        <f t="shared" si="21"/>
        <v>#REF!</v>
      </c>
      <c r="T22" s="340" t="e">
        <f t="shared" si="21"/>
        <v>#REF!</v>
      </c>
      <c r="U22" s="340" t="e">
        <f t="shared" si="21"/>
        <v>#REF!</v>
      </c>
      <c r="V22" s="340" t="e">
        <f t="shared" si="21"/>
        <v>#REF!</v>
      </c>
      <c r="W22" s="340" t="e">
        <f t="shared" si="21"/>
        <v>#REF!</v>
      </c>
      <c r="X22" s="340" t="e">
        <f t="shared" si="21"/>
        <v>#REF!</v>
      </c>
      <c r="Y22" s="340" t="e">
        <f t="shared" si="21"/>
        <v>#REF!</v>
      </c>
      <c r="Z22" s="340" t="e">
        <f t="shared" si="21"/>
        <v>#REF!</v>
      </c>
      <c r="AA22" s="340" t="e">
        <f t="shared" si="21"/>
        <v>#REF!</v>
      </c>
      <c r="AB22" s="340" t="e">
        <f t="shared" si="21"/>
        <v>#REF!</v>
      </c>
      <c r="AC22" s="340" t="e">
        <f t="shared" si="21"/>
        <v>#REF!</v>
      </c>
      <c r="AD22" s="340" t="e">
        <f t="shared" si="21"/>
        <v>#REF!</v>
      </c>
      <c r="AE22" s="340" t="e">
        <f t="shared" si="21"/>
        <v>#REF!</v>
      </c>
      <c r="AF22" s="340" t="e">
        <f t="shared" si="21"/>
        <v>#REF!</v>
      </c>
      <c r="AG22" s="340" t="e">
        <f t="shared" si="21"/>
        <v>#REF!</v>
      </c>
      <c r="AH22" s="340" t="e">
        <f t="shared" si="21"/>
        <v>#REF!</v>
      </c>
      <c r="AI22" s="340" t="e">
        <f t="shared" si="21"/>
        <v>#REF!</v>
      </c>
      <c r="AJ22" s="340" t="e">
        <f t="shared" si="21"/>
        <v>#REF!</v>
      </c>
      <c r="AK22" s="340" t="e">
        <f t="shared" si="21"/>
        <v>#REF!</v>
      </c>
      <c r="AL22" s="340" t="e">
        <f t="shared" si="21"/>
        <v>#REF!</v>
      </c>
      <c r="AM22" s="340" t="e">
        <f t="shared" si="21"/>
        <v>#REF!</v>
      </c>
      <c r="AN22" s="340" t="e">
        <f t="shared" si="21"/>
        <v>#REF!</v>
      </c>
      <c r="AO22" s="340" t="e">
        <f t="shared" si="21"/>
        <v>#REF!</v>
      </c>
      <c r="AP22" s="340" t="e">
        <f t="shared" si="21"/>
        <v>#REF!</v>
      </c>
      <c r="AQ22" s="340" t="e">
        <f t="shared" si="21"/>
        <v>#REF!</v>
      </c>
      <c r="AR22" s="340" t="e">
        <f t="shared" si="21"/>
        <v>#REF!</v>
      </c>
      <c r="AS22" s="340" t="e">
        <f t="shared" si="21"/>
        <v>#REF!</v>
      </c>
      <c r="AT22" s="340" t="e">
        <f t="shared" si="21"/>
        <v>#REF!</v>
      </c>
      <c r="AU22" s="340" t="e">
        <f t="shared" si="21"/>
        <v>#REF!</v>
      </c>
      <c r="AV22" s="340" t="e">
        <f t="shared" si="21"/>
        <v>#REF!</v>
      </c>
      <c r="AW22" s="340" t="e">
        <f t="shared" si="21"/>
        <v>#REF!</v>
      </c>
      <c r="AX22" s="340" t="e">
        <f t="shared" si="21"/>
        <v>#REF!</v>
      </c>
      <c r="AY22" s="341" t="e">
        <f t="shared" si="21"/>
        <v>#REF!</v>
      </c>
    </row>
    <row r="23" spans="1:51">
      <c r="A23" s="338" t="s">
        <v>2893</v>
      </c>
      <c r="B23" s="342" t="e">
        <f t="shared" si="19"/>
        <v>#REF!</v>
      </c>
      <c r="C23" s="343" t="e">
        <f t="shared" ref="C23:L23" si="22">(C12/(1+$C$3)^(C$16-0.5)+B23)</f>
        <v>#REF!</v>
      </c>
      <c r="D23" s="343" t="e">
        <f t="shared" si="22"/>
        <v>#REF!</v>
      </c>
      <c r="E23" s="343" t="e">
        <f t="shared" si="22"/>
        <v>#REF!</v>
      </c>
      <c r="F23" s="343" t="e">
        <f t="shared" si="22"/>
        <v>#REF!</v>
      </c>
      <c r="G23" s="343" t="e">
        <f t="shared" si="22"/>
        <v>#REF!</v>
      </c>
      <c r="H23" s="343" t="e">
        <f t="shared" si="22"/>
        <v>#REF!</v>
      </c>
      <c r="I23" s="343" t="e">
        <f t="shared" si="22"/>
        <v>#REF!</v>
      </c>
      <c r="J23" s="343" t="e">
        <f t="shared" si="22"/>
        <v>#REF!</v>
      </c>
      <c r="K23" s="343" t="e">
        <f t="shared" si="22"/>
        <v>#REF!</v>
      </c>
      <c r="L23" s="343" t="e">
        <f t="shared" si="22"/>
        <v>#REF!</v>
      </c>
      <c r="M23" s="343" t="e">
        <f t="shared" ref="M23:AY23" si="23">(M12/(1+$C$3)^(M$16-0.5)+L23)</f>
        <v>#REF!</v>
      </c>
      <c r="N23" s="343" t="e">
        <f t="shared" si="23"/>
        <v>#REF!</v>
      </c>
      <c r="O23" s="343" t="e">
        <f t="shared" si="23"/>
        <v>#REF!</v>
      </c>
      <c r="P23" s="343" t="e">
        <f t="shared" si="23"/>
        <v>#REF!</v>
      </c>
      <c r="Q23" s="343" t="e">
        <f t="shared" si="23"/>
        <v>#REF!</v>
      </c>
      <c r="R23" s="343" t="e">
        <f t="shared" si="23"/>
        <v>#REF!</v>
      </c>
      <c r="S23" s="343" t="e">
        <f t="shared" si="23"/>
        <v>#REF!</v>
      </c>
      <c r="T23" s="343" t="e">
        <f t="shared" si="23"/>
        <v>#REF!</v>
      </c>
      <c r="U23" s="343" t="e">
        <f t="shared" si="23"/>
        <v>#REF!</v>
      </c>
      <c r="V23" s="343" t="e">
        <f t="shared" si="23"/>
        <v>#REF!</v>
      </c>
      <c r="W23" s="343" t="e">
        <f t="shared" si="23"/>
        <v>#REF!</v>
      </c>
      <c r="X23" s="343" t="e">
        <f t="shared" si="23"/>
        <v>#REF!</v>
      </c>
      <c r="Y23" s="343" t="e">
        <f t="shared" si="23"/>
        <v>#REF!</v>
      </c>
      <c r="Z23" s="343" t="e">
        <f t="shared" si="23"/>
        <v>#REF!</v>
      </c>
      <c r="AA23" s="343" t="e">
        <f t="shared" si="23"/>
        <v>#REF!</v>
      </c>
      <c r="AB23" s="343" t="e">
        <f t="shared" si="23"/>
        <v>#REF!</v>
      </c>
      <c r="AC23" s="343" t="e">
        <f t="shared" si="23"/>
        <v>#REF!</v>
      </c>
      <c r="AD23" s="343" t="e">
        <f t="shared" si="23"/>
        <v>#REF!</v>
      </c>
      <c r="AE23" s="343" t="e">
        <f t="shared" si="23"/>
        <v>#REF!</v>
      </c>
      <c r="AF23" s="343" t="e">
        <f t="shared" si="23"/>
        <v>#REF!</v>
      </c>
      <c r="AG23" s="343" t="e">
        <f t="shared" si="23"/>
        <v>#REF!</v>
      </c>
      <c r="AH23" s="343" t="e">
        <f t="shared" si="23"/>
        <v>#REF!</v>
      </c>
      <c r="AI23" s="343" t="e">
        <f t="shared" si="23"/>
        <v>#REF!</v>
      </c>
      <c r="AJ23" s="343" t="e">
        <f t="shared" si="23"/>
        <v>#REF!</v>
      </c>
      <c r="AK23" s="343" t="e">
        <f t="shared" si="23"/>
        <v>#REF!</v>
      </c>
      <c r="AL23" s="343" t="e">
        <f t="shared" si="23"/>
        <v>#REF!</v>
      </c>
      <c r="AM23" s="343" t="e">
        <f t="shared" si="23"/>
        <v>#REF!</v>
      </c>
      <c r="AN23" s="343" t="e">
        <f t="shared" si="23"/>
        <v>#REF!</v>
      </c>
      <c r="AO23" s="343" t="e">
        <f t="shared" si="23"/>
        <v>#REF!</v>
      </c>
      <c r="AP23" s="343" t="e">
        <f t="shared" si="23"/>
        <v>#REF!</v>
      </c>
      <c r="AQ23" s="343" t="e">
        <f t="shared" si="23"/>
        <v>#REF!</v>
      </c>
      <c r="AR23" s="343" t="e">
        <f t="shared" si="23"/>
        <v>#REF!</v>
      </c>
      <c r="AS23" s="343" t="e">
        <f t="shared" si="23"/>
        <v>#REF!</v>
      </c>
      <c r="AT23" s="343" t="e">
        <f t="shared" si="23"/>
        <v>#REF!</v>
      </c>
      <c r="AU23" s="343" t="e">
        <f t="shared" si="23"/>
        <v>#REF!</v>
      </c>
      <c r="AV23" s="343" t="e">
        <f t="shared" si="23"/>
        <v>#REF!</v>
      </c>
      <c r="AW23" s="343" t="e">
        <f t="shared" si="23"/>
        <v>#REF!</v>
      </c>
      <c r="AX23" s="343" t="e">
        <f t="shared" si="23"/>
        <v>#REF!</v>
      </c>
      <c r="AY23" s="344" t="e">
        <f t="shared" si="23"/>
        <v>#REF!</v>
      </c>
    </row>
    <row r="24" spans="1:51" ht="12.75" thickBot="1">
      <c r="A24" s="345" t="s">
        <v>2894</v>
      </c>
      <c r="B24" s="346" t="e">
        <f t="shared" si="19"/>
        <v>#REF!</v>
      </c>
      <c r="C24" s="347" t="e">
        <f t="shared" ref="C24:L24" si="24">(C13/(1+$C$3)^(C$16-0.5)+B24)</f>
        <v>#REF!</v>
      </c>
      <c r="D24" s="347" t="e">
        <f t="shared" si="24"/>
        <v>#REF!</v>
      </c>
      <c r="E24" s="347" t="e">
        <f t="shared" si="24"/>
        <v>#REF!</v>
      </c>
      <c r="F24" s="347" t="e">
        <f t="shared" si="24"/>
        <v>#REF!</v>
      </c>
      <c r="G24" s="347" t="e">
        <f t="shared" si="24"/>
        <v>#REF!</v>
      </c>
      <c r="H24" s="347" t="e">
        <f t="shared" si="24"/>
        <v>#REF!</v>
      </c>
      <c r="I24" s="347" t="e">
        <f t="shared" si="24"/>
        <v>#REF!</v>
      </c>
      <c r="J24" s="347" t="e">
        <f t="shared" si="24"/>
        <v>#REF!</v>
      </c>
      <c r="K24" s="347" t="e">
        <f t="shared" si="24"/>
        <v>#REF!</v>
      </c>
      <c r="L24" s="347" t="e">
        <f t="shared" si="24"/>
        <v>#REF!</v>
      </c>
      <c r="M24" s="347" t="e">
        <f t="shared" ref="M24:AY24" si="25">(M13/(1+$C$3)^(M$16-0.5)+L24)</f>
        <v>#REF!</v>
      </c>
      <c r="N24" s="347" t="e">
        <f t="shared" si="25"/>
        <v>#REF!</v>
      </c>
      <c r="O24" s="347" t="e">
        <f t="shared" si="25"/>
        <v>#REF!</v>
      </c>
      <c r="P24" s="347" t="e">
        <f t="shared" si="25"/>
        <v>#REF!</v>
      </c>
      <c r="Q24" s="347" t="e">
        <f t="shared" si="25"/>
        <v>#REF!</v>
      </c>
      <c r="R24" s="347" t="e">
        <f t="shared" si="25"/>
        <v>#REF!</v>
      </c>
      <c r="S24" s="347" t="e">
        <f t="shared" si="25"/>
        <v>#REF!</v>
      </c>
      <c r="T24" s="347" t="e">
        <f t="shared" si="25"/>
        <v>#REF!</v>
      </c>
      <c r="U24" s="347" t="e">
        <f t="shared" si="25"/>
        <v>#REF!</v>
      </c>
      <c r="V24" s="347" t="e">
        <f t="shared" si="25"/>
        <v>#REF!</v>
      </c>
      <c r="W24" s="347" t="e">
        <f t="shared" si="25"/>
        <v>#REF!</v>
      </c>
      <c r="X24" s="347" t="e">
        <f t="shared" si="25"/>
        <v>#REF!</v>
      </c>
      <c r="Y24" s="347" t="e">
        <f t="shared" si="25"/>
        <v>#REF!</v>
      </c>
      <c r="Z24" s="347" t="e">
        <f t="shared" si="25"/>
        <v>#REF!</v>
      </c>
      <c r="AA24" s="347" t="e">
        <f t="shared" si="25"/>
        <v>#REF!</v>
      </c>
      <c r="AB24" s="347" t="e">
        <f t="shared" si="25"/>
        <v>#REF!</v>
      </c>
      <c r="AC24" s="347" t="e">
        <f t="shared" si="25"/>
        <v>#REF!</v>
      </c>
      <c r="AD24" s="347" t="e">
        <f t="shared" si="25"/>
        <v>#REF!</v>
      </c>
      <c r="AE24" s="347" t="e">
        <f t="shared" si="25"/>
        <v>#REF!</v>
      </c>
      <c r="AF24" s="347" t="e">
        <f t="shared" si="25"/>
        <v>#REF!</v>
      </c>
      <c r="AG24" s="347" t="e">
        <f t="shared" si="25"/>
        <v>#REF!</v>
      </c>
      <c r="AH24" s="347" t="e">
        <f t="shared" si="25"/>
        <v>#REF!</v>
      </c>
      <c r="AI24" s="347" t="e">
        <f t="shared" si="25"/>
        <v>#REF!</v>
      </c>
      <c r="AJ24" s="347" t="e">
        <f t="shared" si="25"/>
        <v>#REF!</v>
      </c>
      <c r="AK24" s="347" t="e">
        <f t="shared" si="25"/>
        <v>#REF!</v>
      </c>
      <c r="AL24" s="347" t="e">
        <f t="shared" si="25"/>
        <v>#REF!</v>
      </c>
      <c r="AM24" s="347" t="e">
        <f t="shared" si="25"/>
        <v>#REF!</v>
      </c>
      <c r="AN24" s="347" t="e">
        <f t="shared" si="25"/>
        <v>#REF!</v>
      </c>
      <c r="AO24" s="347" t="e">
        <f t="shared" si="25"/>
        <v>#REF!</v>
      </c>
      <c r="AP24" s="347" t="e">
        <f t="shared" si="25"/>
        <v>#REF!</v>
      </c>
      <c r="AQ24" s="347" t="e">
        <f t="shared" si="25"/>
        <v>#REF!</v>
      </c>
      <c r="AR24" s="347" t="e">
        <f t="shared" si="25"/>
        <v>#REF!</v>
      </c>
      <c r="AS24" s="347" t="e">
        <f t="shared" si="25"/>
        <v>#REF!</v>
      </c>
      <c r="AT24" s="347" t="e">
        <f t="shared" si="25"/>
        <v>#REF!</v>
      </c>
      <c r="AU24" s="347" t="e">
        <f t="shared" si="25"/>
        <v>#REF!</v>
      </c>
      <c r="AV24" s="347" t="e">
        <f t="shared" si="25"/>
        <v>#REF!</v>
      </c>
      <c r="AW24" s="347" t="e">
        <f t="shared" si="25"/>
        <v>#REF!</v>
      </c>
      <c r="AX24" s="347" t="e">
        <f t="shared" si="25"/>
        <v>#REF!</v>
      </c>
      <c r="AY24" s="348" t="e">
        <f t="shared" si="25"/>
        <v>#REF!</v>
      </c>
    </row>
    <row r="26" spans="1:51" ht="15.75">
      <c r="A26" s="350" t="s">
        <v>2895</v>
      </c>
      <c r="B26" s="349"/>
      <c r="C26" s="349"/>
      <c r="D26" s="349"/>
      <c r="E26" s="349"/>
      <c r="F26" s="349"/>
      <c r="G26" s="349"/>
      <c r="H26" s="349"/>
      <c r="I26" s="349"/>
      <c r="J26" s="349"/>
      <c r="K26" s="349"/>
      <c r="L26" s="349"/>
      <c r="M26" s="349"/>
      <c r="N26" s="349"/>
      <c r="O26" s="349"/>
      <c r="P26" s="349"/>
      <c r="Q26" s="349"/>
      <c r="R26" s="349"/>
      <c r="S26" s="349"/>
      <c r="T26" s="349"/>
      <c r="U26" s="349"/>
      <c r="V26" s="349"/>
      <c r="W26" s="349"/>
      <c r="X26" s="349"/>
      <c r="Y26" s="349"/>
      <c r="Z26" s="349"/>
      <c r="AA26" s="349"/>
      <c r="AB26" s="349"/>
      <c r="AC26" s="349"/>
      <c r="AD26" s="349"/>
      <c r="AE26" s="349"/>
      <c r="AF26" s="349"/>
      <c r="AG26" s="349"/>
      <c r="AH26" s="349"/>
      <c r="AI26" s="349"/>
      <c r="AJ26" s="349"/>
      <c r="AK26" s="349"/>
      <c r="AL26" s="349"/>
      <c r="AM26" s="349"/>
      <c r="AN26" s="349"/>
      <c r="AO26" s="349"/>
      <c r="AP26" s="349"/>
      <c r="AQ26" s="349"/>
      <c r="AR26" s="349"/>
      <c r="AS26" s="349"/>
      <c r="AT26" s="349"/>
      <c r="AU26" s="349"/>
      <c r="AV26" s="349"/>
      <c r="AW26" s="349"/>
      <c r="AX26" s="349"/>
      <c r="AY26" s="349"/>
    </row>
    <row r="27" spans="1:51" ht="15.75" thickBot="1">
      <c r="A27" s="329" t="s">
        <v>2885</v>
      </c>
    </row>
    <row r="28" spans="1:51" ht="12.75" thickBot="1">
      <c r="A28" s="330" t="s">
        <v>2886</v>
      </c>
      <c r="B28" s="331">
        <v>2010</v>
      </c>
      <c r="C28" s="332">
        <v>2011</v>
      </c>
      <c r="D28" s="332">
        <v>2012</v>
      </c>
      <c r="E28" s="332">
        <v>2013</v>
      </c>
      <c r="F28" s="332">
        <v>2014</v>
      </c>
      <c r="G28" s="332">
        <v>2015</v>
      </c>
      <c r="H28" s="332">
        <v>2016</v>
      </c>
      <c r="I28" s="332">
        <v>2017</v>
      </c>
      <c r="J28" s="332">
        <v>2018</v>
      </c>
      <c r="K28" s="332">
        <v>2019</v>
      </c>
      <c r="L28" s="332">
        <v>2020</v>
      </c>
      <c r="M28" s="332">
        <v>2021</v>
      </c>
      <c r="N28" s="332">
        <v>2022</v>
      </c>
      <c r="O28" s="332">
        <v>2023</v>
      </c>
      <c r="P28" s="332">
        <v>2024</v>
      </c>
      <c r="Q28" s="332">
        <v>2025</v>
      </c>
      <c r="R28" s="332">
        <v>2026</v>
      </c>
      <c r="S28" s="332">
        <v>2027</v>
      </c>
      <c r="T28" s="332">
        <v>2028</v>
      </c>
      <c r="U28" s="332">
        <v>2029</v>
      </c>
      <c r="V28" s="332">
        <v>2030</v>
      </c>
      <c r="W28" s="332">
        <v>2031</v>
      </c>
      <c r="X28" s="332">
        <v>2032</v>
      </c>
      <c r="Y28" s="332">
        <v>2033</v>
      </c>
      <c r="Z28" s="332">
        <v>2034</v>
      </c>
      <c r="AA28" s="332">
        <v>2035</v>
      </c>
      <c r="AB28" s="332">
        <v>2036</v>
      </c>
      <c r="AC28" s="332">
        <v>2037</v>
      </c>
      <c r="AD28" s="332">
        <v>2038</v>
      </c>
      <c r="AE28" s="332">
        <v>2039</v>
      </c>
      <c r="AF28" s="332">
        <v>2040</v>
      </c>
      <c r="AG28" s="332">
        <v>2041</v>
      </c>
      <c r="AH28" s="332">
        <v>2042</v>
      </c>
      <c r="AI28" s="332">
        <v>2043</v>
      </c>
      <c r="AJ28" s="332">
        <v>2044</v>
      </c>
      <c r="AK28" s="332">
        <v>2045</v>
      </c>
      <c r="AL28" s="332">
        <v>2046</v>
      </c>
      <c r="AM28" s="332">
        <v>2047</v>
      </c>
      <c r="AN28" s="332">
        <v>2048</v>
      </c>
      <c r="AO28" s="332">
        <v>2049</v>
      </c>
      <c r="AP28" s="332">
        <v>2050</v>
      </c>
      <c r="AQ28" s="332">
        <v>2051</v>
      </c>
      <c r="AR28" s="332">
        <v>2052</v>
      </c>
      <c r="AS28" s="332">
        <v>2053</v>
      </c>
      <c r="AT28" s="332">
        <v>2054</v>
      </c>
      <c r="AU28" s="332">
        <v>2055</v>
      </c>
      <c r="AV28" s="332">
        <v>2056</v>
      </c>
      <c r="AW28" s="332">
        <v>2057</v>
      </c>
      <c r="AX28" s="332">
        <v>2058</v>
      </c>
      <c r="AY28" s="333">
        <v>2059</v>
      </c>
    </row>
    <row r="29" spans="1:51">
      <c r="A29" s="334" t="s">
        <v>2896</v>
      </c>
      <c r="B29" s="339">
        <v>8.5398706896551727E-2</v>
      </c>
      <c r="C29" s="340">
        <v>8.4051724137931036E-2</v>
      </c>
      <c r="D29" s="340">
        <v>8.2737068965517233E-2</v>
      </c>
      <c r="E29" s="340">
        <v>8.2090517241379321E-2</v>
      </c>
      <c r="F29" s="340">
        <v>8.1454741379310344E-2</v>
      </c>
      <c r="G29" s="340">
        <v>8.0818965517241367E-2</v>
      </c>
      <c r="H29" s="340">
        <v>8.1023706896551709E-2</v>
      </c>
      <c r="I29" s="340">
        <v>8.1217672413793102E-2</v>
      </c>
      <c r="J29" s="340">
        <v>8.1422413793103443E-2</v>
      </c>
      <c r="K29" s="340">
        <v>8.1616379310344822E-2</v>
      </c>
      <c r="L29" s="340">
        <v>8.1821120689655177E-2</v>
      </c>
      <c r="M29" s="340">
        <v>8.2015086206896542E-2</v>
      </c>
      <c r="N29" s="340">
        <v>8.2219827586206884E-2</v>
      </c>
      <c r="O29" s="340">
        <v>8.2424568965517225E-2</v>
      </c>
      <c r="P29" s="340">
        <v>8.2629310344827595E-2</v>
      </c>
      <c r="Q29" s="340">
        <v>8.2629310344827595E-2</v>
      </c>
      <c r="R29" s="336">
        <v>8.2629310344827595E-2</v>
      </c>
      <c r="S29" s="336">
        <v>8.2629310344827595E-2</v>
      </c>
      <c r="T29" s="336">
        <v>8.2629310344827595E-2</v>
      </c>
      <c r="U29" s="336">
        <v>8.2629310344827595E-2</v>
      </c>
      <c r="V29" s="336">
        <v>8.2629310344827595E-2</v>
      </c>
      <c r="W29" s="336">
        <v>8.2629310344827595E-2</v>
      </c>
      <c r="X29" s="336">
        <v>8.2629310344827595E-2</v>
      </c>
      <c r="Y29" s="336">
        <v>8.2629310344827595E-2</v>
      </c>
      <c r="Z29" s="336">
        <v>8.2629310344827595E-2</v>
      </c>
      <c r="AA29" s="336">
        <v>8.2629310344827595E-2</v>
      </c>
      <c r="AB29" s="336">
        <v>8.2629310344827595E-2</v>
      </c>
      <c r="AC29" s="336">
        <v>8.2629310344827595E-2</v>
      </c>
      <c r="AD29" s="336">
        <v>8.2629310344827595E-2</v>
      </c>
      <c r="AE29" s="336">
        <v>8.2629310344827595E-2</v>
      </c>
      <c r="AF29" s="336">
        <v>8.2629310344827595E-2</v>
      </c>
      <c r="AG29" s="336">
        <v>8.2629310344827595E-2</v>
      </c>
      <c r="AH29" s="336">
        <v>8.2629310344827595E-2</v>
      </c>
      <c r="AI29" s="336">
        <v>8.2629310344827595E-2</v>
      </c>
      <c r="AJ29" s="336">
        <v>8.2629310344827595E-2</v>
      </c>
      <c r="AK29" s="336">
        <v>8.2629310344827595E-2</v>
      </c>
      <c r="AL29" s="336">
        <v>8.2629310344827595E-2</v>
      </c>
      <c r="AM29" s="336">
        <v>8.2629310344827595E-2</v>
      </c>
      <c r="AN29" s="336">
        <v>8.2629310344827595E-2</v>
      </c>
      <c r="AO29" s="336">
        <v>8.2629310344827595E-2</v>
      </c>
      <c r="AP29" s="336">
        <v>8.2629310344827595E-2</v>
      </c>
      <c r="AQ29" s="336">
        <v>8.2629310344827595E-2</v>
      </c>
      <c r="AR29" s="336">
        <v>8.2629310344827595E-2</v>
      </c>
      <c r="AS29" s="336">
        <v>8.2629310344827595E-2</v>
      </c>
      <c r="AT29" s="336">
        <v>8.2629310344827595E-2</v>
      </c>
      <c r="AU29" s="336">
        <v>8.2629310344827595E-2</v>
      </c>
      <c r="AV29" s="336">
        <v>8.2629310344827595E-2</v>
      </c>
      <c r="AW29" s="336">
        <v>8.2629310344827595E-2</v>
      </c>
      <c r="AX29" s="336">
        <v>8.2629310344827595E-2</v>
      </c>
      <c r="AY29" s="337">
        <v>8.2629310344827595E-2</v>
      </c>
    </row>
    <row r="30" spans="1:51">
      <c r="A30" s="338" t="s">
        <v>2897</v>
      </c>
      <c r="B30" s="339">
        <v>85.398706896551715</v>
      </c>
      <c r="C30" s="340">
        <v>92.53232758620689</v>
      </c>
      <c r="D30" s="340">
        <v>99.234913793103431</v>
      </c>
      <c r="E30" s="340">
        <v>105.54956896551724</v>
      </c>
      <c r="F30" s="340">
        <v>111.48706896551724</v>
      </c>
      <c r="G30" s="340">
        <v>117.06896551724137</v>
      </c>
      <c r="H30" s="340">
        <v>122.32758620689654</v>
      </c>
      <c r="I30" s="340">
        <v>127.26293103448276</v>
      </c>
      <c r="J30" s="340">
        <v>131.90732758620689</v>
      </c>
      <c r="K30" s="340">
        <v>136.27155172413794</v>
      </c>
      <c r="L30" s="340">
        <v>140.36637931034483</v>
      </c>
      <c r="M30" s="340">
        <v>144.21336206896549</v>
      </c>
      <c r="N30" s="340">
        <v>144.21336206896549</v>
      </c>
      <c r="O30" s="340">
        <v>144.21336206896549</v>
      </c>
      <c r="P30" s="340">
        <v>144.21336206896549</v>
      </c>
      <c r="Q30" s="340">
        <v>144.21336206896549</v>
      </c>
      <c r="R30" s="340">
        <v>144.21336206896549</v>
      </c>
      <c r="S30" s="340">
        <v>144.21336206896549</v>
      </c>
      <c r="T30" s="340">
        <v>144.21336206896549</v>
      </c>
      <c r="U30" s="340">
        <v>144.21336206896549</v>
      </c>
      <c r="V30" s="340">
        <v>144.21336206896549</v>
      </c>
      <c r="W30" s="340">
        <v>144.21336206896549</v>
      </c>
      <c r="X30" s="340">
        <v>144.21336206896549</v>
      </c>
      <c r="Y30" s="340">
        <v>144.21336206896549</v>
      </c>
      <c r="Z30" s="340">
        <v>144.21336206896549</v>
      </c>
      <c r="AA30" s="340">
        <v>144.21336206896549</v>
      </c>
      <c r="AB30" s="340">
        <v>144.21336206896549</v>
      </c>
      <c r="AC30" s="340">
        <v>144.21336206896549</v>
      </c>
      <c r="AD30" s="340">
        <v>144.21336206896549</v>
      </c>
      <c r="AE30" s="340">
        <v>144.21336206896549</v>
      </c>
      <c r="AF30" s="340">
        <v>144.21336206896549</v>
      </c>
      <c r="AG30" s="340">
        <v>144.21336206896549</v>
      </c>
      <c r="AH30" s="340">
        <v>144.21336206896549</v>
      </c>
      <c r="AI30" s="340">
        <v>144.21336206896549</v>
      </c>
      <c r="AJ30" s="340">
        <v>144.21336206896549</v>
      </c>
      <c r="AK30" s="340">
        <v>144.21336206896549</v>
      </c>
      <c r="AL30" s="340">
        <v>144.21336206896549</v>
      </c>
      <c r="AM30" s="340">
        <v>144.21336206896549</v>
      </c>
      <c r="AN30" s="340">
        <v>144.21336206896549</v>
      </c>
      <c r="AO30" s="340">
        <v>144.21336206896549</v>
      </c>
      <c r="AP30" s="340">
        <v>144.21336206896549</v>
      </c>
      <c r="AQ30" s="340">
        <v>144.21336206896549</v>
      </c>
      <c r="AR30" s="340">
        <v>144.21336206896549</v>
      </c>
      <c r="AS30" s="340">
        <v>144.21336206896549</v>
      </c>
      <c r="AT30" s="340">
        <v>144.21336206896549</v>
      </c>
      <c r="AU30" s="340">
        <v>144.21336206896549</v>
      </c>
      <c r="AV30" s="340">
        <v>144.21336206896549</v>
      </c>
      <c r="AW30" s="340">
        <v>144.21336206896549</v>
      </c>
      <c r="AX30" s="340">
        <v>144.21336206896549</v>
      </c>
      <c r="AY30" s="340">
        <v>144.21336206896549</v>
      </c>
    </row>
    <row r="31" spans="1:51">
      <c r="A31" s="338" t="s">
        <v>2898</v>
      </c>
      <c r="B31" s="358">
        <v>10.24</v>
      </c>
      <c r="C31" s="359">
        <v>10.01</v>
      </c>
      <c r="D31" s="359">
        <v>9.7899999999999991</v>
      </c>
      <c r="E31" s="359">
        <v>9.7899999999999991</v>
      </c>
      <c r="F31" s="359">
        <v>9.7899999999999991</v>
      </c>
      <c r="G31" s="359">
        <v>9.7899999999999991</v>
      </c>
      <c r="H31" s="359">
        <v>9.8699999999999992</v>
      </c>
      <c r="I31" s="359">
        <v>9.94</v>
      </c>
      <c r="J31" s="359">
        <v>10.02</v>
      </c>
      <c r="K31" s="359">
        <v>10.02</v>
      </c>
      <c r="L31" s="359">
        <v>10.02</v>
      </c>
      <c r="M31" s="359">
        <v>10.02</v>
      </c>
      <c r="N31" s="359">
        <v>10.02</v>
      </c>
      <c r="O31" s="359">
        <v>10.02</v>
      </c>
      <c r="P31" s="359">
        <v>10.02</v>
      </c>
      <c r="Q31" s="359">
        <v>10.02</v>
      </c>
      <c r="R31" s="359">
        <v>10.02</v>
      </c>
      <c r="S31" s="359">
        <v>10.02</v>
      </c>
      <c r="T31" s="359">
        <v>10.02</v>
      </c>
      <c r="U31" s="359">
        <v>10.02</v>
      </c>
      <c r="V31" s="359">
        <v>10.02</v>
      </c>
      <c r="W31" s="359">
        <v>10.02</v>
      </c>
      <c r="X31" s="359">
        <v>10.02</v>
      </c>
      <c r="Y31" s="359">
        <v>10.02</v>
      </c>
      <c r="Z31" s="359">
        <v>10.02</v>
      </c>
      <c r="AA31" s="359">
        <v>10.02</v>
      </c>
      <c r="AB31" s="359">
        <v>10.02</v>
      </c>
      <c r="AC31" s="359">
        <v>10.02</v>
      </c>
      <c r="AD31" s="359">
        <v>10.02</v>
      </c>
      <c r="AE31" s="359">
        <v>10.02</v>
      </c>
      <c r="AF31" s="359">
        <v>10.02</v>
      </c>
      <c r="AG31" s="359">
        <v>10.02</v>
      </c>
      <c r="AH31" s="359">
        <v>10.02</v>
      </c>
      <c r="AI31" s="359">
        <v>10.02</v>
      </c>
      <c r="AJ31" s="359">
        <v>10.02</v>
      </c>
      <c r="AK31" s="359">
        <v>10.02</v>
      </c>
      <c r="AL31" s="359">
        <v>10.02</v>
      </c>
      <c r="AM31" s="359">
        <v>10.02</v>
      </c>
      <c r="AN31" s="359">
        <v>10.02</v>
      </c>
      <c r="AO31" s="359">
        <v>10.02</v>
      </c>
      <c r="AP31" s="359">
        <v>10.02</v>
      </c>
      <c r="AQ31" s="359">
        <v>10.02</v>
      </c>
      <c r="AR31" s="359">
        <v>10.02</v>
      </c>
      <c r="AS31" s="359">
        <v>10.02</v>
      </c>
      <c r="AT31" s="359">
        <v>10.02</v>
      </c>
      <c r="AU31" s="359">
        <v>10.02</v>
      </c>
      <c r="AV31" s="359">
        <v>10.02</v>
      </c>
      <c r="AW31" s="359">
        <v>10.02</v>
      </c>
      <c r="AX31" s="359">
        <v>10.02</v>
      </c>
      <c r="AY31" s="360">
        <v>10.02</v>
      </c>
    </row>
    <row r="32" spans="1:51">
      <c r="A32" s="338" t="s">
        <v>2899</v>
      </c>
      <c r="B32" s="358">
        <v>9.4525000000000006</v>
      </c>
      <c r="C32" s="359">
        <v>9.2341666666666669</v>
      </c>
      <c r="D32" s="359">
        <v>9.02</v>
      </c>
      <c r="E32" s="359">
        <v>9.02</v>
      </c>
      <c r="F32" s="359">
        <v>9.02</v>
      </c>
      <c r="G32" s="359">
        <v>9.02</v>
      </c>
      <c r="H32" s="359">
        <v>9.0941666666666663</v>
      </c>
      <c r="I32" s="359">
        <v>9.2441666666666666</v>
      </c>
      <c r="J32" s="359">
        <v>9.2441666666666666</v>
      </c>
      <c r="K32" s="359">
        <v>9.2441666666666666</v>
      </c>
      <c r="L32" s="359">
        <v>9.2441666666666666</v>
      </c>
      <c r="M32" s="359">
        <v>9.2441666666666666</v>
      </c>
      <c r="N32" s="359">
        <v>9.2441666666666666</v>
      </c>
      <c r="O32" s="359">
        <v>9.2441666666666666</v>
      </c>
      <c r="P32" s="359">
        <v>9.2441666666666666</v>
      </c>
      <c r="Q32" s="359">
        <v>9.2441666666666666</v>
      </c>
      <c r="R32" s="359">
        <v>9.2441666666666666</v>
      </c>
      <c r="S32" s="359">
        <v>9.2441666666666666</v>
      </c>
      <c r="T32" s="359">
        <v>9.2441666666666666</v>
      </c>
      <c r="U32" s="359">
        <v>9.2441666666666666</v>
      </c>
      <c r="V32" s="359">
        <v>9.2441666666666666</v>
      </c>
      <c r="W32" s="359">
        <v>9.2441666666666666</v>
      </c>
      <c r="X32" s="359">
        <v>9.2441666666666666</v>
      </c>
      <c r="Y32" s="359">
        <v>9.2441666666666666</v>
      </c>
      <c r="Z32" s="359">
        <v>9.2441666666666666</v>
      </c>
      <c r="AA32" s="359">
        <v>9.2441666666666666</v>
      </c>
      <c r="AB32" s="359">
        <v>9.2441666666666666</v>
      </c>
      <c r="AC32" s="359">
        <v>9.2441666666666666</v>
      </c>
      <c r="AD32" s="359">
        <v>9.2441666666666666</v>
      </c>
      <c r="AE32" s="359">
        <v>9.2441666666666666</v>
      </c>
      <c r="AF32" s="359">
        <v>9.2441666666666666</v>
      </c>
      <c r="AG32" s="359">
        <v>9.2441666666666666</v>
      </c>
      <c r="AH32" s="359">
        <v>9.2441666666666666</v>
      </c>
      <c r="AI32" s="359">
        <v>9.2441666666666666</v>
      </c>
      <c r="AJ32" s="359">
        <v>9.2441666666666666</v>
      </c>
      <c r="AK32" s="359">
        <v>9.2441666666666666</v>
      </c>
      <c r="AL32" s="359">
        <v>9.2441666666666666</v>
      </c>
      <c r="AM32" s="359">
        <v>9.2441666666666666</v>
      </c>
      <c r="AN32" s="359">
        <v>9.2441666666666666</v>
      </c>
      <c r="AO32" s="359">
        <v>9.2441666666666666</v>
      </c>
      <c r="AP32" s="359">
        <v>9.2441666666666666</v>
      </c>
      <c r="AQ32" s="359">
        <v>9.2441666666666666</v>
      </c>
      <c r="AR32" s="359">
        <v>9.2441666666666666</v>
      </c>
      <c r="AS32" s="359">
        <v>9.2441666666666666</v>
      </c>
      <c r="AT32" s="359">
        <v>9.2441666666666666</v>
      </c>
      <c r="AU32" s="359">
        <v>9.2441666666666666</v>
      </c>
      <c r="AV32" s="359">
        <v>9.2441666666666666</v>
      </c>
      <c r="AW32" s="359">
        <v>9.2441666666666666</v>
      </c>
      <c r="AX32" s="359">
        <v>9.2441666666666702</v>
      </c>
      <c r="AY32" s="360">
        <v>9.2441666666666702</v>
      </c>
    </row>
    <row r="33" spans="1:51">
      <c r="A33" s="338" t="s">
        <v>2887</v>
      </c>
      <c r="B33" s="342">
        <v>6.2842588284472054</v>
      </c>
      <c r="C33" s="343">
        <v>6.8383434812431512</v>
      </c>
      <c r="D33" s="343">
        <v>7.1275036881476561</v>
      </c>
      <c r="E33" s="343">
        <v>7.3517937696168021</v>
      </c>
      <c r="F33" s="343">
        <v>7.5350521097572987</v>
      </c>
      <c r="G33" s="343">
        <v>7.6899948286185555</v>
      </c>
      <c r="H33" s="343">
        <v>7.8242123166618027</v>
      </c>
      <c r="I33" s="343">
        <v>9.17</v>
      </c>
      <c r="J33" s="343">
        <v>8.3122147120447227</v>
      </c>
      <c r="K33" s="343">
        <v>8.3867034571327022</v>
      </c>
      <c r="L33" s="343">
        <v>8.4560508197405948</v>
      </c>
      <c r="M33" s="343">
        <v>8.5209209451759538</v>
      </c>
      <c r="N33" s="343">
        <v>8.5818570613494281</v>
      </c>
      <c r="O33" s="343">
        <v>8.6057375436489494</v>
      </c>
      <c r="P33" s="343">
        <v>8.6071420683686046</v>
      </c>
      <c r="Q33" s="343">
        <v>8.6071420683686046</v>
      </c>
      <c r="R33" s="343">
        <v>8.6814020669464895</v>
      </c>
      <c r="S33" s="343">
        <v>8.7410874140605106</v>
      </c>
      <c r="T33" s="343">
        <v>8.8007727611745192</v>
      </c>
      <c r="U33" s="343">
        <v>8.8007727611745192</v>
      </c>
      <c r="V33" s="343">
        <v>8.8007727611745192</v>
      </c>
      <c r="W33" s="343">
        <v>8.8007727611745192</v>
      </c>
      <c r="X33" s="343">
        <v>8.8007727611745192</v>
      </c>
      <c r="Y33" s="343">
        <v>8.8007727611745192</v>
      </c>
      <c r="Z33" s="343">
        <v>8.8007727611745192</v>
      </c>
      <c r="AA33" s="343">
        <v>8.8007727611745192</v>
      </c>
      <c r="AB33" s="343">
        <v>8.8007727611745192</v>
      </c>
      <c r="AC33" s="343">
        <v>8.8007727611745192</v>
      </c>
      <c r="AD33" s="343">
        <v>8.8007727611745192</v>
      </c>
      <c r="AE33" s="343">
        <v>8.8007727611745192</v>
      </c>
      <c r="AF33" s="343">
        <v>8.8007727611745192</v>
      </c>
      <c r="AG33" s="343">
        <v>8.8007727611745192</v>
      </c>
      <c r="AH33" s="343">
        <v>8.8007727611745192</v>
      </c>
      <c r="AI33" s="343">
        <v>8.8007727611745192</v>
      </c>
      <c r="AJ33" s="343">
        <v>8.8007727611745192</v>
      </c>
      <c r="AK33" s="343">
        <v>8.8007727611745192</v>
      </c>
      <c r="AL33" s="343">
        <v>8.8007727611745192</v>
      </c>
      <c r="AM33" s="343">
        <v>8.8007727611745192</v>
      </c>
      <c r="AN33" s="343">
        <v>8.8007727611745192</v>
      </c>
      <c r="AO33" s="343">
        <v>8.8007727611745192</v>
      </c>
      <c r="AP33" s="343">
        <v>8.8007727611745192</v>
      </c>
      <c r="AQ33" s="343">
        <v>8.8007727611745192</v>
      </c>
      <c r="AR33" s="343">
        <v>8.8007727611745192</v>
      </c>
      <c r="AS33" s="343">
        <v>8.8007727611745192</v>
      </c>
      <c r="AT33" s="343">
        <v>8.8007727611745192</v>
      </c>
      <c r="AU33" s="343">
        <v>8.8007727611745192</v>
      </c>
      <c r="AV33" s="343">
        <v>8.8007727611745192</v>
      </c>
      <c r="AW33" s="343">
        <v>8.8007727611745192</v>
      </c>
      <c r="AX33" s="343">
        <v>8.8007727611745192</v>
      </c>
      <c r="AY33" s="344">
        <v>8.8007727611745192</v>
      </c>
    </row>
    <row r="34" spans="1:51">
      <c r="A34" s="338" t="s">
        <v>2888</v>
      </c>
      <c r="B34" s="339">
        <v>6.28E-3</v>
      </c>
      <c r="C34" s="340">
        <v>6.1999999999999998E-3</v>
      </c>
      <c r="D34" s="340">
        <v>6.1200000000000004E-3</v>
      </c>
      <c r="E34" s="340">
        <v>6.0000000000000001E-3</v>
      </c>
      <c r="F34" s="340">
        <v>5.8799999999999998E-3</v>
      </c>
      <c r="G34" s="340">
        <v>5.77E-3</v>
      </c>
      <c r="H34" s="340">
        <v>5.77E-3</v>
      </c>
      <c r="I34" s="340">
        <v>5.7599999999999995E-3</v>
      </c>
      <c r="J34" s="340">
        <v>5.7599999999999995E-3</v>
      </c>
      <c r="K34" s="340">
        <v>5.7499999999999999E-3</v>
      </c>
      <c r="L34" s="340">
        <v>5.7499999999999999E-3</v>
      </c>
      <c r="M34" s="340">
        <v>5.7499999999999999E-3</v>
      </c>
      <c r="N34" s="340">
        <v>5.7400000000000003E-3</v>
      </c>
      <c r="O34" s="340">
        <v>5.7400000000000003E-3</v>
      </c>
      <c r="P34" s="340">
        <v>5.7300000000000007E-3</v>
      </c>
      <c r="Q34" s="340">
        <v>5.7300000000000007E-3</v>
      </c>
      <c r="R34" s="340">
        <v>5.7300000000000007E-3</v>
      </c>
      <c r="S34" s="340">
        <v>5.7300000000000007E-3</v>
      </c>
      <c r="T34" s="340">
        <v>5.7300000000000007E-3</v>
      </c>
      <c r="U34" s="340">
        <v>5.7300000000000007E-3</v>
      </c>
      <c r="V34" s="340">
        <v>5.7300000000000007E-3</v>
      </c>
      <c r="W34" s="340">
        <v>5.7300000000000007E-3</v>
      </c>
      <c r="X34" s="340">
        <v>5.7300000000000007E-3</v>
      </c>
      <c r="Y34" s="340">
        <v>5.7300000000000007E-3</v>
      </c>
      <c r="Z34" s="340">
        <v>5.7300000000000007E-3</v>
      </c>
      <c r="AA34" s="340">
        <v>5.7300000000000007E-3</v>
      </c>
      <c r="AB34" s="340">
        <v>5.7300000000000007E-3</v>
      </c>
      <c r="AC34" s="340">
        <v>5.7300000000000007E-3</v>
      </c>
      <c r="AD34" s="340">
        <v>5.7300000000000007E-3</v>
      </c>
      <c r="AE34" s="340">
        <v>5.7300000000000007E-3</v>
      </c>
      <c r="AF34" s="340">
        <v>5.7300000000000007E-3</v>
      </c>
      <c r="AG34" s="340">
        <v>5.7300000000000007E-3</v>
      </c>
      <c r="AH34" s="340">
        <v>5.7300000000000007E-3</v>
      </c>
      <c r="AI34" s="340">
        <v>5.7300000000000007E-3</v>
      </c>
      <c r="AJ34" s="340">
        <v>5.7300000000000007E-3</v>
      </c>
      <c r="AK34" s="340">
        <v>5.7300000000000007E-3</v>
      </c>
      <c r="AL34" s="340">
        <v>5.7300000000000007E-3</v>
      </c>
      <c r="AM34" s="340">
        <v>5.7300000000000007E-3</v>
      </c>
      <c r="AN34" s="340">
        <v>5.7300000000000007E-3</v>
      </c>
      <c r="AO34" s="340">
        <v>5.7300000000000007E-3</v>
      </c>
      <c r="AP34" s="340">
        <v>5.7300000000000007E-3</v>
      </c>
      <c r="AQ34" s="340">
        <v>5.7300000000000007E-3</v>
      </c>
      <c r="AR34" s="340">
        <v>5.7300000000000007E-3</v>
      </c>
      <c r="AS34" s="340">
        <v>5.7300000000000007E-3</v>
      </c>
      <c r="AT34" s="340">
        <v>5.7300000000000007E-3</v>
      </c>
      <c r="AU34" s="340">
        <v>5.7300000000000007E-3</v>
      </c>
      <c r="AV34" s="340">
        <v>5.7300000000000007E-3</v>
      </c>
      <c r="AW34" s="340">
        <v>5.7300000000000007E-3</v>
      </c>
      <c r="AX34" s="340">
        <v>5.7300000000000007E-3</v>
      </c>
      <c r="AY34" s="341">
        <v>5.7300000000000007E-3</v>
      </c>
    </row>
    <row r="35" spans="1:51">
      <c r="A35" s="338" t="s">
        <v>2889</v>
      </c>
      <c r="B35" s="342">
        <f>(58.5/1000)*15</f>
        <v>0.87750000000000006</v>
      </c>
      <c r="C35" s="343">
        <f t="shared" ref="C35:AD36" si="26">(58.5/1000)*15</f>
        <v>0.87750000000000006</v>
      </c>
      <c r="D35" s="343">
        <f t="shared" si="26"/>
        <v>0.87750000000000006</v>
      </c>
      <c r="E35" s="343">
        <f t="shared" si="26"/>
        <v>0.87750000000000006</v>
      </c>
      <c r="F35" s="343">
        <f t="shared" si="26"/>
        <v>0.87750000000000006</v>
      </c>
      <c r="G35" s="343">
        <f t="shared" si="26"/>
        <v>0.87750000000000006</v>
      </c>
      <c r="H35" s="343">
        <f t="shared" si="26"/>
        <v>0.87750000000000006</v>
      </c>
      <c r="I35" s="343">
        <f t="shared" si="26"/>
        <v>0.87750000000000006</v>
      </c>
      <c r="J35" s="343">
        <f t="shared" si="26"/>
        <v>0.87750000000000006</v>
      </c>
      <c r="K35" s="343">
        <f t="shared" si="26"/>
        <v>0.87750000000000006</v>
      </c>
      <c r="L35" s="343">
        <f t="shared" si="26"/>
        <v>0.87750000000000006</v>
      </c>
      <c r="M35" s="343">
        <f t="shared" si="26"/>
        <v>0.87750000000000006</v>
      </c>
      <c r="N35" s="343">
        <f t="shared" si="26"/>
        <v>0.87750000000000006</v>
      </c>
      <c r="O35" s="343">
        <f t="shared" si="26"/>
        <v>0.87750000000000006</v>
      </c>
      <c r="P35" s="343">
        <f t="shared" si="26"/>
        <v>0.87750000000000006</v>
      </c>
      <c r="Q35" s="343">
        <f t="shared" si="26"/>
        <v>0.87750000000000006</v>
      </c>
      <c r="R35" s="343">
        <f t="shared" si="26"/>
        <v>0.87750000000000006</v>
      </c>
      <c r="S35" s="343">
        <f t="shared" si="26"/>
        <v>0.87750000000000006</v>
      </c>
      <c r="T35" s="343">
        <f t="shared" si="26"/>
        <v>0.87750000000000006</v>
      </c>
      <c r="U35" s="343">
        <f t="shared" si="26"/>
        <v>0.87750000000000006</v>
      </c>
      <c r="V35" s="343">
        <f t="shared" si="26"/>
        <v>0.87750000000000006</v>
      </c>
      <c r="W35" s="343">
        <f t="shared" si="26"/>
        <v>0.87750000000000006</v>
      </c>
      <c r="X35" s="343">
        <f t="shared" si="26"/>
        <v>0.87750000000000006</v>
      </c>
      <c r="Y35" s="343">
        <f t="shared" si="26"/>
        <v>0.87750000000000006</v>
      </c>
      <c r="Z35" s="343">
        <f t="shared" si="26"/>
        <v>0.87750000000000006</v>
      </c>
      <c r="AA35" s="343">
        <f t="shared" si="26"/>
        <v>0.87750000000000006</v>
      </c>
      <c r="AB35" s="343">
        <f t="shared" si="26"/>
        <v>0.87750000000000006</v>
      </c>
      <c r="AC35" s="343">
        <f t="shared" si="26"/>
        <v>0.87750000000000006</v>
      </c>
      <c r="AD35" s="343">
        <f t="shared" si="26"/>
        <v>0.87750000000000006</v>
      </c>
      <c r="AE35" s="343">
        <f>(58.5/1000)*15</f>
        <v>0.87750000000000006</v>
      </c>
      <c r="AF35" s="343">
        <f t="shared" ref="AF35:AY36" si="27">(58.5/1000)*15</f>
        <v>0.87750000000000006</v>
      </c>
      <c r="AG35" s="343">
        <f t="shared" si="27"/>
        <v>0.87750000000000006</v>
      </c>
      <c r="AH35" s="343">
        <f t="shared" si="27"/>
        <v>0.87750000000000006</v>
      </c>
      <c r="AI35" s="343">
        <f t="shared" si="27"/>
        <v>0.87750000000000006</v>
      </c>
      <c r="AJ35" s="343">
        <f t="shared" si="27"/>
        <v>0.87750000000000006</v>
      </c>
      <c r="AK35" s="343">
        <f t="shared" si="27"/>
        <v>0.87750000000000006</v>
      </c>
      <c r="AL35" s="343">
        <f t="shared" si="27"/>
        <v>0.87750000000000006</v>
      </c>
      <c r="AM35" s="343">
        <f t="shared" si="27"/>
        <v>0.87750000000000006</v>
      </c>
      <c r="AN35" s="343">
        <f t="shared" si="27"/>
        <v>0.87750000000000006</v>
      </c>
      <c r="AO35" s="343">
        <f t="shared" si="27"/>
        <v>0.87750000000000006</v>
      </c>
      <c r="AP35" s="343">
        <f t="shared" si="27"/>
        <v>0.87750000000000006</v>
      </c>
      <c r="AQ35" s="343">
        <f t="shared" si="27"/>
        <v>0.87750000000000006</v>
      </c>
      <c r="AR35" s="343">
        <f t="shared" si="27"/>
        <v>0.87750000000000006</v>
      </c>
      <c r="AS35" s="343">
        <f t="shared" si="27"/>
        <v>0.87750000000000006</v>
      </c>
      <c r="AT35" s="343">
        <f t="shared" si="27"/>
        <v>0.87750000000000006</v>
      </c>
      <c r="AU35" s="343">
        <f t="shared" si="27"/>
        <v>0.87750000000000006</v>
      </c>
      <c r="AV35" s="343">
        <f t="shared" si="27"/>
        <v>0.87750000000000006</v>
      </c>
      <c r="AW35" s="343">
        <f t="shared" si="27"/>
        <v>0.87750000000000006</v>
      </c>
      <c r="AX35" s="343">
        <f t="shared" si="27"/>
        <v>0.87750000000000006</v>
      </c>
      <c r="AY35" s="344">
        <f t="shared" si="27"/>
        <v>0.87750000000000006</v>
      </c>
    </row>
    <row r="36" spans="1:51" ht="12.75" thickBot="1">
      <c r="A36" s="345" t="s">
        <v>2890</v>
      </c>
      <c r="B36" s="346">
        <f>(58.5/1000)*15</f>
        <v>0.87750000000000006</v>
      </c>
      <c r="C36" s="347">
        <f t="shared" si="26"/>
        <v>0.87750000000000006</v>
      </c>
      <c r="D36" s="347">
        <f t="shared" si="26"/>
        <v>0.87750000000000006</v>
      </c>
      <c r="E36" s="347">
        <f t="shared" si="26"/>
        <v>0.87750000000000006</v>
      </c>
      <c r="F36" s="347">
        <f t="shared" si="26"/>
        <v>0.87750000000000006</v>
      </c>
      <c r="G36" s="347">
        <f t="shared" si="26"/>
        <v>0.87750000000000006</v>
      </c>
      <c r="H36" s="347">
        <f t="shared" si="26"/>
        <v>0.87750000000000006</v>
      </c>
      <c r="I36" s="347">
        <f t="shared" si="26"/>
        <v>0.87750000000000006</v>
      </c>
      <c r="J36" s="347">
        <f t="shared" si="26"/>
        <v>0.87750000000000006</v>
      </c>
      <c r="K36" s="347">
        <f t="shared" si="26"/>
        <v>0.87750000000000006</v>
      </c>
      <c r="L36" s="347">
        <f t="shared" si="26"/>
        <v>0.87750000000000006</v>
      </c>
      <c r="M36" s="347">
        <f t="shared" si="26"/>
        <v>0.87750000000000006</v>
      </c>
      <c r="N36" s="347">
        <f t="shared" si="26"/>
        <v>0.87750000000000006</v>
      </c>
      <c r="O36" s="347">
        <f t="shared" si="26"/>
        <v>0.87750000000000006</v>
      </c>
      <c r="P36" s="347">
        <f t="shared" si="26"/>
        <v>0.87750000000000006</v>
      </c>
      <c r="Q36" s="347">
        <f t="shared" si="26"/>
        <v>0.87750000000000006</v>
      </c>
      <c r="R36" s="347">
        <f t="shared" si="26"/>
        <v>0.87750000000000006</v>
      </c>
      <c r="S36" s="347">
        <f t="shared" si="26"/>
        <v>0.87750000000000006</v>
      </c>
      <c r="T36" s="347">
        <f t="shared" si="26"/>
        <v>0.87750000000000006</v>
      </c>
      <c r="U36" s="347">
        <f t="shared" si="26"/>
        <v>0.87750000000000006</v>
      </c>
      <c r="V36" s="347">
        <f t="shared" si="26"/>
        <v>0.87750000000000006</v>
      </c>
      <c r="W36" s="347">
        <f t="shared" si="26"/>
        <v>0.87750000000000006</v>
      </c>
      <c r="X36" s="347">
        <f t="shared" si="26"/>
        <v>0.87750000000000006</v>
      </c>
      <c r="Y36" s="347">
        <f t="shared" si="26"/>
        <v>0.87750000000000006</v>
      </c>
      <c r="Z36" s="347">
        <f t="shared" si="26"/>
        <v>0.87750000000000006</v>
      </c>
      <c r="AA36" s="347">
        <f t="shared" si="26"/>
        <v>0.87750000000000006</v>
      </c>
      <c r="AB36" s="347">
        <f t="shared" si="26"/>
        <v>0.87750000000000006</v>
      </c>
      <c r="AC36" s="347">
        <f t="shared" si="26"/>
        <v>0.87750000000000006</v>
      </c>
      <c r="AD36" s="347">
        <f t="shared" si="26"/>
        <v>0.87750000000000006</v>
      </c>
      <c r="AE36" s="347">
        <f>(58.5/1000)*15</f>
        <v>0.87750000000000006</v>
      </c>
      <c r="AF36" s="347">
        <f t="shared" si="27"/>
        <v>0.87750000000000006</v>
      </c>
      <c r="AG36" s="347">
        <f t="shared" si="27"/>
        <v>0.87750000000000006</v>
      </c>
      <c r="AH36" s="347">
        <f t="shared" si="27"/>
        <v>0.87750000000000006</v>
      </c>
      <c r="AI36" s="347">
        <f t="shared" si="27"/>
        <v>0.87750000000000006</v>
      </c>
      <c r="AJ36" s="347">
        <f t="shared" si="27"/>
        <v>0.87750000000000006</v>
      </c>
      <c r="AK36" s="347">
        <f t="shared" si="27"/>
        <v>0.87750000000000006</v>
      </c>
      <c r="AL36" s="347">
        <f t="shared" si="27"/>
        <v>0.87750000000000006</v>
      </c>
      <c r="AM36" s="347">
        <f t="shared" si="27"/>
        <v>0.87750000000000006</v>
      </c>
      <c r="AN36" s="347">
        <f t="shared" si="27"/>
        <v>0.87750000000000006</v>
      </c>
      <c r="AO36" s="347">
        <f t="shared" si="27"/>
        <v>0.87750000000000006</v>
      </c>
      <c r="AP36" s="347">
        <f t="shared" si="27"/>
        <v>0.87750000000000006</v>
      </c>
      <c r="AQ36" s="347">
        <f t="shared" si="27"/>
        <v>0.87750000000000006</v>
      </c>
      <c r="AR36" s="347">
        <f t="shared" si="27"/>
        <v>0.87750000000000006</v>
      </c>
      <c r="AS36" s="347">
        <f t="shared" si="27"/>
        <v>0.87750000000000006</v>
      </c>
      <c r="AT36" s="347">
        <f t="shared" si="27"/>
        <v>0.87750000000000006</v>
      </c>
      <c r="AU36" s="347">
        <f t="shared" si="27"/>
        <v>0.87750000000000006</v>
      </c>
      <c r="AV36" s="347">
        <f t="shared" si="27"/>
        <v>0.87750000000000006</v>
      </c>
      <c r="AW36" s="347">
        <f t="shared" si="27"/>
        <v>0.87750000000000006</v>
      </c>
      <c r="AX36" s="347">
        <f t="shared" si="27"/>
        <v>0.87750000000000006</v>
      </c>
      <c r="AY36" s="348">
        <f t="shared" si="27"/>
        <v>0.87750000000000006</v>
      </c>
    </row>
    <row r="37" spans="1:51">
      <c r="B37" s="325"/>
      <c r="C37" s="325"/>
      <c r="D37" s="325"/>
      <c r="E37" s="325"/>
      <c r="F37" s="325"/>
      <c r="G37" s="325"/>
      <c r="H37" s="325"/>
      <c r="I37" s="325"/>
      <c r="J37" s="325"/>
      <c r="K37" s="325"/>
      <c r="L37" s="325"/>
      <c r="M37" s="325"/>
      <c r="N37" s="325"/>
      <c r="O37" s="325"/>
      <c r="P37" s="325"/>
      <c r="Q37" s="325"/>
      <c r="R37" s="325"/>
      <c r="S37" s="325"/>
      <c r="T37" s="325"/>
      <c r="U37" s="325"/>
      <c r="V37" s="325"/>
      <c r="W37" s="325"/>
      <c r="X37" s="325"/>
      <c r="Y37" s="325"/>
      <c r="Z37" s="325"/>
      <c r="AA37" s="325"/>
      <c r="AB37" s="325"/>
      <c r="AC37" s="325"/>
      <c r="AD37" s="325"/>
      <c r="AE37" s="325"/>
    </row>
    <row r="38" spans="1:51" ht="15.75" thickBot="1">
      <c r="A38" s="329" t="s">
        <v>2891</v>
      </c>
      <c r="B38" s="325"/>
      <c r="C38" s="325"/>
      <c r="D38" s="325"/>
      <c r="E38" s="325"/>
      <c r="F38" s="325"/>
      <c r="G38" s="325"/>
      <c r="H38" s="325"/>
      <c r="I38" s="325"/>
      <c r="J38" s="325"/>
      <c r="K38" s="325"/>
      <c r="L38" s="325"/>
      <c r="M38" s="325"/>
      <c r="N38" s="325"/>
      <c r="O38" s="325"/>
      <c r="P38" s="325"/>
      <c r="Q38" s="325"/>
      <c r="R38" s="325"/>
      <c r="S38" s="325"/>
      <c r="T38" s="325"/>
      <c r="U38" s="325"/>
      <c r="V38" s="325"/>
      <c r="W38" s="325"/>
      <c r="X38" s="325"/>
      <c r="Y38" s="325"/>
      <c r="Z38" s="325"/>
      <c r="AA38" s="325"/>
      <c r="AB38" s="325"/>
      <c r="AC38" s="325"/>
      <c r="AD38" s="325"/>
      <c r="AE38" s="325"/>
    </row>
    <row r="39" spans="1:51" ht="12.75" thickBot="1">
      <c r="A39" s="330" t="s">
        <v>2886</v>
      </c>
      <c r="B39" s="331">
        <v>1</v>
      </c>
      <c r="C39" s="332">
        <v>2</v>
      </c>
      <c r="D39" s="332">
        <v>3</v>
      </c>
      <c r="E39" s="332">
        <v>4</v>
      </c>
      <c r="F39" s="332">
        <v>5</v>
      </c>
      <c r="G39" s="332">
        <v>6</v>
      </c>
      <c r="H39" s="332">
        <v>7</v>
      </c>
      <c r="I39" s="332">
        <v>8</v>
      </c>
      <c r="J39" s="332">
        <v>9</v>
      </c>
      <c r="K39" s="332">
        <v>10</v>
      </c>
      <c r="L39" s="332">
        <v>11</v>
      </c>
      <c r="M39" s="332">
        <v>12</v>
      </c>
      <c r="N39" s="332">
        <v>13</v>
      </c>
      <c r="O39" s="332">
        <v>14</v>
      </c>
      <c r="P39" s="332">
        <v>15</v>
      </c>
      <c r="Q39" s="332">
        <v>16</v>
      </c>
      <c r="R39" s="332">
        <v>17</v>
      </c>
      <c r="S39" s="332">
        <v>18</v>
      </c>
      <c r="T39" s="332">
        <v>19</v>
      </c>
      <c r="U39" s="332">
        <v>20</v>
      </c>
      <c r="V39" s="332">
        <v>21</v>
      </c>
      <c r="W39" s="332">
        <v>22</v>
      </c>
      <c r="X39" s="332">
        <v>23</v>
      </c>
      <c r="Y39" s="332">
        <v>24</v>
      </c>
      <c r="Z39" s="332">
        <v>25</v>
      </c>
      <c r="AA39" s="332">
        <v>26</v>
      </c>
      <c r="AB39" s="332">
        <v>27</v>
      </c>
      <c r="AC39" s="332">
        <v>28</v>
      </c>
      <c r="AD39" s="332">
        <v>29</v>
      </c>
      <c r="AE39" s="332">
        <v>30</v>
      </c>
      <c r="AF39" s="332">
        <f t="shared" ref="AF39:AY39" si="28">AE39+1</f>
        <v>31</v>
      </c>
      <c r="AG39" s="332">
        <f t="shared" si="28"/>
        <v>32</v>
      </c>
      <c r="AH39" s="332">
        <f t="shared" si="28"/>
        <v>33</v>
      </c>
      <c r="AI39" s="332">
        <f t="shared" si="28"/>
        <v>34</v>
      </c>
      <c r="AJ39" s="332">
        <f t="shared" si="28"/>
        <v>35</v>
      </c>
      <c r="AK39" s="332">
        <f t="shared" si="28"/>
        <v>36</v>
      </c>
      <c r="AL39" s="332">
        <f t="shared" si="28"/>
        <v>37</v>
      </c>
      <c r="AM39" s="332">
        <f t="shared" si="28"/>
        <v>38</v>
      </c>
      <c r="AN39" s="332">
        <f t="shared" si="28"/>
        <v>39</v>
      </c>
      <c r="AO39" s="332">
        <f t="shared" si="28"/>
        <v>40</v>
      </c>
      <c r="AP39" s="332">
        <f t="shared" si="28"/>
        <v>41</v>
      </c>
      <c r="AQ39" s="332">
        <f t="shared" si="28"/>
        <v>42</v>
      </c>
      <c r="AR39" s="332">
        <f t="shared" si="28"/>
        <v>43</v>
      </c>
      <c r="AS39" s="332">
        <f t="shared" si="28"/>
        <v>44</v>
      </c>
      <c r="AT39" s="332">
        <f t="shared" si="28"/>
        <v>45</v>
      </c>
      <c r="AU39" s="332">
        <f t="shared" si="28"/>
        <v>46</v>
      </c>
      <c r="AV39" s="332">
        <f t="shared" si="28"/>
        <v>47</v>
      </c>
      <c r="AW39" s="332">
        <f t="shared" si="28"/>
        <v>48</v>
      </c>
      <c r="AX39" s="332">
        <f t="shared" si="28"/>
        <v>49</v>
      </c>
      <c r="AY39" s="333">
        <f t="shared" si="28"/>
        <v>50</v>
      </c>
    </row>
    <row r="40" spans="1:51">
      <c r="A40" s="334" t="s">
        <v>2908</v>
      </c>
      <c r="B40" s="335">
        <f t="shared" ref="B40:B47" si="29">B29/(1+$C$3)^(B$16-0.5)</f>
        <v>8.3142880157899599E-2</v>
      </c>
      <c r="C40" s="336">
        <f t="shared" ref="C40:AY45" si="30">(C29/(1+$C$3)^(C$16-0.5)+B40)</f>
        <v>0.16070826239739211</v>
      </c>
      <c r="D40" s="336">
        <f t="shared" si="30"/>
        <v>0.23307999709599747</v>
      </c>
      <c r="E40" s="336">
        <f t="shared" si="30"/>
        <v>0.30114273002703768</v>
      </c>
      <c r="F40" s="336">
        <f t="shared" si="30"/>
        <v>0.36515751643659311</v>
      </c>
      <c r="G40" s="336">
        <f t="shared" si="30"/>
        <v>0.42536143494077922</v>
      </c>
      <c r="H40" s="336">
        <f t="shared" si="30"/>
        <v>0.48257132602867497</v>
      </c>
      <c r="I40" s="336">
        <f t="shared" si="30"/>
        <v>0.536928527800549</v>
      </c>
      <c r="J40" s="336">
        <f t="shared" si="30"/>
        <v>0.58858182701740214</v>
      </c>
      <c r="K40" s="336">
        <f t="shared" si="30"/>
        <v>0.63765893447520172</v>
      </c>
      <c r="L40" s="336">
        <f t="shared" si="30"/>
        <v>0.68429421542850943</v>
      </c>
      <c r="M40" s="336">
        <f t="shared" si="30"/>
        <v>0.72860306354262117</v>
      </c>
      <c r="N40" s="336">
        <f t="shared" si="30"/>
        <v>0.77070681722797341</v>
      </c>
      <c r="O40" s="336">
        <f t="shared" si="30"/>
        <v>0.81071496813382138</v>
      </c>
      <c r="P40" s="336">
        <f t="shared" si="30"/>
        <v>0.84873158476506239</v>
      </c>
      <c r="Q40" s="336">
        <f t="shared" si="30"/>
        <v>0.8847662924723998</v>
      </c>
      <c r="R40" s="336">
        <f t="shared" si="30"/>
        <v>0.91892241352200876</v>
      </c>
      <c r="S40" s="336">
        <f t="shared" si="30"/>
        <v>0.95129788371121149</v>
      </c>
      <c r="T40" s="336">
        <f t="shared" si="30"/>
        <v>0.98198553317965009</v>
      </c>
      <c r="U40" s="336">
        <f t="shared" si="30"/>
        <v>1.0110733525810138</v>
      </c>
      <c r="V40" s="336">
        <f t="shared" si="30"/>
        <v>1.038644745378515</v>
      </c>
      <c r="W40" s="336">
        <f t="shared" si="30"/>
        <v>1.0647787669875208</v>
      </c>
      <c r="X40" s="336">
        <f t="shared" si="30"/>
        <v>1.0895503514510334</v>
      </c>
      <c r="Y40" s="336">
        <f t="shared" si="30"/>
        <v>1.1130305262979647</v>
      </c>
      <c r="Z40" s="336">
        <f t="shared" si="30"/>
        <v>1.1352866162002693</v>
      </c>
      <c r="AA40" s="336">
        <f t="shared" si="30"/>
        <v>1.1563824360128803</v>
      </c>
      <c r="AB40" s="336">
        <f t="shared" si="30"/>
        <v>1.1763784737499523</v>
      </c>
      <c r="AC40" s="336">
        <f t="shared" si="30"/>
        <v>1.1953320640220586</v>
      </c>
      <c r="AD40" s="336">
        <f t="shared" si="30"/>
        <v>1.2132975524316381</v>
      </c>
      <c r="AE40" s="336">
        <f t="shared" si="30"/>
        <v>1.2303264513980641</v>
      </c>
      <c r="AF40" s="336">
        <f t="shared" si="30"/>
        <v>1.2464675878591314</v>
      </c>
      <c r="AG40" s="336">
        <f t="shared" si="30"/>
        <v>1.2617672432724651</v>
      </c>
      <c r="AH40" s="336">
        <f t="shared" si="30"/>
        <v>1.2762692863182792</v>
      </c>
      <c r="AI40" s="336">
        <f t="shared" si="30"/>
        <v>1.2900152986839797</v>
      </c>
      <c r="AJ40" s="336">
        <f t="shared" si="30"/>
        <v>1.3030446942912788</v>
      </c>
      <c r="AK40" s="336">
        <f t="shared" si="30"/>
        <v>1.3153948323076761</v>
      </c>
      <c r="AL40" s="336">
        <f t="shared" si="30"/>
        <v>1.3271011242663464</v>
      </c>
      <c r="AM40" s="336">
        <f t="shared" si="30"/>
        <v>1.3381971356015789</v>
      </c>
      <c r="AN40" s="336">
        <f t="shared" si="30"/>
        <v>1.3487146818908988</v>
      </c>
      <c r="AO40" s="336">
        <f t="shared" si="30"/>
        <v>1.3586839200798277</v>
      </c>
      <c r="AP40" s="336">
        <f t="shared" si="30"/>
        <v>1.3681334349508505</v>
      </c>
      <c r="AQ40" s="336">
        <f t="shared" si="30"/>
        <v>1.3770903210845213</v>
      </c>
      <c r="AR40" s="336">
        <f t="shared" si="30"/>
        <v>1.3855802605477163</v>
      </c>
      <c r="AS40" s="336">
        <f t="shared" si="30"/>
        <v>1.3936275965317875</v>
      </c>
      <c r="AT40" s="336">
        <f t="shared" si="30"/>
        <v>1.4012554031517601</v>
      </c>
      <c r="AU40" s="336">
        <f t="shared" si="30"/>
        <v>1.4084855516067105</v>
      </c>
      <c r="AV40" s="336">
        <f t="shared" si="30"/>
        <v>1.4153387728910236</v>
      </c>
      <c r="AW40" s="336">
        <f t="shared" si="30"/>
        <v>1.4218347172363441</v>
      </c>
      <c r="AX40" s="336">
        <f t="shared" si="30"/>
        <v>1.4279920104546575</v>
      </c>
      <c r="AY40" s="337">
        <f t="shared" si="30"/>
        <v>1.4338283073440541</v>
      </c>
    </row>
    <row r="41" spans="1:51">
      <c r="A41" s="338" t="s">
        <v>2909</v>
      </c>
      <c r="B41" s="342">
        <f t="shared" si="29"/>
        <v>83.142880157899583</v>
      </c>
      <c r="C41" s="343">
        <f t="shared" si="30"/>
        <v>168.53441057976141</v>
      </c>
      <c r="D41" s="343">
        <f t="shared" si="30"/>
        <v>255.33713327310039</v>
      </c>
      <c r="E41" s="343">
        <f t="shared" si="30"/>
        <v>342.85019038251738</v>
      </c>
      <c r="F41" s="343">
        <f t="shared" si="30"/>
        <v>430.46720059461694</v>
      </c>
      <c r="G41" s="343">
        <f t="shared" si="30"/>
        <v>517.67458334521405</v>
      </c>
      <c r="H41" s="343">
        <f t="shared" si="30"/>
        <v>604.04866016790231</v>
      </c>
      <c r="I41" s="343">
        <f t="shared" si="30"/>
        <v>689.22294077369145</v>
      </c>
      <c r="J41" s="343">
        <f t="shared" si="30"/>
        <v>772.90319960289992</v>
      </c>
      <c r="K41" s="343">
        <f t="shared" si="30"/>
        <v>854.84525147923114</v>
      </c>
      <c r="L41" s="343">
        <f t="shared" si="30"/>
        <v>934.84935653622915</v>
      </c>
      <c r="M41" s="343">
        <f t="shared" si="30"/>
        <v>1012.7609731846534</v>
      </c>
      <c r="N41" s="343">
        <f t="shared" si="30"/>
        <v>1086.6108467850554</v>
      </c>
      <c r="O41" s="343">
        <f t="shared" si="30"/>
        <v>1156.61072697501</v>
      </c>
      <c r="P41" s="343">
        <f t="shared" si="30"/>
        <v>1222.96132431146</v>
      </c>
      <c r="Q41" s="343">
        <f t="shared" si="30"/>
        <v>1285.8528857678107</v>
      </c>
      <c r="R41" s="343">
        <f t="shared" si="30"/>
        <v>1345.4657402288065</v>
      </c>
      <c r="S41" s="343">
        <f t="shared" si="30"/>
        <v>1401.9708155472858</v>
      </c>
      <c r="T41" s="343">
        <f t="shared" si="30"/>
        <v>1455.5301286453707</v>
      </c>
      <c r="U41" s="343">
        <f t="shared" si="30"/>
        <v>1506.2972500653564</v>
      </c>
      <c r="V41" s="343">
        <f t="shared" si="30"/>
        <v>1554.4177443023095</v>
      </c>
      <c r="W41" s="343">
        <f t="shared" si="30"/>
        <v>1600.0295871809381</v>
      </c>
      <c r="X41" s="343">
        <f t="shared" si="30"/>
        <v>1643.263561473477</v>
      </c>
      <c r="Y41" s="343">
        <f t="shared" si="30"/>
        <v>1684.2436318929451</v>
      </c>
      <c r="Z41" s="343">
        <f t="shared" si="30"/>
        <v>1723.0873005369908</v>
      </c>
      <c r="AA41" s="343">
        <f t="shared" si="30"/>
        <v>1759.9059438014892</v>
      </c>
      <c r="AB41" s="343">
        <f t="shared" si="30"/>
        <v>1794.8051317299237</v>
      </c>
      <c r="AC41" s="343">
        <f t="shared" si="30"/>
        <v>1827.8849307142218</v>
      </c>
      <c r="AD41" s="343">
        <f t="shared" si="30"/>
        <v>1859.2401904149783</v>
      </c>
      <c r="AE41" s="343">
        <f t="shared" si="30"/>
        <v>1888.9608157237521</v>
      </c>
      <c r="AF41" s="343">
        <f t="shared" si="30"/>
        <v>1917.1320245472346</v>
      </c>
      <c r="AG41" s="343">
        <f t="shared" si="30"/>
        <v>1943.834592152431</v>
      </c>
      <c r="AH41" s="343">
        <f t="shared" si="30"/>
        <v>1969.1450827734704</v>
      </c>
      <c r="AI41" s="343">
        <f t="shared" si="30"/>
        <v>1993.1360691441239</v>
      </c>
      <c r="AJ41" s="343">
        <f t="shared" si="30"/>
        <v>2015.8763405855016</v>
      </c>
      <c r="AK41" s="343">
        <f t="shared" si="30"/>
        <v>2037.4311002455752</v>
      </c>
      <c r="AL41" s="343">
        <f t="shared" si="30"/>
        <v>2057.8621520560714</v>
      </c>
      <c r="AM41" s="343">
        <f t="shared" si="30"/>
        <v>2077.2280779427979</v>
      </c>
      <c r="AN41" s="343">
        <f t="shared" si="30"/>
        <v>2095.5844057975146</v>
      </c>
      <c r="AO41" s="343">
        <f t="shared" si="30"/>
        <v>2112.9837686929809</v>
      </c>
      <c r="AP41" s="343">
        <f t="shared" si="30"/>
        <v>2129.4760557976883</v>
      </c>
      <c r="AQ41" s="343">
        <f t="shared" si="30"/>
        <v>2145.1085554230035</v>
      </c>
      <c r="AR41" s="343">
        <f t="shared" si="30"/>
        <v>2159.9260906128757</v>
      </c>
      <c r="AS41" s="343">
        <f t="shared" si="30"/>
        <v>2173.9711476648872</v>
      </c>
      <c r="AT41" s="343">
        <f t="shared" si="30"/>
        <v>2187.2839979511541</v>
      </c>
      <c r="AU41" s="343">
        <f t="shared" si="30"/>
        <v>2199.9028133883739</v>
      </c>
      <c r="AV41" s="343">
        <f t="shared" si="30"/>
        <v>2211.8637758881082</v>
      </c>
      <c r="AW41" s="343">
        <f t="shared" si="30"/>
        <v>2223.2011811011266</v>
      </c>
      <c r="AX41" s="343">
        <f t="shared" si="30"/>
        <v>2233.9475367532768</v>
      </c>
      <c r="AY41" s="344">
        <f t="shared" si="30"/>
        <v>2244.133655854841</v>
      </c>
    </row>
    <row r="42" spans="1:51">
      <c r="A42" s="338" t="s">
        <v>2910</v>
      </c>
      <c r="B42" s="342">
        <f t="shared" si="29"/>
        <v>9.9695080143101027</v>
      </c>
      <c r="C42" s="343">
        <f t="shared" si="30"/>
        <v>19.207027936485396</v>
      </c>
      <c r="D42" s="343">
        <f t="shared" si="30"/>
        <v>27.770532681796588</v>
      </c>
      <c r="E42" s="343">
        <f t="shared" si="30"/>
        <v>35.887598791096295</v>
      </c>
      <c r="F42" s="343">
        <f t="shared" si="30"/>
        <v>43.581500316498861</v>
      </c>
      <c r="G42" s="343">
        <f t="shared" si="30"/>
        <v>50.874297970908877</v>
      </c>
      <c r="H42" s="343">
        <f t="shared" si="30"/>
        <v>57.843389446302268</v>
      </c>
      <c r="I42" s="343">
        <f t="shared" si="30"/>
        <v>64.496012816984674</v>
      </c>
      <c r="J42" s="343">
        <f t="shared" si="30"/>
        <v>70.852567898586869</v>
      </c>
      <c r="K42" s="343">
        <f t="shared" si="30"/>
        <v>76.877738592048672</v>
      </c>
      <c r="L42" s="343">
        <f t="shared" si="30"/>
        <v>82.588800860732846</v>
      </c>
      <c r="M42" s="343">
        <f t="shared" si="30"/>
        <v>88.002130025362391</v>
      </c>
      <c r="N42" s="343">
        <f t="shared" si="30"/>
        <v>93.133247716954372</v>
      </c>
      <c r="O42" s="343">
        <f t="shared" si="30"/>
        <v>97.996866381970477</v>
      </c>
      <c r="P42" s="343">
        <f t="shared" si="30"/>
        <v>102.60693146729379</v>
      </c>
      <c r="Q42" s="343">
        <f t="shared" si="30"/>
        <v>106.97666140598888</v>
      </c>
      <c r="R42" s="343">
        <f t="shared" si="30"/>
        <v>111.11858551849608</v>
      </c>
      <c r="S42" s="343">
        <f t="shared" si="30"/>
        <v>115.04457993793417</v>
      </c>
      <c r="T42" s="343">
        <f t="shared" si="30"/>
        <v>118.76590166252005</v>
      </c>
      <c r="U42" s="343">
        <f t="shared" si="30"/>
        <v>122.29322083274363</v>
      </c>
      <c r="V42" s="343">
        <f t="shared" si="30"/>
        <v>125.63665132584654</v>
      </c>
      <c r="W42" s="343">
        <f t="shared" si="30"/>
        <v>128.80577975532799</v>
      </c>
      <c r="X42" s="343">
        <f t="shared" si="30"/>
        <v>131.80969295862792</v>
      </c>
      <c r="Y42" s="343">
        <f t="shared" si="30"/>
        <v>134.65700405180323</v>
      </c>
      <c r="Z42" s="343">
        <f t="shared" si="30"/>
        <v>137.35587712590305</v>
      </c>
      <c r="AA42" s="343">
        <f t="shared" si="30"/>
        <v>139.91405065585548</v>
      </c>
      <c r="AB42" s="343">
        <f t="shared" si="30"/>
        <v>142.33885968898574</v>
      </c>
      <c r="AC42" s="343">
        <f t="shared" si="30"/>
        <v>144.63725687678692</v>
      </c>
      <c r="AD42" s="343">
        <f t="shared" si="30"/>
        <v>146.81583241024776</v>
      </c>
      <c r="AE42" s="343">
        <f t="shared" si="30"/>
        <v>148.88083291589786</v>
      </c>
      <c r="AF42" s="343">
        <f t="shared" si="30"/>
        <v>150.83817936675104</v>
      </c>
      <c r="AG42" s="343">
        <f t="shared" si="30"/>
        <v>152.69348405950285</v>
      </c>
      <c r="AH42" s="343">
        <f t="shared" si="30"/>
        <v>154.45206670666099</v>
      </c>
      <c r="AI42" s="343">
        <f t="shared" si="30"/>
        <v>156.11896968974926</v>
      </c>
      <c r="AJ42" s="343">
        <f t="shared" si="30"/>
        <v>157.6989725173211</v>
      </c>
      <c r="AK42" s="343">
        <f t="shared" si="30"/>
        <v>159.1966055292375</v>
      </c>
      <c r="AL42" s="343">
        <f t="shared" si="30"/>
        <v>160.61616288650424</v>
      </c>
      <c r="AM42" s="343">
        <f t="shared" si="30"/>
        <v>161.96171488391349</v>
      </c>
      <c r="AN42" s="343">
        <f t="shared" si="30"/>
        <v>163.23711962079429</v>
      </c>
      <c r="AO42" s="343">
        <f t="shared" si="30"/>
        <v>164.44603406333533</v>
      </c>
      <c r="AP42" s="343">
        <f t="shared" si="30"/>
        <v>165.59192453019887</v>
      </c>
      <c r="AQ42" s="343">
        <f t="shared" si="30"/>
        <v>166.67807663149134</v>
      </c>
      <c r="AR42" s="343">
        <f t="shared" si="30"/>
        <v>167.70760468958846</v>
      </c>
      <c r="AS42" s="343">
        <f t="shared" si="30"/>
        <v>168.68346066882745</v>
      </c>
      <c r="AT42" s="343">
        <f t="shared" si="30"/>
        <v>169.60844263967007</v>
      </c>
      <c r="AU42" s="343">
        <f t="shared" si="30"/>
        <v>170.48520280160622</v>
      </c>
      <c r="AV42" s="343">
        <f t="shared" si="30"/>
        <v>171.31625508780161</v>
      </c>
      <c r="AW42" s="343">
        <f t="shared" si="30"/>
        <v>172.10398237329488</v>
      </c>
      <c r="AX42" s="343">
        <f t="shared" si="30"/>
        <v>172.85064330741173</v>
      </c>
      <c r="AY42" s="344">
        <f t="shared" si="30"/>
        <v>173.55837878998693</v>
      </c>
    </row>
    <row r="43" spans="1:51">
      <c r="A43" s="338" t="s">
        <v>2911</v>
      </c>
      <c r="B43" s="342">
        <f t="shared" si="29"/>
        <v>9.2028100102799062</v>
      </c>
      <c r="C43" s="343">
        <f t="shared" si="30"/>
        <v>17.724368306785436</v>
      </c>
      <c r="D43" s="343">
        <f t="shared" si="30"/>
        <v>25.614338971004738</v>
      </c>
      <c r="E43" s="343">
        <f t="shared" si="30"/>
        <v>33.092984150359527</v>
      </c>
      <c r="F43" s="343">
        <f t="shared" si="30"/>
        <v>40.181747353539421</v>
      </c>
      <c r="G43" s="343">
        <f t="shared" si="30"/>
        <v>46.900954181198088</v>
      </c>
      <c r="H43" s="343">
        <f t="shared" si="30"/>
        <v>53.322238820759729</v>
      </c>
      <c r="I43" s="343">
        <f t="shared" si="30"/>
        <v>59.509156246227533</v>
      </c>
      <c r="J43" s="343">
        <f t="shared" si="30"/>
        <v>65.373532952832093</v>
      </c>
      <c r="K43" s="343">
        <f t="shared" si="30"/>
        <v>70.932183859566265</v>
      </c>
      <c r="L43" s="343">
        <f t="shared" si="30"/>
        <v>76.201047278271645</v>
      </c>
      <c r="M43" s="343">
        <f t="shared" si="30"/>
        <v>81.195230613537404</v>
      </c>
      <c r="N43" s="343">
        <f t="shared" si="30"/>
        <v>85.929053680140029</v>
      </c>
      <c r="O43" s="343">
        <f t="shared" si="30"/>
        <v>90.416089762227827</v>
      </c>
      <c r="P43" s="343">
        <f t="shared" si="30"/>
        <v>94.66920453197929</v>
      </c>
      <c r="Q43" s="343">
        <f t="shared" si="30"/>
        <v>98.70059293932664</v>
      </c>
      <c r="R43" s="343">
        <f t="shared" si="30"/>
        <v>102.52181417851845</v>
      </c>
      <c r="S43" s="343">
        <f t="shared" si="30"/>
        <v>106.14382483178083</v>
      </c>
      <c r="T43" s="343">
        <f t="shared" si="30"/>
        <v>109.57701028511011</v>
      </c>
      <c r="U43" s="343">
        <f t="shared" si="30"/>
        <v>112.83121450627529</v>
      </c>
      <c r="V43" s="343">
        <f t="shared" si="30"/>
        <v>115.9157682704129</v>
      </c>
      <c r="W43" s="343">
        <f t="shared" si="30"/>
        <v>118.83951591414524</v>
      </c>
      <c r="X43" s="343">
        <f t="shared" si="30"/>
        <v>121.61084069493418</v>
      </c>
      <c r="Y43" s="343">
        <f t="shared" si="30"/>
        <v>124.23768882838341</v>
      </c>
      <c r="Z43" s="343">
        <f t="shared" si="30"/>
        <v>126.72759227241113</v>
      </c>
      <c r="AA43" s="343">
        <f t="shared" si="30"/>
        <v>129.08769032362224</v>
      </c>
      <c r="AB43" s="343">
        <f t="shared" si="30"/>
        <v>131.32475008780338</v>
      </c>
      <c r="AC43" s="343">
        <f t="shared" si="30"/>
        <v>133.44518588323575</v>
      </c>
      <c r="AD43" s="343">
        <f t="shared" si="30"/>
        <v>135.45507763246073</v>
      </c>
      <c r="AE43" s="343">
        <f t="shared" si="30"/>
        <v>137.36018829523323</v>
      </c>
      <c r="AF43" s="343">
        <f t="shared" si="30"/>
        <v>139.16598039264792</v>
      </c>
      <c r="AG43" s="343">
        <f t="shared" si="30"/>
        <v>140.87763166981824</v>
      </c>
      <c r="AH43" s="343">
        <f t="shared" si="30"/>
        <v>142.5000499420176</v>
      </c>
      <c r="AI43" s="343">
        <f t="shared" si="30"/>
        <v>144.03788716685111</v>
      </c>
      <c r="AJ43" s="343">
        <f t="shared" si="30"/>
        <v>145.49555278280704</v>
      </c>
      <c r="AK43" s="343">
        <f t="shared" si="30"/>
        <v>146.87722635243352</v>
      </c>
      <c r="AL43" s="343">
        <f t="shared" si="30"/>
        <v>148.18686954639227</v>
      </c>
      <c r="AM43" s="343">
        <f t="shared" si="30"/>
        <v>149.42823750275127</v>
      </c>
      <c r="AN43" s="343">
        <f t="shared" si="30"/>
        <v>150.60488959408681</v>
      </c>
      <c r="AO43" s="343">
        <f t="shared" si="30"/>
        <v>151.72019963326744</v>
      </c>
      <c r="AP43" s="343">
        <f t="shared" si="30"/>
        <v>152.77736554718271</v>
      </c>
      <c r="AQ43" s="343">
        <f t="shared" si="30"/>
        <v>153.77941854615455</v>
      </c>
      <c r="AR43" s="343">
        <f t="shared" si="30"/>
        <v>154.72923181532215</v>
      </c>
      <c r="AS43" s="343">
        <f t="shared" si="30"/>
        <v>155.62952875292177</v>
      </c>
      <c r="AT43" s="343">
        <f t="shared" si="30"/>
        <v>156.48289077908257</v>
      </c>
      <c r="AU43" s="343">
        <f t="shared" si="30"/>
        <v>157.29176473752881</v>
      </c>
      <c r="AV43" s="343">
        <f t="shared" si="30"/>
        <v>158.05846991141149</v>
      </c>
      <c r="AW43" s="343">
        <f t="shared" si="30"/>
        <v>158.78520467338561</v>
      </c>
      <c r="AX43" s="343">
        <f t="shared" si="30"/>
        <v>159.47405278900089</v>
      </c>
      <c r="AY43" s="344">
        <f t="shared" si="30"/>
        <v>160.12698939147984</v>
      </c>
    </row>
    <row r="44" spans="1:51">
      <c r="A44" s="338" t="s">
        <v>2912</v>
      </c>
      <c r="B44" s="342">
        <f t="shared" si="29"/>
        <v>6.1182586674026789</v>
      </c>
      <c r="C44" s="343">
        <f t="shared" si="30"/>
        <v>12.428881458877321</v>
      </c>
      <c r="D44" s="343">
        <f t="shared" si="30"/>
        <v>18.663448533001478</v>
      </c>
      <c r="E44" s="343">
        <f t="shared" si="30"/>
        <v>24.758953747497628</v>
      </c>
      <c r="F44" s="343">
        <f t="shared" si="30"/>
        <v>30.680705424846916</v>
      </c>
      <c r="G44" s="343">
        <f t="shared" si="30"/>
        <v>36.409160608562402</v>
      </c>
      <c r="H44" s="343">
        <f t="shared" si="30"/>
        <v>41.933745345919618</v>
      </c>
      <c r="I44" s="343">
        <f t="shared" si="30"/>
        <v>48.071024652675924</v>
      </c>
      <c r="J44" s="343">
        <f t="shared" si="30"/>
        <v>53.344183401899116</v>
      </c>
      <c r="K44" s="343">
        <f t="shared" si="30"/>
        <v>58.387229298572841</v>
      </c>
      <c r="L44" s="343">
        <f t="shared" si="30"/>
        <v>63.206893248542535</v>
      </c>
      <c r="M44" s="343">
        <f t="shared" si="30"/>
        <v>67.810341338564868</v>
      </c>
      <c r="N44" s="343">
        <f t="shared" si="30"/>
        <v>72.205003872916535</v>
      </c>
      <c r="O44" s="343">
        <f t="shared" si="30"/>
        <v>76.382152150713026</v>
      </c>
      <c r="P44" s="343">
        <f t="shared" si="30"/>
        <v>80.342180607180453</v>
      </c>
      <c r="Q44" s="343">
        <f t="shared" si="30"/>
        <v>84.095762082505033</v>
      </c>
      <c r="R44" s="343">
        <f t="shared" si="30"/>
        <v>87.684355750314964</v>
      </c>
      <c r="S44" s="343">
        <f t="shared" si="30"/>
        <v>91.109251998560694</v>
      </c>
      <c r="T44" s="343">
        <f t="shared" si="30"/>
        <v>94.377765658171711</v>
      </c>
      <c r="U44" s="343">
        <f t="shared" si="30"/>
        <v>97.475882871073139</v>
      </c>
      <c r="V44" s="343">
        <f t="shared" si="30"/>
        <v>100.41248686434464</v>
      </c>
      <c r="W44" s="343">
        <f t="shared" si="30"/>
        <v>103.19599775844085</v>
      </c>
      <c r="X44" s="343">
        <f t="shared" si="30"/>
        <v>105.83439671019082</v>
      </c>
      <c r="Y44" s="343">
        <f t="shared" si="30"/>
        <v>108.3352487971576</v>
      </c>
      <c r="Z44" s="343">
        <f t="shared" si="30"/>
        <v>110.70572470897447</v>
      </c>
      <c r="AA44" s="343">
        <f t="shared" si="30"/>
        <v>112.95262130785301</v>
      </c>
      <c r="AB44" s="343">
        <f t="shared" si="30"/>
        <v>115.08238111721656</v>
      </c>
      <c r="AC44" s="343">
        <f t="shared" si="30"/>
        <v>117.1011107943384</v>
      </c>
      <c r="AD44" s="343">
        <f t="shared" si="30"/>
        <v>119.01459863995152</v>
      </c>
      <c r="AE44" s="343">
        <f t="shared" si="30"/>
        <v>120.82833119503505</v>
      </c>
      <c r="AF44" s="343">
        <f t="shared" si="30"/>
        <v>122.54750897236541</v>
      </c>
      <c r="AG44" s="343">
        <f t="shared" si="30"/>
        <v>124.1770613679392</v>
      </c>
      <c r="AH44" s="343">
        <f t="shared" si="30"/>
        <v>125.72166079502338</v>
      </c>
      <c r="AI44" s="343">
        <f t="shared" si="30"/>
        <v>127.1857360813591</v>
      </c>
      <c r="AJ44" s="343">
        <f t="shared" si="30"/>
        <v>128.57348516793323</v>
      </c>
      <c r="AK44" s="343">
        <f t="shared" si="30"/>
        <v>129.8888871457286</v>
      </c>
      <c r="AL44" s="343">
        <f t="shared" si="30"/>
        <v>131.13571366496595</v>
      </c>
      <c r="AM44" s="343">
        <f t="shared" si="30"/>
        <v>132.31753974955109</v>
      </c>
      <c r="AN44" s="343">
        <f t="shared" si="30"/>
        <v>133.43775404773606</v>
      </c>
      <c r="AO44" s="343">
        <f t="shared" si="30"/>
        <v>134.49956854838533</v>
      </c>
      <c r="AP44" s="343">
        <f t="shared" si="30"/>
        <v>135.5060277907069</v>
      </c>
      <c r="AQ44" s="343">
        <f t="shared" si="30"/>
        <v>136.4600175938553</v>
      </c>
      <c r="AR44" s="343">
        <f t="shared" si="30"/>
        <v>137.36427333143675</v>
      </c>
      <c r="AS44" s="343">
        <f t="shared" si="30"/>
        <v>138.2213877746419</v>
      </c>
      <c r="AT44" s="343">
        <f t="shared" si="30"/>
        <v>139.03381852649511</v>
      </c>
      <c r="AU44" s="343">
        <f t="shared" si="30"/>
        <v>139.80389506853609</v>
      </c>
      <c r="AV44" s="343">
        <f t="shared" si="30"/>
        <v>140.53382544013891</v>
      </c>
      <c r="AW44" s="343">
        <f t="shared" si="30"/>
        <v>141.22570256962027</v>
      </c>
      <c r="AX44" s="343">
        <f t="shared" si="30"/>
        <v>141.8815102752898</v>
      </c>
      <c r="AY44" s="344">
        <f t="shared" si="30"/>
        <v>142.50312895364954</v>
      </c>
    </row>
    <row r="45" spans="1:51">
      <c r="A45" s="338" t="s">
        <v>2892</v>
      </c>
      <c r="B45" s="339">
        <f t="shared" si="29"/>
        <v>6.1141123369011178E-3</v>
      </c>
      <c r="C45" s="340">
        <f t="shared" si="30"/>
        <v>1.1835653147838862E-2</v>
      </c>
      <c r="D45" s="340">
        <f t="shared" si="30"/>
        <v>1.718893701314065E-2</v>
      </c>
      <c r="E45" s="340">
        <f t="shared" si="30"/>
        <v>2.2163645558166009E-2</v>
      </c>
      <c r="F45" s="340">
        <f t="shared" si="30"/>
        <v>2.6784701836957338E-2</v>
      </c>
      <c r="G45" s="340">
        <f t="shared" si="30"/>
        <v>3.1082908421834338E-2</v>
      </c>
      <c r="H45" s="340">
        <f t="shared" si="30"/>
        <v>3.5157037886172721E-2</v>
      </c>
      <c r="I45" s="340">
        <f t="shared" si="30"/>
        <v>3.9012079195542004E-2</v>
      </c>
      <c r="J45" s="340">
        <f t="shared" si="30"/>
        <v>4.2666146787361234E-2</v>
      </c>
      <c r="K45" s="340">
        <f t="shared" si="30"/>
        <v>4.6123704820036415E-2</v>
      </c>
      <c r="L45" s="340">
        <f t="shared" si="30"/>
        <v>4.9401011012145592E-2</v>
      </c>
      <c r="M45" s="340">
        <f t="shared" ref="M45:AY47" si="31">(M34/(1+$C$3)^(M$16-0.5)+L45)</f>
        <v>5.2507462379073722E-2</v>
      </c>
      <c r="N45" s="340">
        <f t="shared" si="31"/>
        <v>5.5446845168468734E-2</v>
      </c>
      <c r="O45" s="340">
        <f t="shared" si="31"/>
        <v>5.8232989992539834E-2</v>
      </c>
      <c r="P45" s="340">
        <f t="shared" si="31"/>
        <v>6.0869284697021131E-2</v>
      </c>
      <c r="Q45" s="340">
        <f t="shared" si="31"/>
        <v>6.3368142236813835E-2</v>
      </c>
      <c r="R45" s="340">
        <f t="shared" si="31"/>
        <v>6.5736727582588902E-2</v>
      </c>
      <c r="S45" s="340">
        <f t="shared" si="31"/>
        <v>6.7981832175740636E-2</v>
      </c>
      <c r="T45" s="340">
        <f t="shared" si="31"/>
        <v>7.0109893401476872E-2</v>
      </c>
      <c r="U45" s="340">
        <f t="shared" si="31"/>
        <v>7.2127013046724489E-2</v>
      </c>
      <c r="V45" s="340">
        <f t="shared" si="31"/>
        <v>7.4038974795774357E-2</v>
      </c>
      <c r="W45" s="340">
        <f t="shared" si="31"/>
        <v>7.5851260813831103E-2</v>
      </c>
      <c r="X45" s="340">
        <f t="shared" si="31"/>
        <v>7.7569067466017591E-2</v>
      </c>
      <c r="Y45" s="340">
        <f t="shared" si="31"/>
        <v>7.9197320216905259E-2</v>
      </c>
      <c r="Z45" s="340">
        <f t="shared" si="31"/>
        <v>8.0740687753291684E-2</v>
      </c>
      <c r="AA45" s="340">
        <f t="shared" si="31"/>
        <v>8.220359537071957E-2</v>
      </c>
      <c r="AB45" s="340">
        <f t="shared" si="31"/>
        <v>8.3590237662120412E-2</v>
      </c>
      <c r="AC45" s="340">
        <f t="shared" si="31"/>
        <v>8.4904590544964811E-2</v>
      </c>
      <c r="AD45" s="340">
        <f t="shared" si="31"/>
        <v>8.6150422661405004E-2</v>
      </c>
      <c r="AE45" s="340">
        <f t="shared" si="31"/>
        <v>8.7331306184097124E-2</v>
      </c>
      <c r="AF45" s="340">
        <f t="shared" si="31"/>
        <v>8.8450627058686809E-2</v>
      </c>
      <c r="AG45" s="340">
        <f t="shared" si="31"/>
        <v>8.9511594712326323E-2</v>
      </c>
      <c r="AH45" s="340">
        <f t="shared" si="31"/>
        <v>9.0517251256060458E-2</v>
      </c>
      <c r="AI45" s="340">
        <f t="shared" si="31"/>
        <v>9.1470480207467217E-2</v>
      </c>
      <c r="AJ45" s="340">
        <f t="shared" si="31"/>
        <v>9.2374014758563674E-2</v>
      </c>
      <c r="AK45" s="340">
        <f t="shared" si="31"/>
        <v>9.3230445612683538E-2</v>
      </c>
      <c r="AL45" s="340">
        <f t="shared" si="31"/>
        <v>9.4042228412797163E-2</v>
      </c>
      <c r="AM45" s="340">
        <f t="shared" si="31"/>
        <v>9.4811690782573108E-2</v>
      </c>
      <c r="AN45" s="340">
        <f t="shared" si="31"/>
        <v>9.5541039000370212E-2</v>
      </c>
      <c r="AO45" s="340">
        <f t="shared" si="31"/>
        <v>9.6232364325296374E-2</v>
      </c>
      <c r="AP45" s="340">
        <f t="shared" si="31"/>
        <v>9.6887648993472825E-2</v>
      </c>
      <c r="AQ45" s="340">
        <f t="shared" si="31"/>
        <v>9.7508771901696961E-2</v>
      </c>
      <c r="AR45" s="340">
        <f t="shared" si="31"/>
        <v>9.8097513994800406E-2</v>
      </c>
      <c r="AS45" s="340">
        <f t="shared" si="31"/>
        <v>9.8655563372149632E-2</v>
      </c>
      <c r="AT45" s="340">
        <f t="shared" si="31"/>
        <v>9.91845201279309E-2</v>
      </c>
      <c r="AU45" s="340">
        <f t="shared" si="31"/>
        <v>9.9685900939097974E-2</v>
      </c>
      <c r="AV45" s="340">
        <f t="shared" si="31"/>
        <v>0.10016114341413786</v>
      </c>
      <c r="AW45" s="340">
        <f t="shared" si="31"/>
        <v>0.10061161021512352</v>
      </c>
      <c r="AX45" s="340">
        <f t="shared" si="31"/>
        <v>0.10103859296487297</v>
      </c>
      <c r="AY45" s="341">
        <f t="shared" si="31"/>
        <v>0.10144331595041747</v>
      </c>
    </row>
    <row r="46" spans="1:51">
      <c r="A46" s="338" t="s">
        <v>2893</v>
      </c>
      <c r="B46" s="342">
        <f t="shared" si="29"/>
        <v>0.85432063306221828</v>
      </c>
      <c r="C46" s="343">
        <f t="shared" ref="C46:L47" si="32">(C35/(1+$C$3)^(C$16-0.5)+B46)</f>
        <v>1.6641032236425202</v>
      </c>
      <c r="D46" s="343">
        <f t="shared" si="32"/>
        <v>2.4316696602115266</v>
      </c>
      <c r="E46" s="343">
        <f t="shared" si="32"/>
        <v>3.1592207849214855</v>
      </c>
      <c r="F46" s="343">
        <f t="shared" si="32"/>
        <v>3.8488427040778443</v>
      </c>
      <c r="G46" s="343">
        <f t="shared" si="32"/>
        <v>4.502512769628896</v>
      </c>
      <c r="H46" s="343">
        <f t="shared" si="32"/>
        <v>5.1221052488242051</v>
      </c>
      <c r="I46" s="343">
        <f t="shared" si="32"/>
        <v>5.7093966982984323</v>
      </c>
      <c r="J46" s="343">
        <f t="shared" si="32"/>
        <v>6.2660710579896426</v>
      </c>
      <c r="K46" s="343">
        <f t="shared" si="32"/>
        <v>6.7937244794978984</v>
      </c>
      <c r="L46" s="343">
        <f t="shared" si="32"/>
        <v>7.2938699027284732</v>
      </c>
      <c r="M46" s="343">
        <f t="shared" si="31"/>
        <v>7.7679413939422881</v>
      </c>
      <c r="N46" s="343">
        <f t="shared" si="31"/>
        <v>8.2172982576520646</v>
      </c>
      <c r="O46" s="343">
        <f t="shared" si="31"/>
        <v>8.643228934154223</v>
      </c>
      <c r="P46" s="343">
        <f t="shared" si="31"/>
        <v>9.0469546938719088</v>
      </c>
      <c r="Q46" s="343">
        <f t="shared" si="31"/>
        <v>9.4296331391019432</v>
      </c>
      <c r="R46" s="343">
        <f t="shared" si="31"/>
        <v>9.7923615232062406</v>
      </c>
      <c r="S46" s="343">
        <f t="shared" si="31"/>
        <v>10.136179896764817</v>
      </c>
      <c r="T46" s="343">
        <f t="shared" si="31"/>
        <v>10.462074089711335</v>
      </c>
      <c r="U46" s="343">
        <f t="shared" si="31"/>
        <v>10.770978538001872</v>
      </c>
      <c r="V46" s="343">
        <f t="shared" si="31"/>
        <v>11.063778962921813</v>
      </c>
      <c r="W46" s="343">
        <f t="shared" si="31"/>
        <v>11.341314910713226</v>
      </c>
      <c r="X46" s="343">
        <f t="shared" si="31"/>
        <v>11.604382159804613</v>
      </c>
      <c r="Y46" s="343">
        <f t="shared" si="31"/>
        <v>11.853735002545264</v>
      </c>
      <c r="Z46" s="343">
        <f t="shared" si="31"/>
        <v>12.09008840798664</v>
      </c>
      <c r="AA46" s="343">
        <f t="shared" si="31"/>
        <v>12.314120071912114</v>
      </c>
      <c r="AB46" s="343">
        <f t="shared" si="31"/>
        <v>12.526472359993132</v>
      </c>
      <c r="AC46" s="343">
        <f t="shared" si="31"/>
        <v>12.727754149643387</v>
      </c>
      <c r="AD46" s="343">
        <f t="shared" si="31"/>
        <v>12.918542575852159</v>
      </c>
      <c r="AE46" s="343">
        <f t="shared" si="31"/>
        <v>13.099384686002654</v>
      </c>
      <c r="AF46" s="343">
        <f t="shared" si="31"/>
        <v>13.270799008420186</v>
      </c>
      <c r="AG46" s="343">
        <f t="shared" si="31"/>
        <v>13.433277039147702</v>
      </c>
      <c r="AH46" s="343">
        <f t="shared" si="31"/>
        <v>13.5872846512117</v>
      </c>
      <c r="AI46" s="343">
        <f t="shared" si="31"/>
        <v>13.73326343041928</v>
      </c>
      <c r="AJ46" s="343">
        <f t="shared" si="31"/>
        <v>13.871631941516512</v>
      </c>
      <c r="AK46" s="343">
        <f t="shared" si="31"/>
        <v>14.002786928338534</v>
      </c>
      <c r="AL46" s="343">
        <f t="shared" si="31"/>
        <v>14.127104451392583</v>
      </c>
      <c r="AM46" s="343">
        <f t="shared" si="31"/>
        <v>14.244940966135758</v>
      </c>
      <c r="AN46" s="343">
        <f t="shared" si="31"/>
        <v>14.356634345039241</v>
      </c>
      <c r="AO46" s="343">
        <f t="shared" si="31"/>
        <v>14.462504846369557</v>
      </c>
      <c r="AP46" s="343">
        <f t="shared" si="31"/>
        <v>14.562856032464643</v>
      </c>
      <c r="AQ46" s="343">
        <f t="shared" si="31"/>
        <v>14.65797564013771</v>
      </c>
      <c r="AR46" s="343">
        <f t="shared" si="31"/>
        <v>14.748136405704599</v>
      </c>
      <c r="AS46" s="343">
        <f t="shared" si="31"/>
        <v>14.833596847000228</v>
      </c>
      <c r="AT46" s="343">
        <f t="shared" si="31"/>
        <v>14.914602004626417</v>
      </c>
      <c r="AU46" s="343">
        <f t="shared" si="31"/>
        <v>14.991384144556454</v>
      </c>
      <c r="AV46" s="343">
        <f t="shared" si="31"/>
        <v>15.064163424110991</v>
      </c>
      <c r="AW46" s="343">
        <f t="shared" si="31"/>
        <v>15.133148523214818</v>
      </c>
      <c r="AX46" s="343">
        <f t="shared" si="31"/>
        <v>15.198537242744511</v>
      </c>
      <c r="AY46" s="344">
        <f t="shared" si="31"/>
        <v>15.260517071682608</v>
      </c>
    </row>
    <row r="47" spans="1:51" ht="12.75" thickBot="1">
      <c r="A47" s="345" t="s">
        <v>2894</v>
      </c>
      <c r="B47" s="346">
        <f t="shared" si="29"/>
        <v>0.85432063306221828</v>
      </c>
      <c r="C47" s="347">
        <f t="shared" si="32"/>
        <v>1.6641032236425202</v>
      </c>
      <c r="D47" s="347">
        <f t="shared" si="32"/>
        <v>2.4316696602115266</v>
      </c>
      <c r="E47" s="347">
        <f t="shared" si="32"/>
        <v>3.1592207849214855</v>
      </c>
      <c r="F47" s="347">
        <f t="shared" si="32"/>
        <v>3.8488427040778443</v>
      </c>
      <c r="G47" s="347">
        <f t="shared" si="32"/>
        <v>4.502512769628896</v>
      </c>
      <c r="H47" s="347">
        <f t="shared" si="32"/>
        <v>5.1221052488242051</v>
      </c>
      <c r="I47" s="347">
        <f t="shared" si="32"/>
        <v>5.7093966982984323</v>
      </c>
      <c r="J47" s="347">
        <f t="shared" si="32"/>
        <v>6.2660710579896426</v>
      </c>
      <c r="K47" s="347">
        <f t="shared" si="32"/>
        <v>6.7937244794978984</v>
      </c>
      <c r="L47" s="347">
        <f t="shared" si="32"/>
        <v>7.2938699027284732</v>
      </c>
      <c r="M47" s="347">
        <f t="shared" si="31"/>
        <v>7.7679413939422881</v>
      </c>
      <c r="N47" s="347">
        <f t="shared" si="31"/>
        <v>8.2172982576520646</v>
      </c>
      <c r="O47" s="347">
        <f t="shared" si="31"/>
        <v>8.643228934154223</v>
      </c>
      <c r="P47" s="347">
        <f t="shared" si="31"/>
        <v>9.0469546938719088</v>
      </c>
      <c r="Q47" s="347">
        <f t="shared" si="31"/>
        <v>9.4296331391019432</v>
      </c>
      <c r="R47" s="347">
        <f t="shared" si="31"/>
        <v>9.7923615232062406</v>
      </c>
      <c r="S47" s="347">
        <f t="shared" si="31"/>
        <v>10.136179896764817</v>
      </c>
      <c r="T47" s="347">
        <f t="shared" si="31"/>
        <v>10.462074089711335</v>
      </c>
      <c r="U47" s="347">
        <f t="shared" si="31"/>
        <v>10.770978538001872</v>
      </c>
      <c r="V47" s="347">
        <f t="shared" si="31"/>
        <v>11.063778962921813</v>
      </c>
      <c r="W47" s="347">
        <f t="shared" si="31"/>
        <v>11.341314910713226</v>
      </c>
      <c r="X47" s="347">
        <f t="shared" si="31"/>
        <v>11.604382159804613</v>
      </c>
      <c r="Y47" s="347">
        <f t="shared" si="31"/>
        <v>11.853735002545264</v>
      </c>
      <c r="Z47" s="347">
        <f t="shared" si="31"/>
        <v>12.09008840798664</v>
      </c>
      <c r="AA47" s="347">
        <f t="shared" si="31"/>
        <v>12.314120071912114</v>
      </c>
      <c r="AB47" s="347">
        <f t="shared" si="31"/>
        <v>12.526472359993132</v>
      </c>
      <c r="AC47" s="347">
        <f t="shared" si="31"/>
        <v>12.727754149643387</v>
      </c>
      <c r="AD47" s="347">
        <f t="shared" si="31"/>
        <v>12.918542575852159</v>
      </c>
      <c r="AE47" s="347">
        <f t="shared" si="31"/>
        <v>13.099384686002654</v>
      </c>
      <c r="AF47" s="347">
        <f t="shared" si="31"/>
        <v>13.270799008420186</v>
      </c>
      <c r="AG47" s="347">
        <f t="shared" si="31"/>
        <v>13.433277039147702</v>
      </c>
      <c r="AH47" s="347">
        <f t="shared" si="31"/>
        <v>13.5872846512117</v>
      </c>
      <c r="AI47" s="347">
        <f t="shared" si="31"/>
        <v>13.73326343041928</v>
      </c>
      <c r="AJ47" s="347">
        <f t="shared" si="31"/>
        <v>13.871631941516512</v>
      </c>
      <c r="AK47" s="347">
        <f t="shared" si="31"/>
        <v>14.002786928338534</v>
      </c>
      <c r="AL47" s="347">
        <f t="shared" si="31"/>
        <v>14.127104451392583</v>
      </c>
      <c r="AM47" s="347">
        <f t="shared" si="31"/>
        <v>14.244940966135758</v>
      </c>
      <c r="AN47" s="347">
        <f t="shared" si="31"/>
        <v>14.356634345039241</v>
      </c>
      <c r="AO47" s="347">
        <f t="shared" si="31"/>
        <v>14.462504846369557</v>
      </c>
      <c r="AP47" s="347">
        <f t="shared" si="31"/>
        <v>14.562856032464643</v>
      </c>
      <c r="AQ47" s="347">
        <f t="shared" si="31"/>
        <v>14.65797564013771</v>
      </c>
      <c r="AR47" s="347">
        <f t="shared" si="31"/>
        <v>14.748136405704599</v>
      </c>
      <c r="AS47" s="347">
        <f t="shared" si="31"/>
        <v>14.833596847000228</v>
      </c>
      <c r="AT47" s="347">
        <f t="shared" si="31"/>
        <v>14.914602004626417</v>
      </c>
      <c r="AU47" s="347">
        <f t="shared" si="31"/>
        <v>14.991384144556454</v>
      </c>
      <c r="AV47" s="347">
        <f t="shared" si="31"/>
        <v>15.064163424110991</v>
      </c>
      <c r="AW47" s="347">
        <f t="shared" si="31"/>
        <v>15.133148523214818</v>
      </c>
      <c r="AX47" s="347">
        <f t="shared" si="31"/>
        <v>15.198537242744511</v>
      </c>
      <c r="AY47" s="348">
        <f t="shared" si="31"/>
        <v>15.260517071682608</v>
      </c>
    </row>
    <row r="49" spans="1:51" ht="15.75">
      <c r="A49" s="350" t="s">
        <v>2902</v>
      </c>
      <c r="B49" s="349"/>
      <c r="C49" s="349"/>
      <c r="D49" s="349"/>
      <c r="E49" s="349"/>
      <c r="F49" s="349"/>
      <c r="G49" s="349"/>
      <c r="H49" s="349"/>
      <c r="I49" s="349"/>
      <c r="J49" s="349"/>
      <c r="K49" s="349"/>
      <c r="L49" s="349"/>
      <c r="M49" s="349"/>
      <c r="N49" s="349"/>
      <c r="O49" s="349"/>
      <c r="P49" s="349"/>
      <c r="Q49" s="349"/>
      <c r="R49" s="349"/>
      <c r="S49" s="349"/>
      <c r="T49" s="349"/>
      <c r="U49" s="349"/>
      <c r="V49" s="349"/>
      <c r="W49" s="349"/>
      <c r="X49" s="349"/>
      <c r="Y49" s="349"/>
      <c r="Z49" s="349"/>
      <c r="AA49" s="349"/>
      <c r="AB49" s="349"/>
      <c r="AC49" s="349"/>
      <c r="AD49" s="349"/>
      <c r="AE49" s="349"/>
      <c r="AF49" s="349"/>
      <c r="AG49" s="349"/>
      <c r="AH49" s="349"/>
      <c r="AI49" s="349"/>
      <c r="AJ49" s="349"/>
      <c r="AK49" s="349"/>
      <c r="AL49" s="349"/>
      <c r="AM49" s="349"/>
      <c r="AN49" s="349"/>
      <c r="AO49" s="349"/>
      <c r="AP49" s="349"/>
      <c r="AQ49" s="349"/>
      <c r="AR49" s="349"/>
      <c r="AS49" s="349"/>
      <c r="AT49" s="349"/>
      <c r="AU49" s="349"/>
      <c r="AV49" s="349"/>
      <c r="AW49" s="349"/>
      <c r="AX49" s="349"/>
      <c r="AY49" s="349"/>
    </row>
    <row r="50" spans="1:51" ht="15.75" thickBot="1">
      <c r="A50" s="329" t="s">
        <v>2885</v>
      </c>
    </row>
    <row r="51" spans="1:51" ht="12.75" thickBot="1">
      <c r="A51" s="330" t="s">
        <v>2886</v>
      </c>
      <c r="B51" s="331">
        <v>2010</v>
      </c>
      <c r="C51" s="332">
        <v>2011</v>
      </c>
      <c r="D51" s="332">
        <v>2012</v>
      </c>
      <c r="E51" s="332">
        <v>2013</v>
      </c>
      <c r="F51" s="332">
        <v>2014</v>
      </c>
      <c r="G51" s="332">
        <v>2015</v>
      </c>
      <c r="H51" s="332">
        <v>2016</v>
      </c>
      <c r="I51" s="332">
        <v>2017</v>
      </c>
      <c r="J51" s="332">
        <v>2018</v>
      </c>
      <c r="K51" s="332">
        <v>2019</v>
      </c>
      <c r="L51" s="332">
        <v>2020</v>
      </c>
      <c r="M51" s="332">
        <v>2021</v>
      </c>
      <c r="N51" s="332">
        <v>2022</v>
      </c>
      <c r="O51" s="332">
        <v>2023</v>
      </c>
      <c r="P51" s="332">
        <v>2024</v>
      </c>
      <c r="Q51" s="332">
        <v>2025</v>
      </c>
      <c r="R51" s="332">
        <v>2026</v>
      </c>
      <c r="S51" s="332">
        <v>2027</v>
      </c>
      <c r="T51" s="332">
        <v>2028</v>
      </c>
      <c r="U51" s="332">
        <v>2029</v>
      </c>
      <c r="V51" s="332">
        <v>2030</v>
      </c>
      <c r="W51" s="332">
        <v>2031</v>
      </c>
      <c r="X51" s="332">
        <v>2032</v>
      </c>
      <c r="Y51" s="332">
        <v>2033</v>
      </c>
      <c r="Z51" s="332">
        <v>2034</v>
      </c>
      <c r="AA51" s="332">
        <v>2035</v>
      </c>
      <c r="AB51" s="332">
        <v>2036</v>
      </c>
      <c r="AC51" s="332">
        <v>2037</v>
      </c>
      <c r="AD51" s="332">
        <v>2038</v>
      </c>
      <c r="AE51" s="332">
        <v>2039</v>
      </c>
      <c r="AF51" s="332">
        <v>2040</v>
      </c>
      <c r="AG51" s="332">
        <v>2041</v>
      </c>
      <c r="AH51" s="332">
        <v>2042</v>
      </c>
      <c r="AI51" s="332">
        <v>2043</v>
      </c>
      <c r="AJ51" s="332">
        <v>2044</v>
      </c>
      <c r="AK51" s="332">
        <v>2045</v>
      </c>
      <c r="AL51" s="332">
        <v>2046</v>
      </c>
      <c r="AM51" s="332">
        <v>2047</v>
      </c>
      <c r="AN51" s="332">
        <v>2048</v>
      </c>
      <c r="AO51" s="332">
        <v>2049</v>
      </c>
      <c r="AP51" s="332">
        <v>2050</v>
      </c>
      <c r="AQ51" s="332">
        <v>2051</v>
      </c>
      <c r="AR51" s="332">
        <v>2052</v>
      </c>
      <c r="AS51" s="332">
        <v>2053</v>
      </c>
      <c r="AT51" s="332">
        <v>2054</v>
      </c>
      <c r="AU51" s="332">
        <v>2055</v>
      </c>
      <c r="AV51" s="332">
        <v>2056</v>
      </c>
      <c r="AW51" s="332">
        <v>2057</v>
      </c>
      <c r="AX51" s="332">
        <v>2058</v>
      </c>
      <c r="AY51" s="333">
        <v>2059</v>
      </c>
    </row>
    <row r="52" spans="1:51">
      <c r="A52" s="334" t="s">
        <v>2896</v>
      </c>
      <c r="B52" s="339">
        <v>8.751821425917071E-2</v>
      </c>
      <c r="C52" s="340">
        <v>8.5935762041716893E-2</v>
      </c>
      <c r="D52" s="340">
        <v>8.43835480327986E-2</v>
      </c>
      <c r="E52" s="340">
        <v>8.4021932885965753E-2</v>
      </c>
      <c r="F52" s="340">
        <v>8.3662835888841089E-2</v>
      </c>
      <c r="G52" s="340">
        <v>8.3304744661396257E-2</v>
      </c>
      <c r="H52" s="340">
        <v>8.3510083914714373E-2</v>
      </c>
      <c r="I52" s="340">
        <v>8.3714348137833752E-2</v>
      </c>
      <c r="J52" s="340">
        <v>8.3920555636235711E-2</v>
      </c>
      <c r="K52" s="340">
        <v>8.412569023525443E-2</v>
      </c>
      <c r="L52" s="340">
        <v>8.4332770245600638E-2</v>
      </c>
      <c r="M52" s="340">
        <v>8.45387794978507E-2</v>
      </c>
      <c r="N52" s="340">
        <v>8.4746736307970416E-2</v>
      </c>
      <c r="O52" s="340">
        <v>8.4955133132493726E-2</v>
      </c>
      <c r="P52" s="340">
        <v>8.5163971051288034E-2</v>
      </c>
      <c r="Q52" s="340">
        <v>8.5163971051288034E-2</v>
      </c>
      <c r="R52" s="340">
        <v>8.5163971051288034E-2</v>
      </c>
      <c r="S52" s="340">
        <v>8.5163971051288034E-2</v>
      </c>
      <c r="T52" s="340">
        <v>8.5163971051288034E-2</v>
      </c>
      <c r="U52" s="340">
        <v>8.5163971051288034E-2</v>
      </c>
      <c r="V52" s="340">
        <v>8.5163971051288034E-2</v>
      </c>
      <c r="W52" s="340">
        <v>8.5163971051288034E-2</v>
      </c>
      <c r="X52" s="340">
        <v>8.5163971051288034E-2</v>
      </c>
      <c r="Y52" s="340">
        <v>8.5163971051288034E-2</v>
      </c>
      <c r="Z52" s="340">
        <v>8.5163971051288034E-2</v>
      </c>
      <c r="AA52" s="340">
        <v>8.5163971051288034E-2</v>
      </c>
      <c r="AB52" s="340">
        <v>8.5163971051288034E-2</v>
      </c>
      <c r="AC52" s="340">
        <v>8.5163971051288034E-2</v>
      </c>
      <c r="AD52" s="340">
        <v>8.5163971051288034E-2</v>
      </c>
      <c r="AE52" s="340">
        <v>8.5163971051288034E-2</v>
      </c>
      <c r="AF52" s="340">
        <v>8.5163971051288034E-2</v>
      </c>
      <c r="AG52" s="340">
        <v>8.5163971051288034E-2</v>
      </c>
      <c r="AH52" s="340">
        <v>8.5163971051288034E-2</v>
      </c>
      <c r="AI52" s="340">
        <v>8.5163971051288034E-2</v>
      </c>
      <c r="AJ52" s="340">
        <v>8.5163971051288034E-2</v>
      </c>
      <c r="AK52" s="340">
        <v>8.5163971051288034E-2</v>
      </c>
      <c r="AL52" s="340">
        <v>8.5163971051288034E-2</v>
      </c>
      <c r="AM52" s="340">
        <v>8.5163971051288034E-2</v>
      </c>
      <c r="AN52" s="340">
        <v>8.5163971051288034E-2</v>
      </c>
      <c r="AO52" s="340">
        <v>8.5163971051288034E-2</v>
      </c>
      <c r="AP52" s="340">
        <v>8.5163971051288034E-2</v>
      </c>
      <c r="AQ52" s="340">
        <v>8.5163971051288034E-2</v>
      </c>
      <c r="AR52" s="340">
        <v>8.5163971051288034E-2</v>
      </c>
      <c r="AS52" s="340">
        <v>8.5163971051288034E-2</v>
      </c>
      <c r="AT52" s="340">
        <v>8.5163971051288034E-2</v>
      </c>
      <c r="AU52" s="340">
        <v>8.5163971051288034E-2</v>
      </c>
      <c r="AV52" s="340">
        <v>8.5163971051288034E-2</v>
      </c>
      <c r="AW52" s="340">
        <v>8.5163971051288034E-2</v>
      </c>
      <c r="AX52" s="340">
        <v>8.5163971051288034E-2</v>
      </c>
      <c r="AY52" s="340">
        <v>8.5163971051288034E-2</v>
      </c>
    </row>
    <row r="53" spans="1:51">
      <c r="A53" s="338" t="s">
        <v>2897</v>
      </c>
      <c r="B53" s="339">
        <v>216.03900862068963</v>
      </c>
      <c r="C53" s="340">
        <v>216.59288793103445</v>
      </c>
      <c r="D53" s="340">
        <v>217.04935344827584</v>
      </c>
      <c r="E53" s="340">
        <v>223.36400862068962</v>
      </c>
      <c r="F53" s="340">
        <v>220.45129310344828</v>
      </c>
      <c r="G53" s="340">
        <v>214.11551724137928</v>
      </c>
      <c r="H53" s="340">
        <v>223.12737068965515</v>
      </c>
      <c r="I53" s="340">
        <v>236.59784482758619</v>
      </c>
      <c r="J53" s="340">
        <v>238.23965517241373</v>
      </c>
      <c r="K53" s="340">
        <v>239.74030172413791</v>
      </c>
      <c r="L53" s="340">
        <v>241.11982758620684</v>
      </c>
      <c r="M53" s="340">
        <v>242.38124999999997</v>
      </c>
      <c r="N53" s="340">
        <v>242.38124999999997</v>
      </c>
      <c r="O53" s="340">
        <v>242.38124999999997</v>
      </c>
      <c r="P53" s="340">
        <v>242.38124999999997</v>
      </c>
      <c r="Q53" s="340">
        <v>242.38124999999997</v>
      </c>
      <c r="R53" s="340">
        <v>242.38124999999997</v>
      </c>
      <c r="S53" s="340">
        <v>242.38124999999997</v>
      </c>
      <c r="T53" s="340">
        <v>242.38124999999997</v>
      </c>
      <c r="U53" s="340">
        <v>242.38124999999997</v>
      </c>
      <c r="V53" s="340">
        <v>242.38124999999997</v>
      </c>
      <c r="W53" s="340">
        <v>242.38124999999997</v>
      </c>
      <c r="X53" s="340">
        <v>242.38124999999997</v>
      </c>
      <c r="Y53" s="340">
        <v>242.38124999999997</v>
      </c>
      <c r="Z53" s="340">
        <v>242.38124999999997</v>
      </c>
      <c r="AA53" s="340">
        <v>242.38124999999997</v>
      </c>
      <c r="AB53" s="340">
        <v>242.38124999999997</v>
      </c>
      <c r="AC53" s="340">
        <v>242.38124999999997</v>
      </c>
      <c r="AD53" s="340">
        <v>242.38124999999997</v>
      </c>
      <c r="AE53" s="340">
        <v>242.38124999999997</v>
      </c>
      <c r="AF53" s="340">
        <v>242.38124999999997</v>
      </c>
      <c r="AG53" s="340">
        <v>242.38124999999997</v>
      </c>
      <c r="AH53" s="340">
        <v>242.38124999999997</v>
      </c>
      <c r="AI53" s="340">
        <v>242.38124999999997</v>
      </c>
      <c r="AJ53" s="340">
        <v>242.38124999999997</v>
      </c>
      <c r="AK53" s="340">
        <v>242.38124999999997</v>
      </c>
      <c r="AL53" s="340">
        <v>242.38124999999997</v>
      </c>
      <c r="AM53" s="340">
        <v>242.38124999999997</v>
      </c>
      <c r="AN53" s="340">
        <v>242.38124999999997</v>
      </c>
      <c r="AO53" s="340">
        <v>242.38124999999997</v>
      </c>
      <c r="AP53" s="340">
        <v>242.38124999999997</v>
      </c>
      <c r="AQ53" s="340">
        <v>242.38124999999997</v>
      </c>
      <c r="AR53" s="340">
        <v>242.38124999999997</v>
      </c>
      <c r="AS53" s="340">
        <v>242.38124999999997</v>
      </c>
      <c r="AT53" s="340">
        <v>242.38124999999997</v>
      </c>
      <c r="AU53" s="340">
        <v>242.38124999999997</v>
      </c>
      <c r="AV53" s="340">
        <v>242.38124999999997</v>
      </c>
      <c r="AW53" s="340">
        <v>242.38124999999997</v>
      </c>
      <c r="AX53" s="340">
        <v>242.38124999999997</v>
      </c>
      <c r="AY53" s="340">
        <v>242.38124999999997</v>
      </c>
    </row>
    <row r="54" spans="1:51">
      <c r="A54" s="338" t="s">
        <v>2898</v>
      </c>
      <c r="B54" s="342">
        <v>13.64</v>
      </c>
      <c r="C54" s="343">
        <v>13.41</v>
      </c>
      <c r="D54" s="343">
        <v>13.19</v>
      </c>
      <c r="E54" s="343">
        <v>13.19</v>
      </c>
      <c r="F54" s="343">
        <v>13.19</v>
      </c>
      <c r="G54" s="343">
        <v>13.19</v>
      </c>
      <c r="H54" s="343">
        <v>13.27</v>
      </c>
      <c r="I54" s="343">
        <v>13.34</v>
      </c>
      <c r="J54" s="343">
        <v>13.42</v>
      </c>
      <c r="K54" s="343">
        <v>13.42</v>
      </c>
      <c r="L54" s="343">
        <v>13.42</v>
      </c>
      <c r="M54" s="343">
        <v>13.42</v>
      </c>
      <c r="N54" s="343">
        <v>13.42</v>
      </c>
      <c r="O54" s="343">
        <v>13.42</v>
      </c>
      <c r="P54" s="343">
        <v>13.42</v>
      </c>
      <c r="Q54" s="343">
        <v>13.42</v>
      </c>
      <c r="R54" s="343">
        <v>13.42</v>
      </c>
      <c r="S54" s="343">
        <v>13.42</v>
      </c>
      <c r="T54" s="343">
        <v>13.42</v>
      </c>
      <c r="U54" s="343">
        <v>13.42</v>
      </c>
      <c r="V54" s="343">
        <v>13.42</v>
      </c>
      <c r="W54" s="343">
        <v>13.42</v>
      </c>
      <c r="X54" s="343">
        <v>13.42</v>
      </c>
      <c r="Y54" s="343">
        <v>13.42</v>
      </c>
      <c r="Z54" s="343">
        <v>13.42</v>
      </c>
      <c r="AA54" s="343">
        <v>13.42</v>
      </c>
      <c r="AB54" s="343">
        <v>13.42</v>
      </c>
      <c r="AC54" s="343">
        <v>13.42</v>
      </c>
      <c r="AD54" s="343">
        <v>13.42</v>
      </c>
      <c r="AE54" s="343">
        <v>13.42</v>
      </c>
      <c r="AF54" s="343">
        <v>13.42</v>
      </c>
      <c r="AG54" s="343">
        <v>13.42</v>
      </c>
      <c r="AH54" s="343">
        <v>13.42</v>
      </c>
      <c r="AI54" s="343">
        <v>13.42</v>
      </c>
      <c r="AJ54" s="343">
        <v>13.42</v>
      </c>
      <c r="AK54" s="343">
        <v>13.42</v>
      </c>
      <c r="AL54" s="343">
        <v>13.42</v>
      </c>
      <c r="AM54" s="343">
        <v>13.42</v>
      </c>
      <c r="AN54" s="343">
        <v>13.42</v>
      </c>
      <c r="AO54" s="343">
        <v>13.42</v>
      </c>
      <c r="AP54" s="343">
        <v>13.42</v>
      </c>
      <c r="AQ54" s="343">
        <v>13.42</v>
      </c>
      <c r="AR54" s="343">
        <v>13.42</v>
      </c>
      <c r="AS54" s="343">
        <v>13.42</v>
      </c>
      <c r="AT54" s="343">
        <v>13.42</v>
      </c>
      <c r="AU54" s="343">
        <v>13.42</v>
      </c>
      <c r="AV54" s="343">
        <v>13.42</v>
      </c>
      <c r="AW54" s="343">
        <v>13.42</v>
      </c>
      <c r="AX54" s="343">
        <v>13.42</v>
      </c>
      <c r="AY54" s="344">
        <v>13.42</v>
      </c>
    </row>
    <row r="55" spans="1:51">
      <c r="A55" s="338" t="s">
        <v>2899</v>
      </c>
      <c r="B55" s="342">
        <v>12.012499999999999</v>
      </c>
      <c r="C55" s="343">
        <v>11.794166666666667</v>
      </c>
      <c r="D55" s="343">
        <v>11.585833333333333</v>
      </c>
      <c r="E55" s="343">
        <v>11.585833333333333</v>
      </c>
      <c r="F55" s="343">
        <v>11.585833333333333</v>
      </c>
      <c r="G55" s="343">
        <v>11.585833333333333</v>
      </c>
      <c r="H55" s="343">
        <v>11.66</v>
      </c>
      <c r="I55" s="343">
        <v>11.73</v>
      </c>
      <c r="J55" s="343">
        <v>11.804166666666667</v>
      </c>
      <c r="K55" s="343">
        <v>11.804166666666667</v>
      </c>
      <c r="L55" s="343">
        <v>11.804166666666667</v>
      </c>
      <c r="M55" s="343">
        <v>11.804166666666667</v>
      </c>
      <c r="N55" s="343">
        <v>11.804166666666667</v>
      </c>
      <c r="O55" s="343">
        <v>11.804166666666667</v>
      </c>
      <c r="P55" s="343">
        <v>11.804166666666667</v>
      </c>
      <c r="Q55" s="343">
        <v>11.804166666666667</v>
      </c>
      <c r="R55" s="343">
        <v>11.804166666666667</v>
      </c>
      <c r="S55" s="343">
        <v>11.804166666666667</v>
      </c>
      <c r="T55" s="343">
        <v>11.804166666666667</v>
      </c>
      <c r="U55" s="343">
        <v>11.804166666666667</v>
      </c>
      <c r="V55" s="343">
        <v>11.804166666666667</v>
      </c>
      <c r="W55" s="343">
        <v>11.804166666666667</v>
      </c>
      <c r="X55" s="343">
        <v>11.804166666666667</v>
      </c>
      <c r="Y55" s="343">
        <v>11.804166666666667</v>
      </c>
      <c r="Z55" s="343">
        <v>11.804166666666667</v>
      </c>
      <c r="AA55" s="343">
        <v>11.804166666666667</v>
      </c>
      <c r="AB55" s="343">
        <v>11.804166666666667</v>
      </c>
      <c r="AC55" s="343">
        <v>11.804166666666667</v>
      </c>
      <c r="AD55" s="343">
        <v>11.804166666666667</v>
      </c>
      <c r="AE55" s="343">
        <v>11.804166666666667</v>
      </c>
      <c r="AF55" s="343">
        <v>11.804166666666667</v>
      </c>
      <c r="AG55" s="343">
        <v>11.804166666666667</v>
      </c>
      <c r="AH55" s="343">
        <v>11.804166666666667</v>
      </c>
      <c r="AI55" s="343">
        <v>11.804166666666667</v>
      </c>
      <c r="AJ55" s="343">
        <v>11.804166666666667</v>
      </c>
      <c r="AK55" s="343">
        <v>11.804166666666667</v>
      </c>
      <c r="AL55" s="343">
        <v>11.804166666666667</v>
      </c>
      <c r="AM55" s="343">
        <v>11.804166666666667</v>
      </c>
      <c r="AN55" s="343">
        <v>11.804166666666667</v>
      </c>
      <c r="AO55" s="343">
        <v>11.804166666666667</v>
      </c>
      <c r="AP55" s="343">
        <v>11.804166666666667</v>
      </c>
      <c r="AQ55" s="343">
        <v>11.804166666666667</v>
      </c>
      <c r="AR55" s="343">
        <v>11.804166666666667</v>
      </c>
      <c r="AS55" s="343">
        <v>11.804166666666667</v>
      </c>
      <c r="AT55" s="343">
        <v>11.804166666666667</v>
      </c>
      <c r="AU55" s="343">
        <v>11.804166666666667</v>
      </c>
      <c r="AV55" s="343">
        <v>11.804166666666667</v>
      </c>
      <c r="AW55" s="343">
        <v>11.804166666666667</v>
      </c>
      <c r="AX55" s="343">
        <v>11.804166666666699</v>
      </c>
      <c r="AY55" s="344">
        <v>11.804166666666699</v>
      </c>
    </row>
    <row r="56" spans="1:51">
      <c r="A56" s="338" t="s">
        <v>2887</v>
      </c>
      <c r="B56" s="342">
        <v>6.2842588284472054</v>
      </c>
      <c r="C56" s="343">
        <v>6.8383434812431512</v>
      </c>
      <c r="D56" s="343">
        <v>7.1275036881476561</v>
      </c>
      <c r="E56" s="343">
        <v>7.3517937696168021</v>
      </c>
      <c r="F56" s="343">
        <v>7.5350521097572987</v>
      </c>
      <c r="G56" s="343">
        <v>7.6899948286185555</v>
      </c>
      <c r="H56" s="343">
        <v>7.8242123166618027</v>
      </c>
      <c r="I56" s="343">
        <v>9.17</v>
      </c>
      <c r="J56" s="343">
        <v>8.3122147120447227</v>
      </c>
      <c r="K56" s="343">
        <v>8.3867034571327022</v>
      </c>
      <c r="L56" s="343">
        <v>8.4560508197405948</v>
      </c>
      <c r="M56" s="343">
        <v>8.5209209451759538</v>
      </c>
      <c r="N56" s="343">
        <v>8.5818570613494281</v>
      </c>
      <c r="O56" s="343">
        <v>8.6057375436489494</v>
      </c>
      <c r="P56" s="343">
        <v>8.6071420683686046</v>
      </c>
      <c r="Q56" s="343">
        <v>8.6071420683686046</v>
      </c>
      <c r="R56" s="343">
        <v>8.6814020669464895</v>
      </c>
      <c r="S56" s="343">
        <v>8.7410874140605106</v>
      </c>
      <c r="T56" s="343">
        <v>8.8007727611745192</v>
      </c>
      <c r="U56" s="343">
        <v>8.8007727611745192</v>
      </c>
      <c r="V56" s="343">
        <v>8.8007727611745192</v>
      </c>
      <c r="W56" s="343">
        <v>8.8007727611745192</v>
      </c>
      <c r="X56" s="343">
        <v>8.8007727611745192</v>
      </c>
      <c r="Y56" s="343">
        <v>8.8007727611745192</v>
      </c>
      <c r="Z56" s="343">
        <v>8.8007727611745192</v>
      </c>
      <c r="AA56" s="343">
        <v>8.8007727611745192</v>
      </c>
      <c r="AB56" s="343">
        <v>8.8007727611745192</v>
      </c>
      <c r="AC56" s="343">
        <v>8.8007727611745192</v>
      </c>
      <c r="AD56" s="343">
        <v>8.8007727611745192</v>
      </c>
      <c r="AE56" s="343">
        <v>8.8007727611745192</v>
      </c>
      <c r="AF56" s="343">
        <v>8.8007727611745192</v>
      </c>
      <c r="AG56" s="343">
        <v>8.8007727611745192</v>
      </c>
      <c r="AH56" s="343">
        <v>8.8007727611745192</v>
      </c>
      <c r="AI56" s="343">
        <v>8.8007727611745192</v>
      </c>
      <c r="AJ56" s="343">
        <v>8.8007727611745192</v>
      </c>
      <c r="AK56" s="343">
        <v>8.8007727611745192</v>
      </c>
      <c r="AL56" s="343">
        <v>8.8007727611745192</v>
      </c>
      <c r="AM56" s="343">
        <v>8.8007727611745192</v>
      </c>
      <c r="AN56" s="343">
        <v>8.8007727611745192</v>
      </c>
      <c r="AO56" s="343">
        <v>8.8007727611745192</v>
      </c>
      <c r="AP56" s="343">
        <v>8.8007727611745192</v>
      </c>
      <c r="AQ56" s="343">
        <v>8.8007727611745192</v>
      </c>
      <c r="AR56" s="343">
        <v>8.8007727611745192</v>
      </c>
      <c r="AS56" s="343">
        <v>8.8007727611745192</v>
      </c>
      <c r="AT56" s="343">
        <v>8.8007727611745192</v>
      </c>
      <c r="AU56" s="343">
        <v>8.8007727611745192</v>
      </c>
      <c r="AV56" s="343">
        <v>8.8007727611745192</v>
      </c>
      <c r="AW56" s="343">
        <v>8.8007727611745192</v>
      </c>
      <c r="AX56" s="343">
        <v>8.8007727611745192</v>
      </c>
      <c r="AY56" s="344">
        <v>8.8007727611745192</v>
      </c>
    </row>
    <row r="57" spans="1:51">
      <c r="A57" s="338" t="s">
        <v>2888</v>
      </c>
      <c r="B57" s="339">
        <v>6.28E-3</v>
      </c>
      <c r="C57" s="340">
        <v>6.1999999999999998E-3</v>
      </c>
      <c r="D57" s="340">
        <v>6.1200000000000004E-3</v>
      </c>
      <c r="E57" s="340">
        <v>6.0000000000000001E-3</v>
      </c>
      <c r="F57" s="340">
        <v>5.8799999999999998E-3</v>
      </c>
      <c r="G57" s="340">
        <v>5.77E-3</v>
      </c>
      <c r="H57" s="340">
        <v>5.77E-3</v>
      </c>
      <c r="I57" s="340">
        <v>5.7599999999999995E-3</v>
      </c>
      <c r="J57" s="340">
        <v>5.7599999999999995E-3</v>
      </c>
      <c r="K57" s="340">
        <v>5.7499999999999999E-3</v>
      </c>
      <c r="L57" s="340">
        <v>5.7499999999999999E-3</v>
      </c>
      <c r="M57" s="340">
        <v>5.7499999999999999E-3</v>
      </c>
      <c r="N57" s="340">
        <v>5.7400000000000003E-3</v>
      </c>
      <c r="O57" s="340">
        <v>5.7400000000000003E-3</v>
      </c>
      <c r="P57" s="340">
        <v>5.7300000000000007E-3</v>
      </c>
      <c r="Q57" s="340">
        <v>5.7300000000000007E-3</v>
      </c>
      <c r="R57" s="340">
        <v>5.7300000000000007E-3</v>
      </c>
      <c r="S57" s="340">
        <v>5.7300000000000007E-3</v>
      </c>
      <c r="T57" s="340">
        <v>5.7300000000000007E-3</v>
      </c>
      <c r="U57" s="340">
        <v>5.7300000000000007E-3</v>
      </c>
      <c r="V57" s="340">
        <v>5.7300000000000007E-3</v>
      </c>
      <c r="W57" s="340">
        <v>5.7300000000000007E-3</v>
      </c>
      <c r="X57" s="340">
        <v>5.7300000000000007E-3</v>
      </c>
      <c r="Y57" s="340">
        <v>5.7300000000000007E-3</v>
      </c>
      <c r="Z57" s="340">
        <v>5.7300000000000007E-3</v>
      </c>
      <c r="AA57" s="340">
        <v>5.7300000000000007E-3</v>
      </c>
      <c r="AB57" s="340">
        <v>5.7300000000000007E-3</v>
      </c>
      <c r="AC57" s="340">
        <v>5.7300000000000007E-3</v>
      </c>
      <c r="AD57" s="340">
        <v>5.7300000000000007E-3</v>
      </c>
      <c r="AE57" s="340">
        <v>5.7300000000000007E-3</v>
      </c>
      <c r="AF57" s="340">
        <v>5.7300000000000007E-3</v>
      </c>
      <c r="AG57" s="340">
        <v>5.7300000000000007E-3</v>
      </c>
      <c r="AH57" s="340">
        <v>5.7300000000000007E-3</v>
      </c>
      <c r="AI57" s="340">
        <v>5.7300000000000007E-3</v>
      </c>
      <c r="AJ57" s="340">
        <v>5.7300000000000007E-3</v>
      </c>
      <c r="AK57" s="340">
        <v>5.7300000000000007E-3</v>
      </c>
      <c r="AL57" s="340">
        <v>5.7300000000000007E-3</v>
      </c>
      <c r="AM57" s="340">
        <v>5.7300000000000007E-3</v>
      </c>
      <c r="AN57" s="340">
        <v>5.7300000000000007E-3</v>
      </c>
      <c r="AO57" s="340">
        <v>5.7300000000000007E-3</v>
      </c>
      <c r="AP57" s="340">
        <v>5.7300000000000007E-3</v>
      </c>
      <c r="AQ57" s="340">
        <v>5.7300000000000007E-3</v>
      </c>
      <c r="AR57" s="340">
        <v>5.7300000000000007E-3</v>
      </c>
      <c r="AS57" s="340">
        <v>5.7300000000000007E-3</v>
      </c>
      <c r="AT57" s="340">
        <v>5.7300000000000007E-3</v>
      </c>
      <c r="AU57" s="340">
        <v>5.7300000000000007E-3</v>
      </c>
      <c r="AV57" s="340">
        <v>5.7300000000000007E-3</v>
      </c>
      <c r="AW57" s="340">
        <v>5.7300000000000007E-3</v>
      </c>
      <c r="AX57" s="340">
        <v>5.7300000000000007E-3</v>
      </c>
      <c r="AY57" s="341">
        <v>5.7300000000000007E-3</v>
      </c>
    </row>
    <row r="58" spans="1:51">
      <c r="A58" s="338" t="s">
        <v>2889</v>
      </c>
      <c r="B58" s="342">
        <f>(58.5/1000)*15</f>
        <v>0.87750000000000006</v>
      </c>
      <c r="C58" s="343">
        <f t="shared" ref="C58:AD59" si="33">(58.5/1000)*15</f>
        <v>0.87750000000000006</v>
      </c>
      <c r="D58" s="343">
        <f t="shared" si="33"/>
        <v>0.87750000000000006</v>
      </c>
      <c r="E58" s="343">
        <f t="shared" si="33"/>
        <v>0.87750000000000006</v>
      </c>
      <c r="F58" s="343">
        <f t="shared" si="33"/>
        <v>0.87750000000000006</v>
      </c>
      <c r="G58" s="343">
        <f t="shared" si="33"/>
        <v>0.87750000000000006</v>
      </c>
      <c r="H58" s="343">
        <f t="shared" si="33"/>
        <v>0.87750000000000006</v>
      </c>
      <c r="I58" s="343">
        <f t="shared" si="33"/>
        <v>0.87750000000000006</v>
      </c>
      <c r="J58" s="343">
        <f t="shared" si="33"/>
        <v>0.87750000000000006</v>
      </c>
      <c r="K58" s="343">
        <f t="shared" si="33"/>
        <v>0.87750000000000006</v>
      </c>
      <c r="L58" s="343">
        <f t="shared" si="33"/>
        <v>0.87750000000000006</v>
      </c>
      <c r="M58" s="343">
        <f t="shared" si="33"/>
        <v>0.87750000000000006</v>
      </c>
      <c r="N58" s="343">
        <f t="shared" si="33"/>
        <v>0.87750000000000006</v>
      </c>
      <c r="O58" s="343">
        <f t="shared" si="33"/>
        <v>0.87750000000000006</v>
      </c>
      <c r="P58" s="343">
        <f t="shared" si="33"/>
        <v>0.87750000000000006</v>
      </c>
      <c r="Q58" s="343">
        <f t="shared" si="33"/>
        <v>0.87750000000000006</v>
      </c>
      <c r="R58" s="343">
        <f t="shared" si="33"/>
        <v>0.87750000000000006</v>
      </c>
      <c r="S58" s="343">
        <f t="shared" si="33"/>
        <v>0.87750000000000006</v>
      </c>
      <c r="T58" s="343">
        <f t="shared" si="33"/>
        <v>0.87750000000000006</v>
      </c>
      <c r="U58" s="343">
        <f t="shared" si="33"/>
        <v>0.87750000000000006</v>
      </c>
      <c r="V58" s="343">
        <f t="shared" si="33"/>
        <v>0.87750000000000006</v>
      </c>
      <c r="W58" s="343">
        <f t="shared" si="33"/>
        <v>0.87750000000000006</v>
      </c>
      <c r="X58" s="343">
        <f t="shared" si="33"/>
        <v>0.87750000000000006</v>
      </c>
      <c r="Y58" s="343">
        <f t="shared" si="33"/>
        <v>0.87750000000000006</v>
      </c>
      <c r="Z58" s="343">
        <f t="shared" si="33"/>
        <v>0.87750000000000006</v>
      </c>
      <c r="AA58" s="343">
        <f t="shared" si="33"/>
        <v>0.87750000000000006</v>
      </c>
      <c r="AB58" s="343">
        <f t="shared" si="33"/>
        <v>0.87750000000000006</v>
      </c>
      <c r="AC58" s="343">
        <f t="shared" si="33"/>
        <v>0.87750000000000006</v>
      </c>
      <c r="AD58" s="343">
        <f t="shared" si="33"/>
        <v>0.87750000000000006</v>
      </c>
      <c r="AE58" s="343">
        <f>(58.5/1000)*15</f>
        <v>0.87750000000000006</v>
      </c>
      <c r="AF58" s="343">
        <f t="shared" ref="AF58:AY59" si="34">(58.5/1000)*15</f>
        <v>0.87750000000000006</v>
      </c>
      <c r="AG58" s="343">
        <f t="shared" si="34"/>
        <v>0.87750000000000006</v>
      </c>
      <c r="AH58" s="343">
        <f t="shared" si="34"/>
        <v>0.87750000000000006</v>
      </c>
      <c r="AI58" s="343">
        <f t="shared" si="34"/>
        <v>0.87750000000000006</v>
      </c>
      <c r="AJ58" s="343">
        <f t="shared" si="34"/>
        <v>0.87750000000000006</v>
      </c>
      <c r="AK58" s="343">
        <f t="shared" si="34"/>
        <v>0.87750000000000006</v>
      </c>
      <c r="AL58" s="343">
        <f t="shared" si="34"/>
        <v>0.87750000000000006</v>
      </c>
      <c r="AM58" s="343">
        <f t="shared" si="34"/>
        <v>0.87750000000000006</v>
      </c>
      <c r="AN58" s="343">
        <f t="shared" si="34"/>
        <v>0.87750000000000006</v>
      </c>
      <c r="AO58" s="343">
        <f t="shared" si="34"/>
        <v>0.87750000000000006</v>
      </c>
      <c r="AP58" s="343">
        <f t="shared" si="34"/>
        <v>0.87750000000000006</v>
      </c>
      <c r="AQ58" s="343">
        <f t="shared" si="34"/>
        <v>0.87750000000000006</v>
      </c>
      <c r="AR58" s="343">
        <f t="shared" si="34"/>
        <v>0.87750000000000006</v>
      </c>
      <c r="AS58" s="343">
        <f t="shared" si="34"/>
        <v>0.87750000000000006</v>
      </c>
      <c r="AT58" s="343">
        <f t="shared" si="34"/>
        <v>0.87750000000000006</v>
      </c>
      <c r="AU58" s="343">
        <f t="shared" si="34"/>
        <v>0.87750000000000006</v>
      </c>
      <c r="AV58" s="343">
        <f t="shared" si="34"/>
        <v>0.87750000000000006</v>
      </c>
      <c r="AW58" s="343">
        <f t="shared" si="34"/>
        <v>0.87750000000000006</v>
      </c>
      <c r="AX58" s="343">
        <f t="shared" si="34"/>
        <v>0.87750000000000006</v>
      </c>
      <c r="AY58" s="344">
        <f t="shared" si="34"/>
        <v>0.87750000000000006</v>
      </c>
    </row>
    <row r="59" spans="1:51" ht="12.75" thickBot="1">
      <c r="A59" s="345" t="s">
        <v>2890</v>
      </c>
      <c r="B59" s="346">
        <f>(58.5/1000)*15</f>
        <v>0.87750000000000006</v>
      </c>
      <c r="C59" s="347">
        <f t="shared" si="33"/>
        <v>0.87750000000000006</v>
      </c>
      <c r="D59" s="347">
        <f t="shared" si="33"/>
        <v>0.87750000000000006</v>
      </c>
      <c r="E59" s="347">
        <f t="shared" si="33"/>
        <v>0.87750000000000006</v>
      </c>
      <c r="F59" s="347">
        <f t="shared" si="33"/>
        <v>0.87750000000000006</v>
      </c>
      <c r="G59" s="347">
        <f t="shared" si="33"/>
        <v>0.87750000000000006</v>
      </c>
      <c r="H59" s="347">
        <f t="shared" si="33"/>
        <v>0.87750000000000006</v>
      </c>
      <c r="I59" s="347">
        <f t="shared" si="33"/>
        <v>0.87750000000000006</v>
      </c>
      <c r="J59" s="347">
        <f t="shared" si="33"/>
        <v>0.87750000000000006</v>
      </c>
      <c r="K59" s="347">
        <f t="shared" si="33"/>
        <v>0.87750000000000006</v>
      </c>
      <c r="L59" s="347">
        <f t="shared" si="33"/>
        <v>0.87750000000000006</v>
      </c>
      <c r="M59" s="347">
        <f t="shared" si="33"/>
        <v>0.87750000000000006</v>
      </c>
      <c r="N59" s="347">
        <f t="shared" si="33"/>
        <v>0.87750000000000006</v>
      </c>
      <c r="O59" s="347">
        <f t="shared" si="33"/>
        <v>0.87750000000000006</v>
      </c>
      <c r="P59" s="347">
        <f t="shared" si="33"/>
        <v>0.87750000000000006</v>
      </c>
      <c r="Q59" s="347">
        <f t="shared" si="33"/>
        <v>0.87750000000000006</v>
      </c>
      <c r="R59" s="347">
        <f t="shared" si="33"/>
        <v>0.87750000000000006</v>
      </c>
      <c r="S59" s="347">
        <f t="shared" si="33"/>
        <v>0.87750000000000006</v>
      </c>
      <c r="T59" s="347">
        <f t="shared" si="33"/>
        <v>0.87750000000000006</v>
      </c>
      <c r="U59" s="347">
        <f t="shared" si="33"/>
        <v>0.87750000000000006</v>
      </c>
      <c r="V59" s="347">
        <f t="shared" si="33"/>
        <v>0.87750000000000006</v>
      </c>
      <c r="W59" s="347">
        <f t="shared" si="33"/>
        <v>0.87750000000000006</v>
      </c>
      <c r="X59" s="347">
        <f t="shared" si="33"/>
        <v>0.87750000000000006</v>
      </c>
      <c r="Y59" s="347">
        <f t="shared" si="33"/>
        <v>0.87750000000000006</v>
      </c>
      <c r="Z59" s="347">
        <f t="shared" si="33"/>
        <v>0.87750000000000006</v>
      </c>
      <c r="AA59" s="347">
        <f t="shared" si="33"/>
        <v>0.87750000000000006</v>
      </c>
      <c r="AB59" s="347">
        <f t="shared" si="33"/>
        <v>0.87750000000000006</v>
      </c>
      <c r="AC59" s="347">
        <f t="shared" si="33"/>
        <v>0.87750000000000006</v>
      </c>
      <c r="AD59" s="347">
        <f t="shared" si="33"/>
        <v>0.87750000000000006</v>
      </c>
      <c r="AE59" s="347">
        <f>(58.5/1000)*15</f>
        <v>0.87750000000000006</v>
      </c>
      <c r="AF59" s="347">
        <f t="shared" si="34"/>
        <v>0.87750000000000006</v>
      </c>
      <c r="AG59" s="347">
        <f t="shared" si="34"/>
        <v>0.87750000000000006</v>
      </c>
      <c r="AH59" s="347">
        <f t="shared" si="34"/>
        <v>0.87750000000000006</v>
      </c>
      <c r="AI59" s="347">
        <f t="shared" si="34"/>
        <v>0.87750000000000006</v>
      </c>
      <c r="AJ59" s="347">
        <f t="shared" si="34"/>
        <v>0.87750000000000006</v>
      </c>
      <c r="AK59" s="347">
        <f t="shared" si="34"/>
        <v>0.87750000000000006</v>
      </c>
      <c r="AL59" s="347">
        <f t="shared" si="34"/>
        <v>0.87750000000000006</v>
      </c>
      <c r="AM59" s="347">
        <f t="shared" si="34"/>
        <v>0.87750000000000006</v>
      </c>
      <c r="AN59" s="347">
        <f t="shared" si="34"/>
        <v>0.87750000000000006</v>
      </c>
      <c r="AO59" s="347">
        <f t="shared" si="34"/>
        <v>0.87750000000000006</v>
      </c>
      <c r="AP59" s="347">
        <f t="shared" si="34"/>
        <v>0.87750000000000006</v>
      </c>
      <c r="AQ59" s="347">
        <f t="shared" si="34"/>
        <v>0.87750000000000006</v>
      </c>
      <c r="AR59" s="347">
        <f t="shared" si="34"/>
        <v>0.87750000000000006</v>
      </c>
      <c r="AS59" s="347">
        <f t="shared" si="34"/>
        <v>0.87750000000000006</v>
      </c>
      <c r="AT59" s="347">
        <f t="shared" si="34"/>
        <v>0.87750000000000006</v>
      </c>
      <c r="AU59" s="347">
        <f t="shared" si="34"/>
        <v>0.87750000000000006</v>
      </c>
      <c r="AV59" s="347">
        <f t="shared" si="34"/>
        <v>0.87750000000000006</v>
      </c>
      <c r="AW59" s="347">
        <f t="shared" si="34"/>
        <v>0.87750000000000006</v>
      </c>
      <c r="AX59" s="347">
        <f t="shared" si="34"/>
        <v>0.87750000000000006</v>
      </c>
      <c r="AY59" s="348">
        <f t="shared" si="34"/>
        <v>0.87750000000000006</v>
      </c>
    </row>
    <row r="60" spans="1:51">
      <c r="B60" s="325"/>
      <c r="C60" s="325"/>
      <c r="D60" s="325"/>
      <c r="E60" s="325"/>
      <c r="F60" s="325"/>
      <c r="G60" s="325"/>
      <c r="H60" s="325"/>
      <c r="I60" s="325"/>
      <c r="J60" s="325"/>
      <c r="K60" s="325"/>
      <c r="L60" s="325"/>
      <c r="M60" s="325"/>
      <c r="N60" s="325"/>
      <c r="O60" s="325"/>
      <c r="P60" s="325"/>
      <c r="Q60" s="325"/>
      <c r="R60" s="325"/>
      <c r="S60" s="325"/>
      <c r="T60" s="325"/>
      <c r="U60" s="325"/>
      <c r="V60" s="325"/>
      <c r="W60" s="325"/>
      <c r="X60" s="325"/>
      <c r="Y60" s="325"/>
      <c r="Z60" s="325"/>
      <c r="AA60" s="325"/>
      <c r="AB60" s="325"/>
      <c r="AC60" s="325"/>
      <c r="AD60" s="325"/>
      <c r="AE60" s="325"/>
    </row>
    <row r="61" spans="1:51" ht="15.75" thickBot="1">
      <c r="A61" s="329" t="s">
        <v>2891</v>
      </c>
      <c r="B61" s="325"/>
      <c r="C61" s="325"/>
      <c r="D61" s="325"/>
      <c r="E61" s="325"/>
      <c r="F61" s="325"/>
      <c r="G61" s="325"/>
      <c r="H61" s="325"/>
      <c r="I61" s="325"/>
      <c r="J61" s="325"/>
      <c r="K61" s="325"/>
      <c r="L61" s="325"/>
      <c r="M61" s="325"/>
      <c r="N61" s="325"/>
      <c r="O61" s="325"/>
      <c r="P61" s="325"/>
      <c r="Q61" s="325"/>
      <c r="R61" s="325"/>
      <c r="S61" s="325"/>
      <c r="T61" s="325"/>
      <c r="U61" s="325"/>
      <c r="V61" s="325"/>
      <c r="W61" s="325"/>
      <c r="X61" s="325"/>
      <c r="Y61" s="325"/>
      <c r="Z61" s="325"/>
      <c r="AA61" s="325"/>
      <c r="AB61" s="325"/>
      <c r="AC61" s="325"/>
      <c r="AD61" s="325"/>
      <c r="AE61" s="325"/>
    </row>
    <row r="62" spans="1:51" ht="12.75" thickBot="1">
      <c r="A62" s="330" t="s">
        <v>2886</v>
      </c>
      <c r="B62" s="331">
        <v>1</v>
      </c>
      <c r="C62" s="332">
        <v>2</v>
      </c>
      <c r="D62" s="332">
        <v>3</v>
      </c>
      <c r="E62" s="332">
        <v>4</v>
      </c>
      <c r="F62" s="332">
        <v>5</v>
      </c>
      <c r="G62" s="332">
        <v>6</v>
      </c>
      <c r="H62" s="332">
        <v>7</v>
      </c>
      <c r="I62" s="332">
        <v>8</v>
      </c>
      <c r="J62" s="332">
        <v>9</v>
      </c>
      <c r="K62" s="332">
        <v>10</v>
      </c>
      <c r="L62" s="332">
        <v>11</v>
      </c>
      <c r="M62" s="332">
        <v>12</v>
      </c>
      <c r="N62" s="332">
        <v>13</v>
      </c>
      <c r="O62" s="332">
        <v>14</v>
      </c>
      <c r="P62" s="332">
        <v>15</v>
      </c>
      <c r="Q62" s="332">
        <v>16</v>
      </c>
      <c r="R62" s="332">
        <v>17</v>
      </c>
      <c r="S62" s="332">
        <v>18</v>
      </c>
      <c r="T62" s="332">
        <v>19</v>
      </c>
      <c r="U62" s="332">
        <v>20</v>
      </c>
      <c r="V62" s="332">
        <v>21</v>
      </c>
      <c r="W62" s="332">
        <v>22</v>
      </c>
      <c r="X62" s="332">
        <v>23</v>
      </c>
      <c r="Y62" s="332">
        <v>24</v>
      </c>
      <c r="Z62" s="332">
        <v>25</v>
      </c>
      <c r="AA62" s="332">
        <v>26</v>
      </c>
      <c r="AB62" s="332">
        <v>27</v>
      </c>
      <c r="AC62" s="332">
        <v>28</v>
      </c>
      <c r="AD62" s="332">
        <v>29</v>
      </c>
      <c r="AE62" s="332">
        <v>30</v>
      </c>
      <c r="AF62" s="332">
        <f t="shared" ref="AF62:AY62" si="35">AE62+1</f>
        <v>31</v>
      </c>
      <c r="AG62" s="332">
        <f t="shared" si="35"/>
        <v>32</v>
      </c>
      <c r="AH62" s="332">
        <f t="shared" si="35"/>
        <v>33</v>
      </c>
      <c r="AI62" s="332">
        <f t="shared" si="35"/>
        <v>34</v>
      </c>
      <c r="AJ62" s="332">
        <f t="shared" si="35"/>
        <v>35</v>
      </c>
      <c r="AK62" s="332">
        <f t="shared" si="35"/>
        <v>36</v>
      </c>
      <c r="AL62" s="332">
        <f t="shared" si="35"/>
        <v>37</v>
      </c>
      <c r="AM62" s="332">
        <f t="shared" si="35"/>
        <v>38</v>
      </c>
      <c r="AN62" s="332">
        <f t="shared" si="35"/>
        <v>39</v>
      </c>
      <c r="AO62" s="332">
        <f t="shared" si="35"/>
        <v>40</v>
      </c>
      <c r="AP62" s="332">
        <f t="shared" si="35"/>
        <v>41</v>
      </c>
      <c r="AQ62" s="332">
        <f t="shared" si="35"/>
        <v>42</v>
      </c>
      <c r="AR62" s="332">
        <f t="shared" si="35"/>
        <v>43</v>
      </c>
      <c r="AS62" s="332">
        <f t="shared" si="35"/>
        <v>44</v>
      </c>
      <c r="AT62" s="332">
        <f t="shared" si="35"/>
        <v>45</v>
      </c>
      <c r="AU62" s="332">
        <f t="shared" si="35"/>
        <v>46</v>
      </c>
      <c r="AV62" s="332">
        <f t="shared" si="35"/>
        <v>47</v>
      </c>
      <c r="AW62" s="332">
        <f t="shared" si="35"/>
        <v>48</v>
      </c>
      <c r="AX62" s="332">
        <f t="shared" si="35"/>
        <v>49</v>
      </c>
      <c r="AY62" s="333">
        <f t="shared" si="35"/>
        <v>50</v>
      </c>
    </row>
    <row r="63" spans="1:51">
      <c r="A63" s="334" t="s">
        <v>2908</v>
      </c>
      <c r="B63" s="335">
        <f t="shared" ref="B63:B70" si="36">B52/(1+$C$3)^(B$16-0.5)</f>
        <v>8.5206400239737412E-2</v>
      </c>
      <c r="C63" s="336">
        <f t="shared" ref="C63:AY68" si="37">(C52/(1+$C$3)^(C$16-0.5)+B63)</f>
        <v>0.16451042760114354</v>
      </c>
      <c r="D63" s="336">
        <f t="shared" si="37"/>
        <v>0.23832236978756499</v>
      </c>
      <c r="E63" s="336">
        <f t="shared" si="37"/>
        <v>0.30798647437045851</v>
      </c>
      <c r="F63" s="336">
        <f t="shared" si="37"/>
        <v>0.37373658884080163</v>
      </c>
      <c r="G63" s="336">
        <f t="shared" si="37"/>
        <v>0.43579222177929561</v>
      </c>
      <c r="H63" s="336">
        <f t="shared" si="37"/>
        <v>0.49475771457761608</v>
      </c>
      <c r="I63" s="336">
        <f t="shared" si="37"/>
        <v>0.55078588649745475</v>
      </c>
      <c r="J63" s="336">
        <f t="shared" si="37"/>
        <v>0.60402397376096717</v>
      </c>
      <c r="K63" s="336">
        <f t="shared" si="37"/>
        <v>0.65460996611353206</v>
      </c>
      <c r="L63" s="336">
        <f t="shared" si="37"/>
        <v>0.70267680265677168</v>
      </c>
      <c r="M63" s="336">
        <f t="shared" si="37"/>
        <v>0.74834908215756024</v>
      </c>
      <c r="N63" s="336">
        <f t="shared" si="37"/>
        <v>0.79174683445042526</v>
      </c>
      <c r="O63" s="336">
        <f t="shared" si="37"/>
        <v>0.83298329864125598</v>
      </c>
      <c r="P63" s="336">
        <f t="shared" si="37"/>
        <v>0.87216607802958224</v>
      </c>
      <c r="Q63" s="336">
        <f t="shared" si="37"/>
        <v>0.90930615327918052</v>
      </c>
      <c r="R63" s="336">
        <f t="shared" si="37"/>
        <v>0.94451001607500829</v>
      </c>
      <c r="S63" s="336">
        <f t="shared" si="37"/>
        <v>0.9778786064028071</v>
      </c>
      <c r="T63" s="336">
        <f t="shared" si="37"/>
        <v>1.0095076019741804</v>
      </c>
      <c r="U63" s="336">
        <f t="shared" si="37"/>
        <v>1.03948769256316</v>
      </c>
      <c r="V63" s="336">
        <f t="shared" si="37"/>
        <v>1.0679048400408657</v>
      </c>
      <c r="W63" s="336">
        <f t="shared" si="37"/>
        <v>1.0948405248538569</v>
      </c>
      <c r="X63" s="336">
        <f t="shared" si="37"/>
        <v>1.1203719796529006</v>
      </c>
      <c r="Y63" s="336">
        <f t="shared" si="37"/>
        <v>1.1445724107420416</v>
      </c>
      <c r="Z63" s="336">
        <f t="shared" si="37"/>
        <v>1.1675112079829335</v>
      </c>
      <c r="AA63" s="336">
        <f t="shared" si="37"/>
        <v>1.1892541437562907</v>
      </c>
      <c r="AB63" s="336">
        <f t="shared" si="37"/>
        <v>1.2098635615509421</v>
      </c>
      <c r="AC63" s="336">
        <f t="shared" si="37"/>
        <v>1.2293985547212278</v>
      </c>
      <c r="AD63" s="336">
        <f t="shared" si="37"/>
        <v>1.2479151359252902</v>
      </c>
      <c r="AE63" s="336">
        <f t="shared" si="37"/>
        <v>1.2654663977300886</v>
      </c>
      <c r="AF63" s="336">
        <f t="shared" si="37"/>
        <v>1.2821026648436415</v>
      </c>
      <c r="AG63" s="336">
        <f t="shared" si="37"/>
        <v>1.2978716384109903</v>
      </c>
      <c r="AH63" s="336">
        <f t="shared" si="37"/>
        <v>1.3128185327876243</v>
      </c>
      <c r="AI63" s="336">
        <f t="shared" si="37"/>
        <v>1.3269862051825381</v>
      </c>
      <c r="AJ63" s="336">
        <f t="shared" si="37"/>
        <v>1.3404152785426457</v>
      </c>
      <c r="AK63" s="336">
        <f t="shared" si="37"/>
        <v>1.3531442580308997</v>
      </c>
      <c r="AL63" s="336">
        <f t="shared" si="37"/>
        <v>1.365209641432088</v>
      </c>
      <c r="AM63" s="336">
        <f t="shared" si="37"/>
        <v>1.3766460238028828</v>
      </c>
      <c r="AN63" s="336">
        <f t="shared" si="37"/>
        <v>1.3874861966661953</v>
      </c>
      <c r="AO63" s="336">
        <f t="shared" si="37"/>
        <v>1.397761242034264</v>
      </c>
      <c r="AP63" s="336">
        <f t="shared" si="37"/>
        <v>1.4075006215300638</v>
      </c>
      <c r="AQ63" s="336">
        <f t="shared" si="37"/>
        <v>1.4167322608625754</v>
      </c>
      <c r="AR63" s="336">
        <f t="shared" si="37"/>
        <v>1.4254826298981316</v>
      </c>
      <c r="AS63" s="336">
        <f t="shared" si="37"/>
        <v>1.4337768185574264</v>
      </c>
      <c r="AT63" s="336">
        <f t="shared" si="37"/>
        <v>1.4416386087558102</v>
      </c>
      <c r="AU63" s="336">
        <f t="shared" si="37"/>
        <v>1.4490905425931406</v>
      </c>
      <c r="AV63" s="336">
        <f t="shared" si="37"/>
        <v>1.4561539869887146</v>
      </c>
      <c r="AW63" s="336">
        <f t="shared" si="37"/>
        <v>1.4628491949466047</v>
      </c>
      <c r="AX63" s="336">
        <f t="shared" si="37"/>
        <v>1.4691953636270692</v>
      </c>
      <c r="AY63" s="337">
        <f t="shared" si="37"/>
        <v>1.4752106893905426</v>
      </c>
    </row>
    <row r="64" spans="1:51">
      <c r="A64" s="338" t="s">
        <v>2909</v>
      </c>
      <c r="B64" s="342">
        <f t="shared" si="36"/>
        <v>210.33228787573969</v>
      </c>
      <c r="C64" s="343">
        <f t="shared" si="37"/>
        <v>410.21052136868792</v>
      </c>
      <c r="D64" s="343">
        <f t="shared" si="37"/>
        <v>600.06784192242003</v>
      </c>
      <c r="E64" s="343">
        <f t="shared" si="37"/>
        <v>785.26298231183046</v>
      </c>
      <c r="F64" s="343">
        <f t="shared" si="37"/>
        <v>958.51431431240144</v>
      </c>
      <c r="G64" s="343">
        <f t="shared" si="37"/>
        <v>1118.0139202276946</v>
      </c>
      <c r="H64" s="343">
        <f t="shared" si="37"/>
        <v>1275.5615450504117</v>
      </c>
      <c r="I64" s="343">
        <f t="shared" si="37"/>
        <v>1433.911278647302</v>
      </c>
      <c r="J64" s="343">
        <f t="shared" si="37"/>
        <v>1585.0473555660008</v>
      </c>
      <c r="K64" s="343">
        <f t="shared" si="37"/>
        <v>1729.2066609542208</v>
      </c>
      <c r="L64" s="343">
        <f t="shared" si="37"/>
        <v>1866.6368355609291</v>
      </c>
      <c r="M64" s="343">
        <f t="shared" si="37"/>
        <v>1997.5838904096681</v>
      </c>
      <c r="N64" s="343">
        <f t="shared" si="37"/>
        <v>2121.7043215459134</v>
      </c>
      <c r="O64" s="343">
        <f t="shared" si="37"/>
        <v>2239.3540193053877</v>
      </c>
      <c r="P64" s="343">
        <f t="shared" si="37"/>
        <v>2350.8703204992025</v>
      </c>
      <c r="Q64" s="343">
        <f t="shared" si="37"/>
        <v>2456.5729756592164</v>
      </c>
      <c r="R64" s="343">
        <f t="shared" si="37"/>
        <v>2556.7650658582816</v>
      </c>
      <c r="S64" s="343">
        <f t="shared" si="37"/>
        <v>2651.7338717341727</v>
      </c>
      <c r="T64" s="343">
        <f t="shared" si="37"/>
        <v>2741.7516972089511</v>
      </c>
      <c r="U64" s="343">
        <f t="shared" si="37"/>
        <v>2827.0766502656134</v>
      </c>
      <c r="V64" s="343">
        <f t="shared" si="37"/>
        <v>2907.9533830207433</v>
      </c>
      <c r="W64" s="343">
        <f t="shared" si="37"/>
        <v>2984.6137932151792</v>
      </c>
      <c r="X64" s="343">
        <f t="shared" si="37"/>
        <v>3057.2776891340759</v>
      </c>
      <c r="Y64" s="343">
        <f t="shared" si="37"/>
        <v>3126.1534198628879</v>
      </c>
      <c r="Z64" s="343">
        <f t="shared" si="37"/>
        <v>3191.4384726864064</v>
      </c>
      <c r="AA64" s="343">
        <f t="shared" si="37"/>
        <v>3253.3200393437701</v>
      </c>
      <c r="AB64" s="343">
        <f t="shared" si="37"/>
        <v>3311.9755527630718</v>
      </c>
      <c r="AC64" s="343">
        <f t="shared" si="37"/>
        <v>3367.5731958145429</v>
      </c>
      <c r="AD64" s="343">
        <f t="shared" si="37"/>
        <v>3420.2723835410557</v>
      </c>
      <c r="AE64" s="343">
        <f t="shared" si="37"/>
        <v>3470.2242202486509</v>
      </c>
      <c r="AF64" s="343">
        <f t="shared" si="37"/>
        <v>3517.5719327676984</v>
      </c>
      <c r="AG64" s="343">
        <f t="shared" si="37"/>
        <v>3562.4512811269851</v>
      </c>
      <c r="AH64" s="343">
        <f t="shared" si="37"/>
        <v>3604.9909478182522</v>
      </c>
      <c r="AI64" s="343">
        <f t="shared" si="37"/>
        <v>3645.3129067673203</v>
      </c>
      <c r="AJ64" s="343">
        <f t="shared" si="37"/>
        <v>3683.5327730697545</v>
      </c>
      <c r="AK64" s="343">
        <f t="shared" si="37"/>
        <v>3719.760134493863</v>
      </c>
      <c r="AL64" s="343">
        <f t="shared" si="37"/>
        <v>3754.0988657015487</v>
      </c>
      <c r="AM64" s="343">
        <f t="shared" si="37"/>
        <v>3786.6474260879804</v>
      </c>
      <c r="AN64" s="343">
        <f t="shared" si="37"/>
        <v>3817.4991420940769</v>
      </c>
      <c r="AO64" s="343">
        <f t="shared" si="37"/>
        <v>3846.7424748012777</v>
      </c>
      <c r="AP64" s="343">
        <f t="shared" si="37"/>
        <v>3874.4612735758756</v>
      </c>
      <c r="AQ64" s="343">
        <f t="shared" si="37"/>
        <v>3900.7350164901864</v>
      </c>
      <c r="AR64" s="343">
        <f t="shared" si="37"/>
        <v>3925.6390382099121</v>
      </c>
      <c r="AS64" s="343">
        <f t="shared" si="37"/>
        <v>3949.2447460011213</v>
      </c>
      <c r="AT64" s="343">
        <f t="shared" si="37"/>
        <v>3971.6198244762013</v>
      </c>
      <c r="AU64" s="343">
        <f t="shared" si="37"/>
        <v>3992.8284296658503</v>
      </c>
      <c r="AV64" s="343">
        <f t="shared" si="37"/>
        <v>4012.9313729735745</v>
      </c>
      <c r="AW64" s="343">
        <f t="shared" si="37"/>
        <v>4031.9862955401377</v>
      </c>
      <c r="AX64" s="343">
        <f t="shared" si="37"/>
        <v>4050.0478335179228</v>
      </c>
      <c r="AY64" s="344">
        <f t="shared" si="37"/>
        <v>4067.1677747290937</v>
      </c>
    </row>
    <row r="65" spans="1:51">
      <c r="A65" s="338" t="s">
        <v>2910</v>
      </c>
      <c r="B65" s="342">
        <f t="shared" si="36"/>
        <v>13.279696222186503</v>
      </c>
      <c r="C65" s="343">
        <f t="shared" si="37"/>
        <v>25.654835298747013</v>
      </c>
      <c r="D65" s="343">
        <f t="shared" si="37"/>
        <v>37.192386635892532</v>
      </c>
      <c r="E65" s="343">
        <f t="shared" si="37"/>
        <v>48.128454254039944</v>
      </c>
      <c r="F65" s="343">
        <f t="shared" si="37"/>
        <v>58.494395124321855</v>
      </c>
      <c r="G65" s="343">
        <f t="shared" si="37"/>
        <v>68.319931494257318</v>
      </c>
      <c r="H65" s="343">
        <f t="shared" si="37"/>
        <v>77.689723173940223</v>
      </c>
      <c r="I65" s="343">
        <f t="shared" si="37"/>
        <v>86.617891761958674</v>
      </c>
      <c r="J65" s="343">
        <f t="shared" si="37"/>
        <v>95.131361741509721</v>
      </c>
      <c r="K65" s="343">
        <f t="shared" si="37"/>
        <v>103.20100153255336</v>
      </c>
      <c r="L65" s="343">
        <f t="shared" si="37"/>
        <v>110.84994920178904</v>
      </c>
      <c r="M65" s="343">
        <f t="shared" si="37"/>
        <v>118.10013656599348</v>
      </c>
      <c r="N65" s="343">
        <f t="shared" si="37"/>
        <v>124.97235207708773</v>
      </c>
      <c r="O65" s="343">
        <f t="shared" si="37"/>
        <v>131.48630042883585</v>
      </c>
      <c r="P65" s="343">
        <f t="shared" si="37"/>
        <v>137.66065905608525</v>
      </c>
      <c r="Q65" s="343">
        <f t="shared" si="37"/>
        <v>143.51313168854912</v>
      </c>
      <c r="R65" s="343">
        <f t="shared" si="37"/>
        <v>149.06049911268551</v>
      </c>
      <c r="S65" s="343">
        <f t="shared" si="37"/>
        <v>154.31866728722235</v>
      </c>
      <c r="T65" s="343">
        <f t="shared" si="37"/>
        <v>159.30271295029047</v>
      </c>
      <c r="U65" s="343">
        <f t="shared" si="37"/>
        <v>164.02692684893321</v>
      </c>
      <c r="V65" s="343">
        <f t="shared" si="37"/>
        <v>168.50485471494531</v>
      </c>
      <c r="W65" s="343">
        <f t="shared" si="37"/>
        <v>172.74933610453024</v>
      </c>
      <c r="X65" s="343">
        <f t="shared" si="37"/>
        <v>176.77254121314155</v>
      </c>
      <c r="Y65" s="343">
        <f t="shared" si="37"/>
        <v>180.58600577106697</v>
      </c>
      <c r="Z65" s="343">
        <f t="shared" si="37"/>
        <v>184.20066411981142</v>
      </c>
      <c r="AA65" s="343">
        <f t="shared" si="37"/>
        <v>187.62688056411898</v>
      </c>
      <c r="AB65" s="343">
        <f t="shared" si="37"/>
        <v>190.87447908952896</v>
      </c>
      <c r="AC65" s="343">
        <f t="shared" si="37"/>
        <v>193.95277153067588</v>
      </c>
      <c r="AD65" s="343">
        <f t="shared" si="37"/>
        <v>196.87058427109949</v>
      </c>
      <c r="AE65" s="343">
        <f t="shared" si="37"/>
        <v>199.63628355112186</v>
      </c>
      <c r="AF65" s="343">
        <f t="shared" si="37"/>
        <v>202.25779945635634</v>
      </c>
      <c r="AG65" s="343">
        <f t="shared" si="37"/>
        <v>204.74264865563075</v>
      </c>
      <c r="AH65" s="343">
        <f t="shared" si="37"/>
        <v>207.09795595352116</v>
      </c>
      <c r="AI65" s="343">
        <f t="shared" si="37"/>
        <v>209.33047471929407</v>
      </c>
      <c r="AJ65" s="343">
        <f t="shared" si="37"/>
        <v>211.44660625083239</v>
      </c>
      <c r="AK65" s="343">
        <f t="shared" si="37"/>
        <v>213.45241812906775</v>
      </c>
      <c r="AL65" s="343">
        <f t="shared" si="37"/>
        <v>215.35366161554677</v>
      </c>
      <c r="AM65" s="343">
        <f t="shared" si="37"/>
        <v>217.15578814301503</v>
      </c>
      <c r="AN65" s="343">
        <f t="shared" si="37"/>
        <v>218.86396494630247</v>
      </c>
      <c r="AO65" s="343">
        <f t="shared" si="37"/>
        <v>220.48308987832849</v>
      </c>
      <c r="AP65" s="343">
        <f t="shared" si="37"/>
        <v>222.0178054537086</v>
      </c>
      <c r="AQ65" s="343">
        <f t="shared" si="37"/>
        <v>223.47251216023005</v>
      </c>
      <c r="AR65" s="343">
        <f t="shared" si="37"/>
        <v>224.85138107636411</v>
      </c>
      <c r="AS65" s="343">
        <f t="shared" si="37"/>
        <v>226.15836583099355</v>
      </c>
      <c r="AT65" s="343">
        <f t="shared" si="37"/>
        <v>227.39721393964706</v>
      </c>
      <c r="AU65" s="343">
        <f t="shared" si="37"/>
        <v>228.57147754974517</v>
      </c>
      <c r="AV65" s="343">
        <f t="shared" si="37"/>
        <v>229.68452362566754</v>
      </c>
      <c r="AW65" s="343">
        <f t="shared" si="37"/>
        <v>230.73954360284515</v>
      </c>
      <c r="AX65" s="343">
        <f t="shared" si="37"/>
        <v>231.73956253855852</v>
      </c>
      <c r="AY65" s="344">
        <f t="shared" si="37"/>
        <v>232.68744778568021</v>
      </c>
    </row>
    <row r="66" spans="1:51">
      <c r="A66" s="338" t="s">
        <v>2911</v>
      </c>
      <c r="B66" s="342">
        <f t="shared" si="36"/>
        <v>11.695187013857431</v>
      </c>
      <c r="C66" s="343">
        <f t="shared" si="37"/>
        <v>22.579187967782417</v>
      </c>
      <c r="D66" s="343">
        <f t="shared" si="37"/>
        <v>32.713543302653164</v>
      </c>
      <c r="E66" s="343">
        <f t="shared" si="37"/>
        <v>42.31956731674866</v>
      </c>
      <c r="F66" s="343">
        <f t="shared" si="37"/>
        <v>51.424803349066664</v>
      </c>
      <c r="G66" s="343">
        <f t="shared" si="37"/>
        <v>60.055358829936814</v>
      </c>
      <c r="H66" s="343">
        <f t="shared" si="37"/>
        <v>68.288348354059096</v>
      </c>
      <c r="I66" s="343">
        <f t="shared" si="37"/>
        <v>76.138979353868422</v>
      </c>
      <c r="J66" s="343">
        <f t="shared" si="37"/>
        <v>83.627386101281516</v>
      </c>
      <c r="K66" s="343">
        <f t="shared" si="37"/>
        <v>90.725401975606729</v>
      </c>
      <c r="L66" s="343">
        <f t="shared" si="37"/>
        <v>97.453379107668539</v>
      </c>
      <c r="M66" s="343">
        <f t="shared" si="37"/>
        <v>103.83060861673187</v>
      </c>
      <c r="N66" s="343">
        <f t="shared" si="37"/>
        <v>109.8753759239009</v>
      </c>
      <c r="O66" s="343">
        <f t="shared" si="37"/>
        <v>115.60501318188103</v>
      </c>
      <c r="P66" s="343">
        <f t="shared" si="37"/>
        <v>121.03594897143566</v>
      </c>
      <c r="Q66" s="343">
        <f t="shared" si="37"/>
        <v>126.18375540703246</v>
      </c>
      <c r="R66" s="343">
        <f t="shared" si="37"/>
        <v>131.06319278674508</v>
      </c>
      <c r="S66" s="343">
        <f t="shared" si="37"/>
        <v>135.68825191443474</v>
      </c>
      <c r="T66" s="343">
        <f t="shared" si="37"/>
        <v>140.0721942155624</v>
      </c>
      <c r="U66" s="343">
        <f t="shared" si="37"/>
        <v>144.22758976165497</v>
      </c>
      <c r="V66" s="343">
        <f t="shared" si="37"/>
        <v>148.16635331245359</v>
      </c>
      <c r="W66" s="343">
        <f t="shared" si="37"/>
        <v>151.89977847908739</v>
      </c>
      <c r="X66" s="343">
        <f t="shared" si="37"/>
        <v>155.43857010622841</v>
      </c>
      <c r="Y66" s="343">
        <f t="shared" si="37"/>
        <v>158.79287496607773</v>
      </c>
      <c r="Z66" s="343">
        <f t="shared" si="37"/>
        <v>161.97231085219082</v>
      </c>
      <c r="AA66" s="343">
        <f t="shared" si="37"/>
        <v>164.98599415656341</v>
      </c>
      <c r="AB66" s="343">
        <f t="shared" si="37"/>
        <v>167.84256600904928</v>
      </c>
      <c r="AC66" s="343">
        <f t="shared" si="37"/>
        <v>170.5502170540596</v>
      </c>
      <c r="AD66" s="343">
        <f t="shared" si="37"/>
        <v>173.11671093558596</v>
      </c>
      <c r="AE66" s="343">
        <f t="shared" si="37"/>
        <v>175.54940655788582</v>
      </c>
      <c r="AF66" s="343">
        <f t="shared" si="37"/>
        <v>177.85527918565819</v>
      </c>
      <c r="AG66" s="343">
        <f t="shared" si="37"/>
        <v>180.04094044421021</v>
      </c>
      <c r="AH66" s="343">
        <f t="shared" si="37"/>
        <v>182.11265727696093</v>
      </c>
      <c r="AI66" s="343">
        <f t="shared" si="37"/>
        <v>184.07636991463934</v>
      </c>
      <c r="AJ66" s="343">
        <f t="shared" si="37"/>
        <v>185.93770890769946</v>
      </c>
      <c r="AK66" s="343">
        <f t="shared" si="37"/>
        <v>187.70201127078963</v>
      </c>
      <c r="AL66" s="343">
        <f t="shared" si="37"/>
        <v>189.37433578556704</v>
      </c>
      <c r="AM66" s="343">
        <f t="shared" si="37"/>
        <v>190.95947750573518</v>
      </c>
      <c r="AN66" s="343">
        <f t="shared" si="37"/>
        <v>192.46198150589456</v>
      </c>
      <c r="AO66" s="343">
        <f t="shared" si="37"/>
        <v>193.88615591362858</v>
      </c>
      <c r="AP66" s="343">
        <f t="shared" si="37"/>
        <v>195.23608426219164</v>
      </c>
      <c r="AQ66" s="343">
        <f t="shared" si="37"/>
        <v>196.51563719921822</v>
      </c>
      <c r="AR66" s="343">
        <f t="shared" si="37"/>
        <v>197.7284835850254</v>
      </c>
      <c r="AS66" s="343">
        <f t="shared" si="37"/>
        <v>198.8781010123308</v>
      </c>
      <c r="AT66" s="343">
        <f t="shared" si="37"/>
        <v>199.96778577754918</v>
      </c>
      <c r="AU66" s="343">
        <f t="shared" si="37"/>
        <v>201.00066233225854</v>
      </c>
      <c r="AV66" s="343">
        <f t="shared" si="37"/>
        <v>201.97969224193568</v>
      </c>
      <c r="AW66" s="343">
        <f t="shared" si="37"/>
        <v>202.90768267764861</v>
      </c>
      <c r="AX66" s="343">
        <f t="shared" si="37"/>
        <v>203.78729446505423</v>
      </c>
      <c r="AY66" s="344">
        <f t="shared" si="37"/>
        <v>204.62104971377994</v>
      </c>
    </row>
    <row r="67" spans="1:51">
      <c r="A67" s="338" t="s">
        <v>2912</v>
      </c>
      <c r="B67" s="342">
        <f t="shared" si="36"/>
        <v>6.1182586674026789</v>
      </c>
      <c r="C67" s="343">
        <f t="shared" si="37"/>
        <v>12.428881458877321</v>
      </c>
      <c r="D67" s="343">
        <f t="shared" si="37"/>
        <v>18.663448533001478</v>
      </c>
      <c r="E67" s="343">
        <f t="shared" si="37"/>
        <v>24.758953747497628</v>
      </c>
      <c r="F67" s="343">
        <f t="shared" si="37"/>
        <v>30.680705424846916</v>
      </c>
      <c r="G67" s="343">
        <f t="shared" si="37"/>
        <v>36.409160608562402</v>
      </c>
      <c r="H67" s="343">
        <f t="shared" si="37"/>
        <v>41.933745345919618</v>
      </c>
      <c r="I67" s="343">
        <f t="shared" si="37"/>
        <v>48.071024652675924</v>
      </c>
      <c r="J67" s="343">
        <f t="shared" si="37"/>
        <v>53.344183401899116</v>
      </c>
      <c r="K67" s="343">
        <f t="shared" si="37"/>
        <v>58.387229298572841</v>
      </c>
      <c r="L67" s="343">
        <f t="shared" si="37"/>
        <v>63.206893248542535</v>
      </c>
      <c r="M67" s="343">
        <f t="shared" si="37"/>
        <v>67.810341338564868</v>
      </c>
      <c r="N67" s="343">
        <f t="shared" si="37"/>
        <v>72.205003872916535</v>
      </c>
      <c r="O67" s="343">
        <f t="shared" si="37"/>
        <v>76.382152150713026</v>
      </c>
      <c r="P67" s="343">
        <f t="shared" si="37"/>
        <v>80.342180607180453</v>
      </c>
      <c r="Q67" s="343">
        <f t="shared" si="37"/>
        <v>84.095762082505033</v>
      </c>
      <c r="R67" s="343">
        <f t="shared" si="37"/>
        <v>87.684355750314964</v>
      </c>
      <c r="S67" s="343">
        <f t="shared" si="37"/>
        <v>91.109251998560694</v>
      </c>
      <c r="T67" s="343">
        <f t="shared" si="37"/>
        <v>94.377765658171711</v>
      </c>
      <c r="U67" s="343">
        <f t="shared" si="37"/>
        <v>97.475882871073139</v>
      </c>
      <c r="V67" s="343">
        <f t="shared" si="37"/>
        <v>100.41248686434464</v>
      </c>
      <c r="W67" s="343">
        <f t="shared" si="37"/>
        <v>103.19599775844085</v>
      </c>
      <c r="X67" s="343">
        <f t="shared" si="37"/>
        <v>105.83439671019082</v>
      </c>
      <c r="Y67" s="343">
        <f t="shared" si="37"/>
        <v>108.3352487971576</v>
      </c>
      <c r="Z67" s="343">
        <f t="shared" si="37"/>
        <v>110.70572470897447</v>
      </c>
      <c r="AA67" s="343">
        <f t="shared" si="37"/>
        <v>112.95262130785301</v>
      </c>
      <c r="AB67" s="343">
        <f t="shared" si="37"/>
        <v>115.08238111721656</v>
      </c>
      <c r="AC67" s="343">
        <f t="shared" si="37"/>
        <v>117.1011107943384</v>
      </c>
      <c r="AD67" s="343">
        <f t="shared" si="37"/>
        <v>119.01459863995152</v>
      </c>
      <c r="AE67" s="343">
        <f t="shared" si="37"/>
        <v>120.82833119503505</v>
      </c>
      <c r="AF67" s="343">
        <f t="shared" si="37"/>
        <v>122.54750897236541</v>
      </c>
      <c r="AG67" s="343">
        <f t="shared" si="37"/>
        <v>124.1770613679392</v>
      </c>
      <c r="AH67" s="343">
        <f t="shared" si="37"/>
        <v>125.72166079502338</v>
      </c>
      <c r="AI67" s="343">
        <f t="shared" si="37"/>
        <v>127.1857360813591</v>
      </c>
      <c r="AJ67" s="343">
        <f t="shared" si="37"/>
        <v>128.57348516793323</v>
      </c>
      <c r="AK67" s="343">
        <f t="shared" si="37"/>
        <v>129.8888871457286</v>
      </c>
      <c r="AL67" s="343">
        <f t="shared" si="37"/>
        <v>131.13571366496595</v>
      </c>
      <c r="AM67" s="343">
        <f t="shared" si="37"/>
        <v>132.31753974955109</v>
      </c>
      <c r="AN67" s="343">
        <f t="shared" si="37"/>
        <v>133.43775404773606</v>
      </c>
      <c r="AO67" s="343">
        <f t="shared" si="37"/>
        <v>134.49956854838533</v>
      </c>
      <c r="AP67" s="343">
        <f t="shared" si="37"/>
        <v>135.5060277907069</v>
      </c>
      <c r="AQ67" s="343">
        <f t="shared" si="37"/>
        <v>136.4600175938553</v>
      </c>
      <c r="AR67" s="343">
        <f t="shared" si="37"/>
        <v>137.36427333143675</v>
      </c>
      <c r="AS67" s="343">
        <f t="shared" si="37"/>
        <v>138.2213877746419</v>
      </c>
      <c r="AT67" s="343">
        <f t="shared" si="37"/>
        <v>139.03381852649511</v>
      </c>
      <c r="AU67" s="343">
        <f t="shared" si="37"/>
        <v>139.80389506853609</v>
      </c>
      <c r="AV67" s="343">
        <f t="shared" si="37"/>
        <v>140.53382544013891</v>
      </c>
      <c r="AW67" s="343">
        <f t="shared" si="37"/>
        <v>141.22570256962027</v>
      </c>
      <c r="AX67" s="343">
        <f t="shared" si="37"/>
        <v>141.8815102752898</v>
      </c>
      <c r="AY67" s="344">
        <f t="shared" si="37"/>
        <v>142.50312895364954</v>
      </c>
    </row>
    <row r="68" spans="1:51">
      <c r="A68" s="338" t="s">
        <v>2892</v>
      </c>
      <c r="B68" s="339">
        <f t="shared" si="36"/>
        <v>6.1141123369011178E-3</v>
      </c>
      <c r="C68" s="340">
        <f t="shared" si="37"/>
        <v>1.1835653147838862E-2</v>
      </c>
      <c r="D68" s="340">
        <f t="shared" si="37"/>
        <v>1.718893701314065E-2</v>
      </c>
      <c r="E68" s="340">
        <f t="shared" si="37"/>
        <v>2.2163645558166009E-2</v>
      </c>
      <c r="F68" s="340">
        <f t="shared" si="37"/>
        <v>2.6784701836957338E-2</v>
      </c>
      <c r="G68" s="340">
        <f t="shared" si="37"/>
        <v>3.1082908421834338E-2</v>
      </c>
      <c r="H68" s="340">
        <f t="shared" si="37"/>
        <v>3.5157037886172721E-2</v>
      </c>
      <c r="I68" s="340">
        <f t="shared" si="37"/>
        <v>3.9012079195542004E-2</v>
      </c>
      <c r="J68" s="340">
        <f t="shared" si="37"/>
        <v>4.2666146787361234E-2</v>
      </c>
      <c r="K68" s="340">
        <f t="shared" si="37"/>
        <v>4.6123704820036415E-2</v>
      </c>
      <c r="L68" s="340">
        <f t="shared" si="37"/>
        <v>4.9401011012145592E-2</v>
      </c>
      <c r="M68" s="340">
        <f t="shared" ref="M68:AY70" si="38">(M57/(1+$C$3)^(M$16-0.5)+L68)</f>
        <v>5.2507462379073722E-2</v>
      </c>
      <c r="N68" s="340">
        <f t="shared" si="38"/>
        <v>5.5446845168468734E-2</v>
      </c>
      <c r="O68" s="340">
        <f t="shared" si="38"/>
        <v>5.8232989992539834E-2</v>
      </c>
      <c r="P68" s="340">
        <f t="shared" si="38"/>
        <v>6.0869284697021131E-2</v>
      </c>
      <c r="Q68" s="340">
        <f t="shared" si="38"/>
        <v>6.3368142236813835E-2</v>
      </c>
      <c r="R68" s="340">
        <f t="shared" si="38"/>
        <v>6.5736727582588902E-2</v>
      </c>
      <c r="S68" s="340">
        <f t="shared" si="38"/>
        <v>6.7981832175740636E-2</v>
      </c>
      <c r="T68" s="340">
        <f t="shared" si="38"/>
        <v>7.0109893401476872E-2</v>
      </c>
      <c r="U68" s="340">
        <f t="shared" si="38"/>
        <v>7.2127013046724489E-2</v>
      </c>
      <c r="V68" s="340">
        <f t="shared" si="38"/>
        <v>7.4038974795774357E-2</v>
      </c>
      <c r="W68" s="340">
        <f t="shared" si="38"/>
        <v>7.5851260813831103E-2</v>
      </c>
      <c r="X68" s="340">
        <f t="shared" si="38"/>
        <v>7.7569067466017591E-2</v>
      </c>
      <c r="Y68" s="340">
        <f t="shared" si="38"/>
        <v>7.9197320216905259E-2</v>
      </c>
      <c r="Z68" s="340">
        <f t="shared" si="38"/>
        <v>8.0740687753291684E-2</v>
      </c>
      <c r="AA68" s="340">
        <f t="shared" si="38"/>
        <v>8.220359537071957E-2</v>
      </c>
      <c r="AB68" s="340">
        <f t="shared" si="38"/>
        <v>8.3590237662120412E-2</v>
      </c>
      <c r="AC68" s="340">
        <f t="shared" si="38"/>
        <v>8.4904590544964811E-2</v>
      </c>
      <c r="AD68" s="340">
        <f t="shared" si="38"/>
        <v>8.6150422661405004E-2</v>
      </c>
      <c r="AE68" s="340">
        <f t="shared" si="38"/>
        <v>8.7331306184097124E-2</v>
      </c>
      <c r="AF68" s="340">
        <f t="shared" si="38"/>
        <v>8.8450627058686809E-2</v>
      </c>
      <c r="AG68" s="340">
        <f t="shared" si="38"/>
        <v>8.9511594712326323E-2</v>
      </c>
      <c r="AH68" s="340">
        <f t="shared" si="38"/>
        <v>9.0517251256060458E-2</v>
      </c>
      <c r="AI68" s="340">
        <f t="shared" si="38"/>
        <v>9.1470480207467217E-2</v>
      </c>
      <c r="AJ68" s="340">
        <f t="shared" si="38"/>
        <v>9.2374014758563674E-2</v>
      </c>
      <c r="AK68" s="340">
        <f t="shared" si="38"/>
        <v>9.3230445612683538E-2</v>
      </c>
      <c r="AL68" s="340">
        <f t="shared" si="38"/>
        <v>9.4042228412797163E-2</v>
      </c>
      <c r="AM68" s="340">
        <f t="shared" si="38"/>
        <v>9.4811690782573108E-2</v>
      </c>
      <c r="AN68" s="340">
        <f t="shared" si="38"/>
        <v>9.5541039000370212E-2</v>
      </c>
      <c r="AO68" s="340">
        <f t="shared" si="38"/>
        <v>9.6232364325296374E-2</v>
      </c>
      <c r="AP68" s="340">
        <f t="shared" si="38"/>
        <v>9.6887648993472825E-2</v>
      </c>
      <c r="AQ68" s="340">
        <f t="shared" si="38"/>
        <v>9.7508771901696961E-2</v>
      </c>
      <c r="AR68" s="340">
        <f t="shared" si="38"/>
        <v>9.8097513994800406E-2</v>
      </c>
      <c r="AS68" s="340">
        <f t="shared" si="38"/>
        <v>9.8655563372149632E-2</v>
      </c>
      <c r="AT68" s="340">
        <f t="shared" si="38"/>
        <v>9.91845201279309E-2</v>
      </c>
      <c r="AU68" s="340">
        <f t="shared" si="38"/>
        <v>9.9685900939097974E-2</v>
      </c>
      <c r="AV68" s="340">
        <f t="shared" si="38"/>
        <v>0.10016114341413786</v>
      </c>
      <c r="AW68" s="340">
        <f t="shared" si="38"/>
        <v>0.10061161021512352</v>
      </c>
      <c r="AX68" s="340">
        <f t="shared" si="38"/>
        <v>0.10103859296487297</v>
      </c>
      <c r="AY68" s="341">
        <f t="shared" si="38"/>
        <v>0.10144331595041747</v>
      </c>
    </row>
    <row r="69" spans="1:51">
      <c r="A69" s="338" t="s">
        <v>2893</v>
      </c>
      <c r="B69" s="342">
        <f t="shared" si="36"/>
        <v>0.85432063306221828</v>
      </c>
      <c r="C69" s="343">
        <f t="shared" ref="C69:AH70" si="39">(C58/(1+$C$3)^(C$16-0.5)+B69)</f>
        <v>1.6641032236425202</v>
      </c>
      <c r="D69" s="343">
        <f t="shared" si="39"/>
        <v>2.4316696602115266</v>
      </c>
      <c r="E69" s="343">
        <f t="shared" si="39"/>
        <v>3.1592207849214855</v>
      </c>
      <c r="F69" s="343">
        <f t="shared" si="39"/>
        <v>3.8488427040778443</v>
      </c>
      <c r="G69" s="343">
        <f t="shared" si="39"/>
        <v>4.502512769628896</v>
      </c>
      <c r="H69" s="343">
        <f t="shared" si="39"/>
        <v>5.1221052488242051</v>
      </c>
      <c r="I69" s="343">
        <f t="shared" si="39"/>
        <v>5.7093966982984323</v>
      </c>
      <c r="J69" s="343">
        <f t="shared" si="39"/>
        <v>6.2660710579896426</v>
      </c>
      <c r="K69" s="343">
        <f t="shared" si="39"/>
        <v>6.7937244794978984</v>
      </c>
      <c r="L69" s="343">
        <f t="shared" si="39"/>
        <v>7.2938699027284732</v>
      </c>
      <c r="M69" s="343">
        <f t="shared" si="39"/>
        <v>7.7679413939422881</v>
      </c>
      <c r="N69" s="343">
        <f t="shared" si="39"/>
        <v>8.2172982576520646</v>
      </c>
      <c r="O69" s="343">
        <f t="shared" si="39"/>
        <v>8.643228934154223</v>
      </c>
      <c r="P69" s="343">
        <f t="shared" si="39"/>
        <v>9.0469546938719088</v>
      </c>
      <c r="Q69" s="343">
        <f t="shared" si="39"/>
        <v>9.4296331391019432</v>
      </c>
      <c r="R69" s="343">
        <f t="shared" si="39"/>
        <v>9.7923615232062406</v>
      </c>
      <c r="S69" s="343">
        <f t="shared" si="39"/>
        <v>10.136179896764817</v>
      </c>
      <c r="T69" s="343">
        <f t="shared" si="39"/>
        <v>10.462074089711335</v>
      </c>
      <c r="U69" s="343">
        <f t="shared" si="39"/>
        <v>10.770978538001872</v>
      </c>
      <c r="V69" s="343">
        <f t="shared" si="39"/>
        <v>11.063778962921813</v>
      </c>
      <c r="W69" s="343">
        <f t="shared" si="39"/>
        <v>11.341314910713226</v>
      </c>
      <c r="X69" s="343">
        <f t="shared" si="39"/>
        <v>11.604382159804613</v>
      </c>
      <c r="Y69" s="343">
        <f t="shared" si="39"/>
        <v>11.853735002545264</v>
      </c>
      <c r="Z69" s="343">
        <f t="shared" si="39"/>
        <v>12.09008840798664</v>
      </c>
      <c r="AA69" s="343">
        <f t="shared" si="39"/>
        <v>12.314120071912114</v>
      </c>
      <c r="AB69" s="343">
        <f t="shared" si="39"/>
        <v>12.526472359993132</v>
      </c>
      <c r="AC69" s="343">
        <f t="shared" si="39"/>
        <v>12.727754149643387</v>
      </c>
      <c r="AD69" s="343">
        <f t="shared" si="39"/>
        <v>12.918542575852159</v>
      </c>
      <c r="AE69" s="343">
        <f t="shared" si="39"/>
        <v>13.099384686002654</v>
      </c>
      <c r="AF69" s="343">
        <f t="shared" si="39"/>
        <v>13.270799008420186</v>
      </c>
      <c r="AG69" s="343">
        <f t="shared" si="39"/>
        <v>13.433277039147702</v>
      </c>
      <c r="AH69" s="343">
        <f t="shared" si="39"/>
        <v>13.5872846512117</v>
      </c>
      <c r="AI69" s="343">
        <f t="shared" si="38"/>
        <v>13.73326343041928</v>
      </c>
      <c r="AJ69" s="343">
        <f t="shared" si="38"/>
        <v>13.871631941516512</v>
      </c>
      <c r="AK69" s="343">
        <f t="shared" si="38"/>
        <v>14.002786928338534</v>
      </c>
      <c r="AL69" s="343">
        <f t="shared" si="38"/>
        <v>14.127104451392583</v>
      </c>
      <c r="AM69" s="343">
        <f t="shared" si="38"/>
        <v>14.244940966135758</v>
      </c>
      <c r="AN69" s="343">
        <f t="shared" si="38"/>
        <v>14.356634345039241</v>
      </c>
      <c r="AO69" s="343">
        <f t="shared" si="38"/>
        <v>14.462504846369557</v>
      </c>
      <c r="AP69" s="343">
        <f t="shared" si="38"/>
        <v>14.562856032464643</v>
      </c>
      <c r="AQ69" s="343">
        <f t="shared" si="38"/>
        <v>14.65797564013771</v>
      </c>
      <c r="AR69" s="343">
        <f t="shared" si="38"/>
        <v>14.748136405704599</v>
      </c>
      <c r="AS69" s="343">
        <f t="shared" si="38"/>
        <v>14.833596847000228</v>
      </c>
      <c r="AT69" s="343">
        <f t="shared" si="38"/>
        <v>14.914602004626417</v>
      </c>
      <c r="AU69" s="343">
        <f t="shared" si="38"/>
        <v>14.991384144556454</v>
      </c>
      <c r="AV69" s="343">
        <f t="shared" si="38"/>
        <v>15.064163424110991</v>
      </c>
      <c r="AW69" s="343">
        <f t="shared" si="38"/>
        <v>15.133148523214818</v>
      </c>
      <c r="AX69" s="343">
        <f t="shared" si="38"/>
        <v>15.198537242744511</v>
      </c>
      <c r="AY69" s="344">
        <f t="shared" si="38"/>
        <v>15.260517071682608</v>
      </c>
    </row>
    <row r="70" spans="1:51" ht="12.75" thickBot="1">
      <c r="A70" s="345" t="s">
        <v>2894</v>
      </c>
      <c r="B70" s="346">
        <f t="shared" si="36"/>
        <v>0.85432063306221828</v>
      </c>
      <c r="C70" s="347">
        <f t="shared" si="39"/>
        <v>1.6641032236425202</v>
      </c>
      <c r="D70" s="347">
        <f t="shared" si="39"/>
        <v>2.4316696602115266</v>
      </c>
      <c r="E70" s="347">
        <f t="shared" si="39"/>
        <v>3.1592207849214855</v>
      </c>
      <c r="F70" s="347">
        <f t="shared" si="39"/>
        <v>3.8488427040778443</v>
      </c>
      <c r="G70" s="347">
        <f t="shared" si="39"/>
        <v>4.502512769628896</v>
      </c>
      <c r="H70" s="347">
        <f t="shared" si="39"/>
        <v>5.1221052488242051</v>
      </c>
      <c r="I70" s="347">
        <f t="shared" si="39"/>
        <v>5.7093966982984323</v>
      </c>
      <c r="J70" s="347">
        <f t="shared" si="39"/>
        <v>6.2660710579896426</v>
      </c>
      <c r="K70" s="347">
        <f t="shared" si="39"/>
        <v>6.7937244794978984</v>
      </c>
      <c r="L70" s="347">
        <f t="shared" si="39"/>
        <v>7.2938699027284732</v>
      </c>
      <c r="M70" s="347">
        <f t="shared" si="39"/>
        <v>7.7679413939422881</v>
      </c>
      <c r="N70" s="347">
        <f t="shared" si="39"/>
        <v>8.2172982576520646</v>
      </c>
      <c r="O70" s="347">
        <f t="shared" si="39"/>
        <v>8.643228934154223</v>
      </c>
      <c r="P70" s="347">
        <f t="shared" si="39"/>
        <v>9.0469546938719088</v>
      </c>
      <c r="Q70" s="347">
        <f t="shared" si="39"/>
        <v>9.4296331391019432</v>
      </c>
      <c r="R70" s="347">
        <f t="shared" si="39"/>
        <v>9.7923615232062406</v>
      </c>
      <c r="S70" s="347">
        <f t="shared" si="39"/>
        <v>10.136179896764817</v>
      </c>
      <c r="T70" s="347">
        <f t="shared" si="39"/>
        <v>10.462074089711335</v>
      </c>
      <c r="U70" s="347">
        <f t="shared" si="39"/>
        <v>10.770978538001872</v>
      </c>
      <c r="V70" s="347">
        <f t="shared" si="39"/>
        <v>11.063778962921813</v>
      </c>
      <c r="W70" s="347">
        <f t="shared" si="39"/>
        <v>11.341314910713226</v>
      </c>
      <c r="X70" s="347">
        <f t="shared" si="39"/>
        <v>11.604382159804613</v>
      </c>
      <c r="Y70" s="347">
        <f t="shared" si="39"/>
        <v>11.853735002545264</v>
      </c>
      <c r="Z70" s="347">
        <f t="shared" si="39"/>
        <v>12.09008840798664</v>
      </c>
      <c r="AA70" s="347">
        <f t="shared" si="39"/>
        <v>12.314120071912114</v>
      </c>
      <c r="AB70" s="347">
        <f t="shared" si="39"/>
        <v>12.526472359993132</v>
      </c>
      <c r="AC70" s="347">
        <f t="shared" si="39"/>
        <v>12.727754149643387</v>
      </c>
      <c r="AD70" s="347">
        <f t="shared" si="39"/>
        <v>12.918542575852159</v>
      </c>
      <c r="AE70" s="347">
        <f t="shared" si="39"/>
        <v>13.099384686002654</v>
      </c>
      <c r="AF70" s="347">
        <f t="shared" si="39"/>
        <v>13.270799008420186</v>
      </c>
      <c r="AG70" s="347">
        <f t="shared" si="39"/>
        <v>13.433277039147702</v>
      </c>
      <c r="AH70" s="347">
        <f t="shared" si="39"/>
        <v>13.5872846512117</v>
      </c>
      <c r="AI70" s="347">
        <f t="shared" si="38"/>
        <v>13.73326343041928</v>
      </c>
      <c r="AJ70" s="347">
        <f t="shared" si="38"/>
        <v>13.871631941516512</v>
      </c>
      <c r="AK70" s="347">
        <f t="shared" si="38"/>
        <v>14.002786928338534</v>
      </c>
      <c r="AL70" s="347">
        <f t="shared" si="38"/>
        <v>14.127104451392583</v>
      </c>
      <c r="AM70" s="347">
        <f t="shared" si="38"/>
        <v>14.244940966135758</v>
      </c>
      <c r="AN70" s="347">
        <f t="shared" si="38"/>
        <v>14.356634345039241</v>
      </c>
      <c r="AO70" s="347">
        <f t="shared" si="38"/>
        <v>14.462504846369557</v>
      </c>
      <c r="AP70" s="347">
        <f t="shared" si="38"/>
        <v>14.562856032464643</v>
      </c>
      <c r="AQ70" s="347">
        <f t="shared" si="38"/>
        <v>14.65797564013771</v>
      </c>
      <c r="AR70" s="347">
        <f t="shared" si="38"/>
        <v>14.748136405704599</v>
      </c>
      <c r="AS70" s="347">
        <f t="shared" si="38"/>
        <v>14.833596847000228</v>
      </c>
      <c r="AT70" s="347">
        <f t="shared" si="38"/>
        <v>14.914602004626417</v>
      </c>
      <c r="AU70" s="347">
        <f t="shared" si="38"/>
        <v>14.991384144556454</v>
      </c>
      <c r="AV70" s="347">
        <f t="shared" si="38"/>
        <v>15.064163424110991</v>
      </c>
      <c r="AW70" s="347">
        <f t="shared" si="38"/>
        <v>15.133148523214818</v>
      </c>
      <c r="AX70" s="347">
        <f t="shared" si="38"/>
        <v>15.198537242744511</v>
      </c>
      <c r="AY70" s="348">
        <f t="shared" si="38"/>
        <v>15.260517071682608</v>
      </c>
    </row>
    <row r="72" spans="1:51" ht="15.75">
      <c r="A72" s="350" t="s">
        <v>2923</v>
      </c>
      <c r="B72" s="349"/>
      <c r="C72" s="349"/>
      <c r="D72" s="349"/>
      <c r="E72" s="349"/>
      <c r="F72" s="349"/>
      <c r="G72" s="349"/>
      <c r="H72" s="349"/>
      <c r="I72" s="349"/>
      <c r="J72" s="349"/>
      <c r="K72" s="349"/>
      <c r="L72" s="349"/>
      <c r="M72" s="349"/>
      <c r="N72" s="349"/>
      <c r="O72" s="349"/>
      <c r="P72" s="349"/>
      <c r="Q72" s="349"/>
      <c r="R72" s="349"/>
      <c r="S72" s="349"/>
      <c r="T72" s="349"/>
      <c r="U72" s="349"/>
      <c r="V72" s="349"/>
      <c r="W72" s="349"/>
      <c r="X72" s="349"/>
      <c r="Y72" s="349"/>
      <c r="Z72" s="349"/>
      <c r="AA72" s="349"/>
      <c r="AB72" s="349"/>
      <c r="AC72" s="349"/>
      <c r="AD72" s="349"/>
      <c r="AE72" s="349"/>
      <c r="AF72" s="349"/>
      <c r="AG72" s="349"/>
      <c r="AH72" s="349"/>
      <c r="AI72" s="349"/>
      <c r="AJ72" s="349"/>
      <c r="AK72" s="349"/>
      <c r="AL72" s="349"/>
      <c r="AM72" s="349"/>
      <c r="AN72" s="349"/>
      <c r="AO72" s="349"/>
      <c r="AP72" s="349"/>
      <c r="AQ72" s="349"/>
      <c r="AR72" s="349"/>
      <c r="AS72" s="349"/>
      <c r="AT72" s="349"/>
      <c r="AU72" s="349"/>
      <c r="AV72" s="349"/>
      <c r="AW72" s="349"/>
      <c r="AX72" s="349"/>
      <c r="AY72" s="349"/>
    </row>
    <row r="73" spans="1:51" ht="15.75" thickBot="1">
      <c r="A73" s="329" t="s">
        <v>2885</v>
      </c>
    </row>
    <row r="74" spans="1:51" ht="12.75" thickBot="1">
      <c r="A74" s="330" t="s">
        <v>2886</v>
      </c>
      <c r="B74" s="331">
        <v>2010</v>
      </c>
      <c r="C74" s="332">
        <v>2011</v>
      </c>
      <c r="D74" s="332">
        <v>2012</v>
      </c>
      <c r="E74" s="332">
        <v>2013</v>
      </c>
      <c r="F74" s="332">
        <v>2014</v>
      </c>
      <c r="G74" s="332">
        <v>2015</v>
      </c>
      <c r="H74" s="332">
        <v>2016</v>
      </c>
      <c r="I74" s="332">
        <v>2017</v>
      </c>
      <c r="J74" s="332">
        <v>2018</v>
      </c>
      <c r="K74" s="332">
        <v>2019</v>
      </c>
      <c r="L74" s="332">
        <v>2020</v>
      </c>
      <c r="M74" s="332">
        <v>2021</v>
      </c>
      <c r="N74" s="332">
        <v>2022</v>
      </c>
      <c r="O74" s="332">
        <v>2023</v>
      </c>
      <c r="P74" s="332">
        <v>2024</v>
      </c>
      <c r="Q74" s="332">
        <v>2025</v>
      </c>
      <c r="R74" s="332">
        <v>2026</v>
      </c>
      <c r="S74" s="332">
        <v>2027</v>
      </c>
      <c r="T74" s="332">
        <v>2028</v>
      </c>
      <c r="U74" s="332">
        <v>2029</v>
      </c>
      <c r="V74" s="332">
        <v>2030</v>
      </c>
      <c r="W74" s="332">
        <v>2031</v>
      </c>
      <c r="X74" s="332">
        <v>2032</v>
      </c>
      <c r="Y74" s="332">
        <v>2033</v>
      </c>
      <c r="Z74" s="332">
        <v>2034</v>
      </c>
      <c r="AA74" s="332">
        <v>2035</v>
      </c>
      <c r="AB74" s="332">
        <v>2036</v>
      </c>
      <c r="AC74" s="332">
        <v>2037</v>
      </c>
      <c r="AD74" s="332">
        <v>2038</v>
      </c>
      <c r="AE74" s="332">
        <v>2039</v>
      </c>
      <c r="AF74" s="332">
        <v>2040</v>
      </c>
      <c r="AG74" s="332">
        <v>2041</v>
      </c>
      <c r="AH74" s="332">
        <v>2042</v>
      </c>
      <c r="AI74" s="332">
        <v>2043</v>
      </c>
      <c r="AJ74" s="332">
        <v>2044</v>
      </c>
      <c r="AK74" s="332">
        <v>2045</v>
      </c>
      <c r="AL74" s="332">
        <v>2046</v>
      </c>
      <c r="AM74" s="332">
        <v>2047</v>
      </c>
      <c r="AN74" s="332">
        <v>2048</v>
      </c>
      <c r="AO74" s="332">
        <v>2049</v>
      </c>
      <c r="AP74" s="332">
        <v>2050</v>
      </c>
      <c r="AQ74" s="332">
        <v>2051</v>
      </c>
      <c r="AR74" s="332">
        <v>2052</v>
      </c>
      <c r="AS74" s="332">
        <v>2053</v>
      </c>
      <c r="AT74" s="332">
        <v>2054</v>
      </c>
      <c r="AU74" s="332">
        <v>2055</v>
      </c>
      <c r="AV74" s="332">
        <v>2056</v>
      </c>
      <c r="AW74" s="332">
        <v>2057</v>
      </c>
      <c r="AX74" s="332">
        <v>2058</v>
      </c>
      <c r="AY74" s="333">
        <v>2059</v>
      </c>
    </row>
    <row r="75" spans="1:51">
      <c r="A75" s="334" t="s">
        <v>2896</v>
      </c>
      <c r="B75" s="339">
        <v>6.8310458518556105E-2</v>
      </c>
      <c r="C75" s="340">
        <v>6.6934254603542631E-2</v>
      </c>
      <c r="D75" s="340">
        <v>6.5592258751792754E-2</v>
      </c>
      <c r="E75" s="340">
        <v>6.5435755251657166E-2</v>
      </c>
      <c r="F75" s="340">
        <v>6.5279251751521564E-2</v>
      </c>
      <c r="G75" s="340">
        <v>6.5131643636398229E-2</v>
      </c>
      <c r="H75" s="340">
        <v>6.5288147136533831E-2</v>
      </c>
      <c r="I75" s="340">
        <v>6.5451665544625004E-2</v>
      </c>
      <c r="J75" s="340">
        <v>6.560628856770391E-2</v>
      </c>
      <c r="K75" s="340">
        <v>6.5771687452851779E-2</v>
      </c>
      <c r="L75" s="340">
        <v>6.5935205860942953E-2</v>
      </c>
      <c r="M75" s="340">
        <v>6.6091709361078541E-2</v>
      </c>
      <c r="N75" s="340">
        <v>6.6255227769169728E-2</v>
      </c>
      <c r="O75" s="340">
        <v>6.642062665431761E-2</v>
      </c>
      <c r="P75" s="340">
        <v>6.6586025539465465E-2</v>
      </c>
      <c r="Q75" s="340">
        <v>6.6586025539465465E-2</v>
      </c>
      <c r="R75" s="340">
        <v>6.6586025539465465E-2</v>
      </c>
      <c r="S75" s="340">
        <v>6.6586025539465465E-2</v>
      </c>
      <c r="T75" s="340">
        <v>6.6586025539465465E-2</v>
      </c>
      <c r="U75" s="340">
        <v>6.6586025539465465E-2</v>
      </c>
      <c r="V75" s="340">
        <v>6.6586025539465465E-2</v>
      </c>
      <c r="W75" s="340">
        <v>6.6586025539465465E-2</v>
      </c>
      <c r="X75" s="340">
        <v>6.6586025539465465E-2</v>
      </c>
      <c r="Y75" s="340">
        <v>6.6586025539465465E-2</v>
      </c>
      <c r="Z75" s="340">
        <v>6.6586025539465465E-2</v>
      </c>
      <c r="AA75" s="340">
        <v>6.6586025539465465E-2</v>
      </c>
      <c r="AB75" s="340">
        <v>6.6586025539465465E-2</v>
      </c>
      <c r="AC75" s="340">
        <v>6.6586025539465465E-2</v>
      </c>
      <c r="AD75" s="340">
        <v>6.6586025539465465E-2</v>
      </c>
      <c r="AE75" s="340">
        <v>6.6586025539465465E-2</v>
      </c>
      <c r="AF75" s="340">
        <v>6.6586025539465465E-2</v>
      </c>
      <c r="AG75" s="340">
        <v>6.6586025539465465E-2</v>
      </c>
      <c r="AH75" s="340">
        <v>6.6586025539465465E-2</v>
      </c>
      <c r="AI75" s="340">
        <v>6.6586025539465465E-2</v>
      </c>
      <c r="AJ75" s="340">
        <v>6.6586025539465465E-2</v>
      </c>
      <c r="AK75" s="340">
        <v>6.6586025539465465E-2</v>
      </c>
      <c r="AL75" s="340">
        <v>6.6586025539465465E-2</v>
      </c>
      <c r="AM75" s="340">
        <v>6.6586025539465465E-2</v>
      </c>
      <c r="AN75" s="340">
        <v>6.6586025539465465E-2</v>
      </c>
      <c r="AO75" s="340">
        <v>6.6586025539465465E-2</v>
      </c>
      <c r="AP75" s="340">
        <v>6.6586025539465465E-2</v>
      </c>
      <c r="AQ75" s="340">
        <v>6.6586025539465465E-2</v>
      </c>
      <c r="AR75" s="340">
        <v>6.6586025539465465E-2</v>
      </c>
      <c r="AS75" s="340">
        <v>6.6586025539465465E-2</v>
      </c>
      <c r="AT75" s="340">
        <v>6.6586025539465465E-2</v>
      </c>
      <c r="AU75" s="340">
        <v>6.6586025539465465E-2</v>
      </c>
      <c r="AV75" s="340">
        <v>6.6586025539465465E-2</v>
      </c>
      <c r="AW75" s="340">
        <v>6.6586025539465465E-2</v>
      </c>
      <c r="AX75" s="340">
        <v>6.6586025539465465E-2</v>
      </c>
      <c r="AY75" s="340">
        <v>6.6586025539465465E-2</v>
      </c>
    </row>
    <row r="76" spans="1:51">
      <c r="A76" s="338" t="s">
        <v>2897</v>
      </c>
      <c r="B76" s="342">
        <v>85.398706896551715</v>
      </c>
      <c r="C76" s="343">
        <v>92.53232758620689</v>
      </c>
      <c r="D76" s="343">
        <v>99.234913793103431</v>
      </c>
      <c r="E76" s="343">
        <v>105.54956896551724</v>
      </c>
      <c r="F76" s="343">
        <v>111.48706896551724</v>
      </c>
      <c r="G76" s="343">
        <v>117.06896551724137</v>
      </c>
      <c r="H76" s="343">
        <v>122.32758620689654</v>
      </c>
      <c r="I76" s="343">
        <v>127.26293103448276</v>
      </c>
      <c r="J76" s="343">
        <v>131.90732758620689</v>
      </c>
      <c r="K76" s="343">
        <v>136.27155172413794</v>
      </c>
      <c r="L76" s="343">
        <v>140.36637931034483</v>
      </c>
      <c r="M76" s="343">
        <v>144.21336206896549</v>
      </c>
      <c r="N76" s="343">
        <v>144.21336206896549</v>
      </c>
      <c r="O76" s="343">
        <v>144.21336206896549</v>
      </c>
      <c r="P76" s="343">
        <v>144.21336206896549</v>
      </c>
      <c r="Q76" s="343">
        <v>144.21336206896549</v>
      </c>
      <c r="R76" s="343">
        <v>144.21336206896549</v>
      </c>
      <c r="S76" s="343">
        <v>144.21336206896549</v>
      </c>
      <c r="T76" s="343">
        <v>144.21336206896549</v>
      </c>
      <c r="U76" s="343">
        <v>144.21336206896549</v>
      </c>
      <c r="V76" s="343">
        <v>144.21336206896549</v>
      </c>
      <c r="W76" s="343">
        <v>144.21336206896549</v>
      </c>
      <c r="X76" s="343">
        <v>144.21336206896549</v>
      </c>
      <c r="Y76" s="343">
        <v>144.21336206896549</v>
      </c>
      <c r="Z76" s="343">
        <v>144.21336206896549</v>
      </c>
      <c r="AA76" s="343">
        <v>144.21336206896549</v>
      </c>
      <c r="AB76" s="343">
        <v>144.21336206896549</v>
      </c>
      <c r="AC76" s="343">
        <v>144.21336206896549</v>
      </c>
      <c r="AD76" s="343">
        <v>144.21336206896549</v>
      </c>
      <c r="AE76" s="343">
        <v>144.21336206896549</v>
      </c>
      <c r="AF76" s="343">
        <v>144.21336206896549</v>
      </c>
      <c r="AG76" s="343">
        <v>144.21336206896549</v>
      </c>
      <c r="AH76" s="343">
        <v>144.21336206896549</v>
      </c>
      <c r="AI76" s="343">
        <v>144.21336206896549</v>
      </c>
      <c r="AJ76" s="343">
        <v>144.21336206896549</v>
      </c>
      <c r="AK76" s="343">
        <v>144.21336206896549</v>
      </c>
      <c r="AL76" s="343">
        <v>144.21336206896549</v>
      </c>
      <c r="AM76" s="343">
        <v>144.21336206896549</v>
      </c>
      <c r="AN76" s="343">
        <v>144.21336206896549</v>
      </c>
      <c r="AO76" s="343">
        <v>144.21336206896549</v>
      </c>
      <c r="AP76" s="343">
        <v>144.21336206896549</v>
      </c>
      <c r="AQ76" s="343">
        <v>144.21336206896549</v>
      </c>
      <c r="AR76" s="343">
        <v>144.21336206896549</v>
      </c>
      <c r="AS76" s="343">
        <v>144.21336206896549</v>
      </c>
      <c r="AT76" s="343">
        <v>144.21336206896549</v>
      </c>
      <c r="AU76" s="343">
        <v>144.21336206896549</v>
      </c>
      <c r="AV76" s="343">
        <v>144.21336206896549</v>
      </c>
      <c r="AW76" s="343">
        <v>144.21336206896549</v>
      </c>
      <c r="AX76" s="343">
        <v>144.21336206896549</v>
      </c>
      <c r="AY76" s="343">
        <v>144.21336206896549</v>
      </c>
    </row>
    <row r="77" spans="1:51">
      <c r="A77" s="338" t="s">
        <v>2898</v>
      </c>
      <c r="B77" s="358">
        <v>10.24</v>
      </c>
      <c r="C77" s="359">
        <v>10.01</v>
      </c>
      <c r="D77" s="359">
        <v>9.7899999999999991</v>
      </c>
      <c r="E77" s="359">
        <v>9.7899999999999991</v>
      </c>
      <c r="F77" s="359">
        <v>9.7899999999999991</v>
      </c>
      <c r="G77" s="359">
        <v>9.7899999999999991</v>
      </c>
      <c r="H77" s="359">
        <v>9.8699999999999992</v>
      </c>
      <c r="I77" s="359">
        <v>9.94</v>
      </c>
      <c r="J77" s="359">
        <v>10.02</v>
      </c>
      <c r="K77" s="359">
        <v>10.02</v>
      </c>
      <c r="L77" s="359">
        <v>10.02</v>
      </c>
      <c r="M77" s="359">
        <v>10.02</v>
      </c>
      <c r="N77" s="359">
        <v>10.02</v>
      </c>
      <c r="O77" s="359">
        <v>10.02</v>
      </c>
      <c r="P77" s="359">
        <v>10.02</v>
      </c>
      <c r="Q77" s="359">
        <v>10.02</v>
      </c>
      <c r="R77" s="359">
        <v>10.02</v>
      </c>
      <c r="S77" s="359">
        <v>10.02</v>
      </c>
      <c r="T77" s="359">
        <v>10.02</v>
      </c>
      <c r="U77" s="359">
        <v>10.02</v>
      </c>
      <c r="V77" s="359">
        <v>10.02</v>
      </c>
      <c r="W77" s="359">
        <v>10.02</v>
      </c>
      <c r="X77" s="359">
        <v>10.02</v>
      </c>
      <c r="Y77" s="359">
        <v>10.02</v>
      </c>
      <c r="Z77" s="359">
        <v>10.02</v>
      </c>
      <c r="AA77" s="359">
        <v>10.02</v>
      </c>
      <c r="AB77" s="359">
        <v>10.02</v>
      </c>
      <c r="AC77" s="359">
        <v>10.02</v>
      </c>
      <c r="AD77" s="359">
        <v>10.02</v>
      </c>
      <c r="AE77" s="359">
        <v>10.02</v>
      </c>
      <c r="AF77" s="359">
        <v>10.02</v>
      </c>
      <c r="AG77" s="359">
        <v>10.02</v>
      </c>
      <c r="AH77" s="359">
        <v>10.02</v>
      </c>
      <c r="AI77" s="359">
        <v>10.02</v>
      </c>
      <c r="AJ77" s="359">
        <v>10.02</v>
      </c>
      <c r="AK77" s="359">
        <v>10.02</v>
      </c>
      <c r="AL77" s="359">
        <v>10.02</v>
      </c>
      <c r="AM77" s="359">
        <v>10.02</v>
      </c>
      <c r="AN77" s="359">
        <v>10.02</v>
      </c>
      <c r="AO77" s="359">
        <v>10.02</v>
      </c>
      <c r="AP77" s="359">
        <v>10.02</v>
      </c>
      <c r="AQ77" s="359">
        <v>10.02</v>
      </c>
      <c r="AR77" s="359">
        <v>10.02</v>
      </c>
      <c r="AS77" s="359">
        <v>10.02</v>
      </c>
      <c r="AT77" s="359">
        <v>10.02</v>
      </c>
      <c r="AU77" s="359">
        <v>10.02</v>
      </c>
      <c r="AV77" s="359">
        <v>10.02</v>
      </c>
      <c r="AW77" s="359">
        <v>10.02</v>
      </c>
      <c r="AX77" s="359">
        <v>10.02</v>
      </c>
      <c r="AY77" s="360">
        <v>10.02</v>
      </c>
    </row>
    <row r="78" spans="1:51">
      <c r="A78" s="338" t="s">
        <v>2899</v>
      </c>
      <c r="B78" s="358">
        <v>9.4525000000000006</v>
      </c>
      <c r="C78" s="359">
        <v>9.2341666666666669</v>
      </c>
      <c r="D78" s="359">
        <v>9.02</v>
      </c>
      <c r="E78" s="359">
        <v>9.02</v>
      </c>
      <c r="F78" s="359">
        <v>9.02</v>
      </c>
      <c r="G78" s="359">
        <v>9.02</v>
      </c>
      <c r="H78" s="359">
        <v>9.0941666666666663</v>
      </c>
      <c r="I78" s="359">
        <v>9.2441666666666666</v>
      </c>
      <c r="J78" s="359">
        <v>9.2441666666666666</v>
      </c>
      <c r="K78" s="359">
        <v>9.2441666666666666</v>
      </c>
      <c r="L78" s="359">
        <v>9.2441666666666666</v>
      </c>
      <c r="M78" s="359">
        <v>9.2441666666666666</v>
      </c>
      <c r="N78" s="359">
        <v>9.2441666666666666</v>
      </c>
      <c r="O78" s="359">
        <v>9.2441666666666666</v>
      </c>
      <c r="P78" s="359">
        <v>9.2441666666666666</v>
      </c>
      <c r="Q78" s="359">
        <v>9.2441666666666666</v>
      </c>
      <c r="R78" s="359">
        <v>9.2441666666666666</v>
      </c>
      <c r="S78" s="359">
        <v>9.2441666666666666</v>
      </c>
      <c r="T78" s="359">
        <v>9.2441666666666666</v>
      </c>
      <c r="U78" s="359">
        <v>9.2441666666666666</v>
      </c>
      <c r="V78" s="359">
        <v>9.2441666666666666</v>
      </c>
      <c r="W78" s="359">
        <v>9.2441666666666666</v>
      </c>
      <c r="X78" s="359">
        <v>9.2441666666666666</v>
      </c>
      <c r="Y78" s="359">
        <v>9.2441666666666666</v>
      </c>
      <c r="Z78" s="359">
        <v>9.2441666666666666</v>
      </c>
      <c r="AA78" s="359">
        <v>9.2441666666666666</v>
      </c>
      <c r="AB78" s="359">
        <v>9.2441666666666666</v>
      </c>
      <c r="AC78" s="359">
        <v>9.2441666666666666</v>
      </c>
      <c r="AD78" s="359">
        <v>9.2441666666666666</v>
      </c>
      <c r="AE78" s="359">
        <v>9.2441666666666666</v>
      </c>
      <c r="AF78" s="359">
        <v>9.2441666666666666</v>
      </c>
      <c r="AG78" s="359">
        <v>9.2441666666666666</v>
      </c>
      <c r="AH78" s="359">
        <v>9.2441666666666666</v>
      </c>
      <c r="AI78" s="359">
        <v>9.2441666666666666</v>
      </c>
      <c r="AJ78" s="359">
        <v>9.2441666666666666</v>
      </c>
      <c r="AK78" s="359">
        <v>9.2441666666666666</v>
      </c>
      <c r="AL78" s="359">
        <v>9.2441666666666666</v>
      </c>
      <c r="AM78" s="359">
        <v>9.2441666666666666</v>
      </c>
      <c r="AN78" s="359">
        <v>9.2441666666666666</v>
      </c>
      <c r="AO78" s="359">
        <v>9.2441666666666666</v>
      </c>
      <c r="AP78" s="359">
        <v>9.2441666666666666</v>
      </c>
      <c r="AQ78" s="359">
        <v>9.2441666666666666</v>
      </c>
      <c r="AR78" s="359">
        <v>9.2441666666666666</v>
      </c>
      <c r="AS78" s="359">
        <v>9.2441666666666666</v>
      </c>
      <c r="AT78" s="359">
        <v>9.2441666666666666</v>
      </c>
      <c r="AU78" s="359">
        <v>9.2441666666666666</v>
      </c>
      <c r="AV78" s="359">
        <v>9.2441666666666666</v>
      </c>
      <c r="AW78" s="359">
        <v>9.2441666666666666</v>
      </c>
      <c r="AX78" s="359">
        <v>9.2441666666666702</v>
      </c>
      <c r="AY78" s="360">
        <v>9.2441666666666702</v>
      </c>
    </row>
    <row r="79" spans="1:51">
      <c r="A79" s="338" t="s">
        <v>2887</v>
      </c>
      <c r="B79" s="342">
        <v>6.2842588284472054</v>
      </c>
      <c r="C79" s="343">
        <v>6.8383434812431512</v>
      </c>
      <c r="D79" s="343">
        <v>7.1275036881476561</v>
      </c>
      <c r="E79" s="343">
        <v>7.3517937696168021</v>
      </c>
      <c r="F79" s="343">
        <v>7.5350521097572987</v>
      </c>
      <c r="G79" s="343">
        <v>7.6899948286185555</v>
      </c>
      <c r="H79" s="343">
        <v>7.8242123166618027</v>
      </c>
      <c r="I79" s="343">
        <v>9.17</v>
      </c>
      <c r="J79" s="343">
        <v>8.3122147120447227</v>
      </c>
      <c r="K79" s="343">
        <v>8.3867034571327022</v>
      </c>
      <c r="L79" s="343">
        <v>8.4560508197405948</v>
      </c>
      <c r="M79" s="343">
        <v>8.5209209451759538</v>
      </c>
      <c r="N79" s="343">
        <v>8.5818570613494281</v>
      </c>
      <c r="O79" s="343">
        <v>8.6057375436489494</v>
      </c>
      <c r="P79" s="343">
        <v>8.6071420683686046</v>
      </c>
      <c r="Q79" s="343">
        <v>8.6071420683686046</v>
      </c>
      <c r="R79" s="343">
        <v>8.6814020669464895</v>
      </c>
      <c r="S79" s="343">
        <v>8.7410874140605106</v>
      </c>
      <c r="T79" s="343">
        <v>8.8007727611745192</v>
      </c>
      <c r="U79" s="343">
        <v>8.8007727611745192</v>
      </c>
      <c r="V79" s="343">
        <v>8.8007727611745192</v>
      </c>
      <c r="W79" s="343">
        <v>8.8007727611745192</v>
      </c>
      <c r="X79" s="343">
        <v>8.8007727611745192</v>
      </c>
      <c r="Y79" s="343">
        <v>8.8007727611745192</v>
      </c>
      <c r="Z79" s="343">
        <v>8.8007727611745192</v>
      </c>
      <c r="AA79" s="343">
        <v>8.8007727611745192</v>
      </c>
      <c r="AB79" s="343">
        <v>8.8007727611745192</v>
      </c>
      <c r="AC79" s="343">
        <v>8.8007727611745192</v>
      </c>
      <c r="AD79" s="343">
        <v>8.8007727611745192</v>
      </c>
      <c r="AE79" s="343">
        <v>8.8007727611745192</v>
      </c>
      <c r="AF79" s="343">
        <v>8.8007727611745192</v>
      </c>
      <c r="AG79" s="343">
        <v>8.8007727611745192</v>
      </c>
      <c r="AH79" s="343">
        <v>8.8007727611745192</v>
      </c>
      <c r="AI79" s="343">
        <v>8.8007727611745192</v>
      </c>
      <c r="AJ79" s="343">
        <v>8.8007727611745192</v>
      </c>
      <c r="AK79" s="343">
        <v>8.8007727611745192</v>
      </c>
      <c r="AL79" s="343">
        <v>8.8007727611745192</v>
      </c>
      <c r="AM79" s="343">
        <v>8.8007727611745192</v>
      </c>
      <c r="AN79" s="343">
        <v>8.8007727611745192</v>
      </c>
      <c r="AO79" s="343">
        <v>8.8007727611745192</v>
      </c>
      <c r="AP79" s="343">
        <v>8.8007727611745192</v>
      </c>
      <c r="AQ79" s="343">
        <v>8.8007727611745192</v>
      </c>
      <c r="AR79" s="343">
        <v>8.8007727611745192</v>
      </c>
      <c r="AS79" s="343">
        <v>8.8007727611745192</v>
      </c>
      <c r="AT79" s="343">
        <v>8.8007727611745192</v>
      </c>
      <c r="AU79" s="343">
        <v>8.8007727611745192</v>
      </c>
      <c r="AV79" s="343">
        <v>8.8007727611745192</v>
      </c>
      <c r="AW79" s="343">
        <v>8.8007727611745192</v>
      </c>
      <c r="AX79" s="343">
        <v>8.8007727611745192</v>
      </c>
      <c r="AY79" s="344">
        <v>8.8007727611745192</v>
      </c>
    </row>
    <row r="80" spans="1:51">
      <c r="A80" s="338" t="s">
        <v>2888</v>
      </c>
      <c r="B80" s="339">
        <v>6.28E-3</v>
      </c>
      <c r="C80" s="340">
        <v>6.1999999999999998E-3</v>
      </c>
      <c r="D80" s="340">
        <v>6.1200000000000004E-3</v>
      </c>
      <c r="E80" s="340">
        <v>6.0000000000000001E-3</v>
      </c>
      <c r="F80" s="340">
        <v>5.8799999999999998E-3</v>
      </c>
      <c r="G80" s="340">
        <v>5.77E-3</v>
      </c>
      <c r="H80" s="340">
        <v>5.77E-3</v>
      </c>
      <c r="I80" s="340">
        <v>5.7599999999999995E-3</v>
      </c>
      <c r="J80" s="340">
        <v>5.7599999999999995E-3</v>
      </c>
      <c r="K80" s="340">
        <v>5.7499999999999999E-3</v>
      </c>
      <c r="L80" s="340">
        <v>5.7499999999999999E-3</v>
      </c>
      <c r="M80" s="340">
        <v>5.7499999999999999E-3</v>
      </c>
      <c r="N80" s="340">
        <v>5.7400000000000003E-3</v>
      </c>
      <c r="O80" s="340">
        <v>5.7400000000000003E-3</v>
      </c>
      <c r="P80" s="340">
        <v>5.7300000000000007E-3</v>
      </c>
      <c r="Q80" s="340">
        <v>5.7300000000000007E-3</v>
      </c>
      <c r="R80" s="340">
        <v>5.7300000000000007E-3</v>
      </c>
      <c r="S80" s="340">
        <v>5.7300000000000007E-3</v>
      </c>
      <c r="T80" s="340">
        <v>5.7300000000000007E-3</v>
      </c>
      <c r="U80" s="340">
        <v>5.7300000000000007E-3</v>
      </c>
      <c r="V80" s="340">
        <v>5.7300000000000007E-3</v>
      </c>
      <c r="W80" s="340">
        <v>5.7300000000000007E-3</v>
      </c>
      <c r="X80" s="340">
        <v>5.7300000000000007E-3</v>
      </c>
      <c r="Y80" s="340">
        <v>5.7300000000000007E-3</v>
      </c>
      <c r="Z80" s="340">
        <v>5.7300000000000007E-3</v>
      </c>
      <c r="AA80" s="340">
        <v>5.7300000000000007E-3</v>
      </c>
      <c r="AB80" s="340">
        <v>5.7300000000000007E-3</v>
      </c>
      <c r="AC80" s="340">
        <v>5.7300000000000007E-3</v>
      </c>
      <c r="AD80" s="340">
        <v>5.7300000000000007E-3</v>
      </c>
      <c r="AE80" s="340">
        <v>5.7300000000000007E-3</v>
      </c>
      <c r="AF80" s="340">
        <v>5.7300000000000007E-3</v>
      </c>
      <c r="AG80" s="340">
        <v>5.7300000000000007E-3</v>
      </c>
      <c r="AH80" s="340">
        <v>5.7300000000000007E-3</v>
      </c>
      <c r="AI80" s="340">
        <v>5.7300000000000007E-3</v>
      </c>
      <c r="AJ80" s="340">
        <v>5.7300000000000007E-3</v>
      </c>
      <c r="AK80" s="340">
        <v>5.7300000000000007E-3</v>
      </c>
      <c r="AL80" s="340">
        <v>5.7300000000000007E-3</v>
      </c>
      <c r="AM80" s="340">
        <v>5.7300000000000007E-3</v>
      </c>
      <c r="AN80" s="340">
        <v>5.7300000000000007E-3</v>
      </c>
      <c r="AO80" s="340">
        <v>5.7300000000000007E-3</v>
      </c>
      <c r="AP80" s="340">
        <v>5.7300000000000007E-3</v>
      </c>
      <c r="AQ80" s="340">
        <v>5.7300000000000007E-3</v>
      </c>
      <c r="AR80" s="340">
        <v>5.7300000000000007E-3</v>
      </c>
      <c r="AS80" s="340">
        <v>5.7300000000000007E-3</v>
      </c>
      <c r="AT80" s="340">
        <v>5.7300000000000007E-3</v>
      </c>
      <c r="AU80" s="340">
        <v>5.7300000000000007E-3</v>
      </c>
      <c r="AV80" s="340">
        <v>5.7300000000000007E-3</v>
      </c>
      <c r="AW80" s="340">
        <v>5.7300000000000007E-3</v>
      </c>
      <c r="AX80" s="340">
        <v>5.7300000000000007E-3</v>
      </c>
      <c r="AY80" s="341">
        <v>5.7300000000000007E-3</v>
      </c>
    </row>
    <row r="81" spans="1:51">
      <c r="A81" s="338" t="s">
        <v>2889</v>
      </c>
      <c r="B81" s="342">
        <f>(58.5/1000)*15</f>
        <v>0.87750000000000006</v>
      </c>
      <c r="C81" s="343">
        <f t="shared" ref="C81:AD82" si="40">(58.5/1000)*15</f>
        <v>0.87750000000000006</v>
      </c>
      <c r="D81" s="343">
        <f t="shared" si="40"/>
        <v>0.87750000000000006</v>
      </c>
      <c r="E81" s="343">
        <f t="shared" si="40"/>
        <v>0.87750000000000006</v>
      </c>
      <c r="F81" s="343">
        <f t="shared" si="40"/>
        <v>0.87750000000000006</v>
      </c>
      <c r="G81" s="343">
        <f t="shared" si="40"/>
        <v>0.87750000000000006</v>
      </c>
      <c r="H81" s="343">
        <f t="shared" si="40"/>
        <v>0.87750000000000006</v>
      </c>
      <c r="I81" s="343">
        <f t="shared" si="40"/>
        <v>0.87750000000000006</v>
      </c>
      <c r="J81" s="343">
        <f t="shared" si="40"/>
        <v>0.87750000000000006</v>
      </c>
      <c r="K81" s="343">
        <f t="shared" si="40"/>
        <v>0.87750000000000006</v>
      </c>
      <c r="L81" s="343">
        <f t="shared" si="40"/>
        <v>0.87750000000000006</v>
      </c>
      <c r="M81" s="343">
        <f t="shared" si="40"/>
        <v>0.87750000000000006</v>
      </c>
      <c r="N81" s="343">
        <f t="shared" si="40"/>
        <v>0.87750000000000006</v>
      </c>
      <c r="O81" s="343">
        <f t="shared" si="40"/>
        <v>0.87750000000000006</v>
      </c>
      <c r="P81" s="343">
        <f t="shared" si="40"/>
        <v>0.87750000000000006</v>
      </c>
      <c r="Q81" s="343">
        <f t="shared" si="40"/>
        <v>0.87750000000000006</v>
      </c>
      <c r="R81" s="343">
        <f t="shared" si="40"/>
        <v>0.87750000000000006</v>
      </c>
      <c r="S81" s="343">
        <f t="shared" si="40"/>
        <v>0.87750000000000006</v>
      </c>
      <c r="T81" s="343">
        <f t="shared" si="40"/>
        <v>0.87750000000000006</v>
      </c>
      <c r="U81" s="343">
        <f t="shared" si="40"/>
        <v>0.87750000000000006</v>
      </c>
      <c r="V81" s="343">
        <f t="shared" si="40"/>
        <v>0.87750000000000006</v>
      </c>
      <c r="W81" s="343">
        <f t="shared" si="40"/>
        <v>0.87750000000000006</v>
      </c>
      <c r="X81" s="343">
        <f t="shared" si="40"/>
        <v>0.87750000000000006</v>
      </c>
      <c r="Y81" s="343">
        <f t="shared" si="40"/>
        <v>0.87750000000000006</v>
      </c>
      <c r="Z81" s="343">
        <f t="shared" si="40"/>
        <v>0.87750000000000006</v>
      </c>
      <c r="AA81" s="343">
        <f t="shared" si="40"/>
        <v>0.87750000000000006</v>
      </c>
      <c r="AB81" s="343">
        <f t="shared" si="40"/>
        <v>0.87750000000000006</v>
      </c>
      <c r="AC81" s="343">
        <f t="shared" si="40"/>
        <v>0.87750000000000006</v>
      </c>
      <c r="AD81" s="343">
        <f t="shared" si="40"/>
        <v>0.87750000000000006</v>
      </c>
      <c r="AE81" s="343">
        <f>(58.5/1000)*15</f>
        <v>0.87750000000000006</v>
      </c>
      <c r="AF81" s="343">
        <f t="shared" ref="AF81:AY82" si="41">(58.5/1000)*15</f>
        <v>0.87750000000000006</v>
      </c>
      <c r="AG81" s="343">
        <f t="shared" si="41"/>
        <v>0.87750000000000006</v>
      </c>
      <c r="AH81" s="343">
        <f t="shared" si="41"/>
        <v>0.87750000000000006</v>
      </c>
      <c r="AI81" s="343">
        <f t="shared" si="41"/>
        <v>0.87750000000000006</v>
      </c>
      <c r="AJ81" s="343">
        <f t="shared" si="41"/>
        <v>0.87750000000000006</v>
      </c>
      <c r="AK81" s="343">
        <f t="shared" si="41"/>
        <v>0.87750000000000006</v>
      </c>
      <c r="AL81" s="343">
        <f t="shared" si="41"/>
        <v>0.87750000000000006</v>
      </c>
      <c r="AM81" s="343">
        <f t="shared" si="41"/>
        <v>0.87750000000000006</v>
      </c>
      <c r="AN81" s="343">
        <f t="shared" si="41"/>
        <v>0.87750000000000006</v>
      </c>
      <c r="AO81" s="343">
        <f t="shared" si="41"/>
        <v>0.87750000000000006</v>
      </c>
      <c r="AP81" s="343">
        <f t="shared" si="41"/>
        <v>0.87750000000000006</v>
      </c>
      <c r="AQ81" s="343">
        <f t="shared" si="41"/>
        <v>0.87750000000000006</v>
      </c>
      <c r="AR81" s="343">
        <f t="shared" si="41"/>
        <v>0.87750000000000006</v>
      </c>
      <c r="AS81" s="343">
        <f t="shared" si="41"/>
        <v>0.87750000000000006</v>
      </c>
      <c r="AT81" s="343">
        <f t="shared" si="41"/>
        <v>0.87750000000000006</v>
      </c>
      <c r="AU81" s="343">
        <f t="shared" si="41"/>
        <v>0.87750000000000006</v>
      </c>
      <c r="AV81" s="343">
        <f t="shared" si="41"/>
        <v>0.87750000000000006</v>
      </c>
      <c r="AW81" s="343">
        <f t="shared" si="41"/>
        <v>0.87750000000000006</v>
      </c>
      <c r="AX81" s="343">
        <f t="shared" si="41"/>
        <v>0.87750000000000006</v>
      </c>
      <c r="AY81" s="344">
        <f t="shared" si="41"/>
        <v>0.87750000000000006</v>
      </c>
    </row>
    <row r="82" spans="1:51" ht="12.75" thickBot="1">
      <c r="A82" s="345" t="s">
        <v>2890</v>
      </c>
      <c r="B82" s="346">
        <f>(58.5/1000)*15</f>
        <v>0.87750000000000006</v>
      </c>
      <c r="C82" s="347">
        <f t="shared" si="40"/>
        <v>0.87750000000000006</v>
      </c>
      <c r="D82" s="347">
        <f t="shared" si="40"/>
        <v>0.87750000000000006</v>
      </c>
      <c r="E82" s="347">
        <f t="shared" si="40"/>
        <v>0.87750000000000006</v>
      </c>
      <c r="F82" s="347">
        <f t="shared" si="40"/>
        <v>0.87750000000000006</v>
      </c>
      <c r="G82" s="347">
        <f t="shared" si="40"/>
        <v>0.87750000000000006</v>
      </c>
      <c r="H82" s="347">
        <f t="shared" si="40"/>
        <v>0.87750000000000006</v>
      </c>
      <c r="I82" s="347">
        <f t="shared" si="40"/>
        <v>0.87750000000000006</v>
      </c>
      <c r="J82" s="347">
        <f t="shared" si="40"/>
        <v>0.87750000000000006</v>
      </c>
      <c r="K82" s="347">
        <f t="shared" si="40"/>
        <v>0.87750000000000006</v>
      </c>
      <c r="L82" s="347">
        <f t="shared" si="40"/>
        <v>0.87750000000000006</v>
      </c>
      <c r="M82" s="347">
        <f t="shared" si="40"/>
        <v>0.87750000000000006</v>
      </c>
      <c r="N82" s="347">
        <f t="shared" si="40"/>
        <v>0.87750000000000006</v>
      </c>
      <c r="O82" s="347">
        <f t="shared" si="40"/>
        <v>0.87750000000000006</v>
      </c>
      <c r="P82" s="347">
        <f t="shared" si="40"/>
        <v>0.87750000000000006</v>
      </c>
      <c r="Q82" s="347">
        <f t="shared" si="40"/>
        <v>0.87750000000000006</v>
      </c>
      <c r="R82" s="347">
        <f t="shared" si="40"/>
        <v>0.87750000000000006</v>
      </c>
      <c r="S82" s="347">
        <f t="shared" si="40"/>
        <v>0.87750000000000006</v>
      </c>
      <c r="T82" s="347">
        <f t="shared" si="40"/>
        <v>0.87750000000000006</v>
      </c>
      <c r="U82" s="347">
        <f t="shared" si="40"/>
        <v>0.87750000000000006</v>
      </c>
      <c r="V82" s="347">
        <f t="shared" si="40"/>
        <v>0.87750000000000006</v>
      </c>
      <c r="W82" s="347">
        <f t="shared" si="40"/>
        <v>0.87750000000000006</v>
      </c>
      <c r="X82" s="347">
        <f t="shared" si="40"/>
        <v>0.87750000000000006</v>
      </c>
      <c r="Y82" s="347">
        <f t="shared" si="40"/>
        <v>0.87750000000000006</v>
      </c>
      <c r="Z82" s="347">
        <f t="shared" si="40"/>
        <v>0.87750000000000006</v>
      </c>
      <c r="AA82" s="347">
        <f t="shared" si="40"/>
        <v>0.87750000000000006</v>
      </c>
      <c r="AB82" s="347">
        <f t="shared" si="40"/>
        <v>0.87750000000000006</v>
      </c>
      <c r="AC82" s="347">
        <f t="shared" si="40"/>
        <v>0.87750000000000006</v>
      </c>
      <c r="AD82" s="347">
        <f t="shared" si="40"/>
        <v>0.87750000000000006</v>
      </c>
      <c r="AE82" s="347">
        <f>(58.5/1000)*15</f>
        <v>0.87750000000000006</v>
      </c>
      <c r="AF82" s="347">
        <f t="shared" si="41"/>
        <v>0.87750000000000006</v>
      </c>
      <c r="AG82" s="347">
        <f t="shared" si="41"/>
        <v>0.87750000000000006</v>
      </c>
      <c r="AH82" s="347">
        <f t="shared" si="41"/>
        <v>0.87750000000000006</v>
      </c>
      <c r="AI82" s="347">
        <f t="shared" si="41"/>
        <v>0.87750000000000006</v>
      </c>
      <c r="AJ82" s="347">
        <f t="shared" si="41"/>
        <v>0.87750000000000006</v>
      </c>
      <c r="AK82" s="347">
        <f t="shared" si="41"/>
        <v>0.87750000000000006</v>
      </c>
      <c r="AL82" s="347">
        <f t="shared" si="41"/>
        <v>0.87750000000000006</v>
      </c>
      <c r="AM82" s="347">
        <f t="shared" si="41"/>
        <v>0.87750000000000006</v>
      </c>
      <c r="AN82" s="347">
        <f t="shared" si="41"/>
        <v>0.87750000000000006</v>
      </c>
      <c r="AO82" s="347">
        <f t="shared" si="41"/>
        <v>0.87750000000000006</v>
      </c>
      <c r="AP82" s="347">
        <f t="shared" si="41"/>
        <v>0.87750000000000006</v>
      </c>
      <c r="AQ82" s="347">
        <f t="shared" si="41"/>
        <v>0.87750000000000006</v>
      </c>
      <c r="AR82" s="347">
        <f t="shared" si="41"/>
        <v>0.87750000000000006</v>
      </c>
      <c r="AS82" s="347">
        <f t="shared" si="41"/>
        <v>0.87750000000000006</v>
      </c>
      <c r="AT82" s="347">
        <f t="shared" si="41"/>
        <v>0.87750000000000006</v>
      </c>
      <c r="AU82" s="347">
        <f t="shared" si="41"/>
        <v>0.87750000000000006</v>
      </c>
      <c r="AV82" s="347">
        <f t="shared" si="41"/>
        <v>0.87750000000000006</v>
      </c>
      <c r="AW82" s="347">
        <f t="shared" si="41"/>
        <v>0.87750000000000006</v>
      </c>
      <c r="AX82" s="347">
        <f t="shared" si="41"/>
        <v>0.87750000000000006</v>
      </c>
      <c r="AY82" s="348">
        <f t="shared" si="41"/>
        <v>0.87750000000000006</v>
      </c>
    </row>
    <row r="83" spans="1:51">
      <c r="B83" s="325"/>
      <c r="C83" s="325"/>
      <c r="D83" s="325"/>
      <c r="E83" s="325"/>
      <c r="F83" s="325"/>
      <c r="G83" s="325"/>
      <c r="H83" s="325"/>
      <c r="I83" s="325"/>
      <c r="J83" s="325"/>
      <c r="K83" s="325"/>
      <c r="L83" s="325"/>
      <c r="M83" s="325"/>
      <c r="N83" s="325"/>
      <c r="O83" s="325"/>
      <c r="P83" s="325"/>
      <c r="Q83" s="325"/>
      <c r="R83" s="325"/>
      <c r="S83" s="325"/>
      <c r="T83" s="325"/>
      <c r="U83" s="325"/>
      <c r="V83" s="325"/>
      <c r="W83" s="325"/>
      <c r="X83" s="325"/>
      <c r="Y83" s="325"/>
      <c r="Z83" s="325"/>
      <c r="AA83" s="325"/>
      <c r="AB83" s="325"/>
      <c r="AC83" s="325"/>
      <c r="AD83" s="325"/>
      <c r="AE83" s="325"/>
    </row>
    <row r="84" spans="1:51" ht="15.75" thickBot="1">
      <c r="A84" s="329" t="s">
        <v>2891</v>
      </c>
      <c r="B84" s="325"/>
      <c r="C84" s="325"/>
      <c r="D84" s="325"/>
      <c r="E84" s="325"/>
      <c r="F84" s="325"/>
      <c r="G84" s="325"/>
      <c r="H84" s="325"/>
      <c r="I84" s="325"/>
      <c r="J84" s="325"/>
      <c r="K84" s="325"/>
      <c r="L84" s="325"/>
      <c r="M84" s="325"/>
      <c r="N84" s="325"/>
      <c r="O84" s="325"/>
      <c r="P84" s="325"/>
      <c r="Q84" s="325"/>
      <c r="R84" s="325"/>
      <c r="S84" s="325"/>
      <c r="T84" s="325"/>
      <c r="U84" s="325"/>
      <c r="V84" s="325"/>
      <c r="W84" s="325"/>
      <c r="X84" s="325"/>
      <c r="Y84" s="325"/>
      <c r="Z84" s="325"/>
      <c r="AA84" s="325"/>
      <c r="AB84" s="325"/>
      <c r="AC84" s="325"/>
      <c r="AD84" s="325"/>
      <c r="AE84" s="325"/>
    </row>
    <row r="85" spans="1:51" ht="12.75" thickBot="1">
      <c r="A85" s="330" t="s">
        <v>2886</v>
      </c>
      <c r="B85" s="331">
        <v>1</v>
      </c>
      <c r="C85" s="332">
        <v>2</v>
      </c>
      <c r="D85" s="332">
        <v>3</v>
      </c>
      <c r="E85" s="332">
        <v>4</v>
      </c>
      <c r="F85" s="332">
        <v>5</v>
      </c>
      <c r="G85" s="332">
        <v>6</v>
      </c>
      <c r="H85" s="332">
        <v>7</v>
      </c>
      <c r="I85" s="332">
        <v>8</v>
      </c>
      <c r="J85" s="332">
        <v>9</v>
      </c>
      <c r="K85" s="332">
        <v>10</v>
      </c>
      <c r="L85" s="332">
        <v>11</v>
      </c>
      <c r="M85" s="332">
        <v>12</v>
      </c>
      <c r="N85" s="332">
        <v>13</v>
      </c>
      <c r="O85" s="332">
        <v>14</v>
      </c>
      <c r="P85" s="332">
        <v>15</v>
      </c>
      <c r="Q85" s="332">
        <v>16</v>
      </c>
      <c r="R85" s="332">
        <v>17</v>
      </c>
      <c r="S85" s="332">
        <v>18</v>
      </c>
      <c r="T85" s="332">
        <v>19</v>
      </c>
      <c r="U85" s="332">
        <v>20</v>
      </c>
      <c r="V85" s="332">
        <v>21</v>
      </c>
      <c r="W85" s="332">
        <v>22</v>
      </c>
      <c r="X85" s="332">
        <v>23</v>
      </c>
      <c r="Y85" s="332">
        <v>24</v>
      </c>
      <c r="Z85" s="332">
        <v>25</v>
      </c>
      <c r="AA85" s="332">
        <v>26</v>
      </c>
      <c r="AB85" s="332">
        <v>27</v>
      </c>
      <c r="AC85" s="332">
        <v>28</v>
      </c>
      <c r="AD85" s="332">
        <v>29</v>
      </c>
      <c r="AE85" s="332">
        <v>30</v>
      </c>
      <c r="AF85" s="332">
        <f t="shared" ref="AF85:AY85" si="42">AE85+1</f>
        <v>31</v>
      </c>
      <c r="AG85" s="332">
        <f t="shared" si="42"/>
        <v>32</v>
      </c>
      <c r="AH85" s="332">
        <f t="shared" si="42"/>
        <v>33</v>
      </c>
      <c r="AI85" s="332">
        <f t="shared" si="42"/>
        <v>34</v>
      </c>
      <c r="AJ85" s="332">
        <f t="shared" si="42"/>
        <v>35</v>
      </c>
      <c r="AK85" s="332">
        <f t="shared" si="42"/>
        <v>36</v>
      </c>
      <c r="AL85" s="332">
        <f t="shared" si="42"/>
        <v>37</v>
      </c>
      <c r="AM85" s="332">
        <f t="shared" si="42"/>
        <v>38</v>
      </c>
      <c r="AN85" s="332">
        <f t="shared" si="42"/>
        <v>39</v>
      </c>
      <c r="AO85" s="332">
        <f t="shared" si="42"/>
        <v>40</v>
      </c>
      <c r="AP85" s="332">
        <f t="shared" si="42"/>
        <v>41</v>
      </c>
      <c r="AQ85" s="332">
        <f t="shared" si="42"/>
        <v>42</v>
      </c>
      <c r="AR85" s="332">
        <f t="shared" si="42"/>
        <v>43</v>
      </c>
      <c r="AS85" s="332">
        <f t="shared" si="42"/>
        <v>44</v>
      </c>
      <c r="AT85" s="332">
        <f t="shared" si="42"/>
        <v>45</v>
      </c>
      <c r="AU85" s="332">
        <f t="shared" si="42"/>
        <v>46</v>
      </c>
      <c r="AV85" s="332">
        <f t="shared" si="42"/>
        <v>47</v>
      </c>
      <c r="AW85" s="332">
        <f t="shared" si="42"/>
        <v>48</v>
      </c>
      <c r="AX85" s="332">
        <f t="shared" si="42"/>
        <v>49</v>
      </c>
      <c r="AY85" s="333">
        <f t="shared" si="42"/>
        <v>50</v>
      </c>
    </row>
    <row r="86" spans="1:51">
      <c r="A86" s="334" t="s">
        <v>2908</v>
      </c>
      <c r="B86" s="335">
        <f t="shared" ref="B86:B93" si="43">B75/(1+$C$3)^(B$16-0.5)</f>
        <v>6.6506021841986604E-2</v>
      </c>
      <c r="C86" s="336">
        <f t="shared" ref="C86:AY91" si="44">(C75/(1+$C$3)^(C$16-0.5)+B86)</f>
        <v>0.12827490399744898</v>
      </c>
      <c r="D86" s="336">
        <f t="shared" si="44"/>
        <v>0.18564973740670915</v>
      </c>
      <c r="E86" s="336">
        <f t="shared" si="44"/>
        <v>0.23990370587347698</v>
      </c>
      <c r="F86" s="336">
        <f t="shared" si="44"/>
        <v>0.29120627325122672</v>
      </c>
      <c r="G86" s="336">
        <f t="shared" si="44"/>
        <v>0.33972434249937733</v>
      </c>
      <c r="H86" s="336">
        <f t="shared" si="44"/>
        <v>0.38582353901948346</v>
      </c>
      <c r="I86" s="336">
        <f t="shared" si="44"/>
        <v>0.42962889916558616</v>
      </c>
      <c r="J86" s="336">
        <f t="shared" si="44"/>
        <v>0.47124865834523672</v>
      </c>
      <c r="K86" s="336">
        <f t="shared" si="44"/>
        <v>0.51079812378440359</v>
      </c>
      <c r="L86" s="336">
        <f t="shared" si="44"/>
        <v>0.54837896873154479</v>
      </c>
      <c r="M86" s="336">
        <f t="shared" si="44"/>
        <v>0.584085174103256</v>
      </c>
      <c r="N86" s="336">
        <f t="shared" si="44"/>
        <v>0.61801365427958765</v>
      </c>
      <c r="O86" s="336">
        <f t="shared" si="44"/>
        <v>0.65025363427340055</v>
      </c>
      <c r="P86" s="336">
        <f t="shared" si="44"/>
        <v>0.6808889547833743</v>
      </c>
      <c r="Q86" s="336">
        <f t="shared" si="44"/>
        <v>0.70992717327624033</v>
      </c>
      <c r="R86" s="336">
        <f t="shared" si="44"/>
        <v>0.73745155099459681</v>
      </c>
      <c r="S86" s="336">
        <f t="shared" si="44"/>
        <v>0.76354100854754137</v>
      </c>
      <c r="T86" s="336">
        <f t="shared" si="44"/>
        <v>0.78827035219962149</v>
      </c>
      <c r="U86" s="336">
        <f t="shared" si="44"/>
        <v>0.81171048836273063</v>
      </c>
      <c r="V86" s="336">
        <f t="shared" si="44"/>
        <v>0.83392862690596203</v>
      </c>
      <c r="W86" s="336">
        <f t="shared" si="44"/>
        <v>0.85498847386637089</v>
      </c>
      <c r="X86" s="336">
        <f t="shared" si="44"/>
        <v>0.87495041411320396</v>
      </c>
      <c r="Y86" s="336">
        <f t="shared" si="44"/>
        <v>0.89387168448934906</v>
      </c>
      <c r="Z86" s="336">
        <f t="shared" si="44"/>
        <v>0.91180653792645339</v>
      </c>
      <c r="AA86" s="336">
        <f t="shared" si="44"/>
        <v>0.92880639900427742</v>
      </c>
      <c r="AB86" s="336">
        <f t="shared" si="44"/>
        <v>0.94492001140031912</v>
      </c>
      <c r="AC86" s="336">
        <f t="shared" si="44"/>
        <v>0.96019357765249136</v>
      </c>
      <c r="AD86" s="336">
        <f t="shared" si="44"/>
        <v>0.97467089163559306</v>
      </c>
      <c r="AE86" s="336">
        <f t="shared" si="44"/>
        <v>0.98839346413142404</v>
      </c>
      <c r="AF86" s="336">
        <f t="shared" si="44"/>
        <v>1.0014006418525909</v>
      </c>
      <c r="AG86" s="336">
        <f t="shared" si="44"/>
        <v>1.0137297202612798</v>
      </c>
      <c r="AH86" s="336">
        <f t="shared" si="44"/>
        <v>1.0254160505064827</v>
      </c>
      <c r="AI86" s="336">
        <f t="shared" si="44"/>
        <v>1.0364931407862956</v>
      </c>
      <c r="AJ86" s="336">
        <f t="shared" si="44"/>
        <v>1.0469927524259288</v>
      </c>
      <c r="AK86" s="336">
        <f t="shared" si="44"/>
        <v>1.0569449909469082</v>
      </c>
      <c r="AL86" s="336">
        <f t="shared" si="44"/>
        <v>1.0663783923885948</v>
      </c>
      <c r="AM86" s="336">
        <f t="shared" si="44"/>
        <v>1.07532000512953</v>
      </c>
      <c r="AN86" s="336">
        <f t="shared" si="44"/>
        <v>1.0837954674432126</v>
      </c>
      <c r="AO86" s="336">
        <f t="shared" si="44"/>
        <v>1.0918290810106843</v>
      </c>
      <c r="AP86" s="336">
        <f t="shared" si="44"/>
        <v>1.099443880600705</v>
      </c>
      <c r="AQ86" s="336">
        <f t="shared" si="44"/>
        <v>1.106661700117312</v>
      </c>
      <c r="AR86" s="336">
        <f t="shared" si="44"/>
        <v>1.1135032352041434</v>
      </c>
      <c r="AS86" s="336">
        <f t="shared" si="44"/>
        <v>1.1199881025850262</v>
      </c>
      <c r="AT86" s="336">
        <f t="shared" si="44"/>
        <v>1.1261348963109816</v>
      </c>
      <c r="AU86" s="336">
        <f t="shared" si="44"/>
        <v>1.1319612410749202</v>
      </c>
      <c r="AV86" s="336">
        <f t="shared" si="44"/>
        <v>1.1374838427469001</v>
      </c>
      <c r="AW86" s="336">
        <f t="shared" si="44"/>
        <v>1.1427185362748431</v>
      </c>
      <c r="AX86" s="336">
        <f t="shared" si="44"/>
        <v>1.1476803310880592</v>
      </c>
      <c r="AY86" s="337">
        <f t="shared" si="44"/>
        <v>1.1523834541337616</v>
      </c>
    </row>
    <row r="87" spans="1:51">
      <c r="A87" s="338" t="s">
        <v>2909</v>
      </c>
      <c r="B87" s="342">
        <f t="shared" si="43"/>
        <v>83.142880157899583</v>
      </c>
      <c r="C87" s="343">
        <f t="shared" si="44"/>
        <v>168.53441057976141</v>
      </c>
      <c r="D87" s="343">
        <f t="shared" si="44"/>
        <v>255.33713327310039</v>
      </c>
      <c r="E87" s="343">
        <f t="shared" si="44"/>
        <v>342.85019038251738</v>
      </c>
      <c r="F87" s="343">
        <f t="shared" si="44"/>
        <v>430.46720059461694</v>
      </c>
      <c r="G87" s="343">
        <f t="shared" si="44"/>
        <v>517.67458334521405</v>
      </c>
      <c r="H87" s="343">
        <f t="shared" si="44"/>
        <v>604.04866016790231</v>
      </c>
      <c r="I87" s="343">
        <f t="shared" si="44"/>
        <v>689.22294077369145</v>
      </c>
      <c r="J87" s="343">
        <f t="shared" si="44"/>
        <v>772.90319960289992</v>
      </c>
      <c r="K87" s="343">
        <f t="shared" si="44"/>
        <v>854.84525147923114</v>
      </c>
      <c r="L87" s="343">
        <f t="shared" si="44"/>
        <v>934.84935653622915</v>
      </c>
      <c r="M87" s="343">
        <f t="shared" si="44"/>
        <v>1012.7609731846534</v>
      </c>
      <c r="N87" s="343">
        <f t="shared" si="44"/>
        <v>1086.6108467850554</v>
      </c>
      <c r="O87" s="343">
        <f t="shared" si="44"/>
        <v>1156.61072697501</v>
      </c>
      <c r="P87" s="343">
        <f t="shared" si="44"/>
        <v>1222.96132431146</v>
      </c>
      <c r="Q87" s="343">
        <f t="shared" si="44"/>
        <v>1285.8528857678107</v>
      </c>
      <c r="R87" s="343">
        <f t="shared" si="44"/>
        <v>1345.4657402288065</v>
      </c>
      <c r="S87" s="343">
        <f t="shared" si="44"/>
        <v>1401.9708155472858</v>
      </c>
      <c r="T87" s="343">
        <f t="shared" si="44"/>
        <v>1455.5301286453707</v>
      </c>
      <c r="U87" s="343">
        <f t="shared" si="44"/>
        <v>1506.2972500653564</v>
      </c>
      <c r="V87" s="343">
        <f t="shared" si="44"/>
        <v>1554.4177443023095</v>
      </c>
      <c r="W87" s="343">
        <f t="shared" si="44"/>
        <v>1600.0295871809381</v>
      </c>
      <c r="X87" s="343">
        <f t="shared" si="44"/>
        <v>1643.263561473477</v>
      </c>
      <c r="Y87" s="343">
        <f t="shared" si="44"/>
        <v>1684.2436318929451</v>
      </c>
      <c r="Z87" s="343">
        <f t="shared" si="44"/>
        <v>1723.0873005369908</v>
      </c>
      <c r="AA87" s="343">
        <f t="shared" si="44"/>
        <v>1759.9059438014892</v>
      </c>
      <c r="AB87" s="343">
        <f t="shared" si="44"/>
        <v>1794.8051317299237</v>
      </c>
      <c r="AC87" s="343">
        <f t="shared" si="44"/>
        <v>1827.8849307142218</v>
      </c>
      <c r="AD87" s="343">
        <f t="shared" si="44"/>
        <v>1859.2401904149783</v>
      </c>
      <c r="AE87" s="343">
        <f t="shared" si="44"/>
        <v>1888.9608157237521</v>
      </c>
      <c r="AF87" s="343">
        <f t="shared" si="44"/>
        <v>1917.1320245472346</v>
      </c>
      <c r="AG87" s="343">
        <f t="shared" si="44"/>
        <v>1943.834592152431</v>
      </c>
      <c r="AH87" s="343">
        <f t="shared" si="44"/>
        <v>1969.1450827734704</v>
      </c>
      <c r="AI87" s="343">
        <f t="shared" si="44"/>
        <v>1993.1360691441239</v>
      </c>
      <c r="AJ87" s="343">
        <f t="shared" si="44"/>
        <v>2015.8763405855016</v>
      </c>
      <c r="AK87" s="343">
        <f t="shared" si="44"/>
        <v>2037.4311002455752</v>
      </c>
      <c r="AL87" s="343">
        <f t="shared" si="44"/>
        <v>2057.8621520560714</v>
      </c>
      <c r="AM87" s="343">
        <f t="shared" si="44"/>
        <v>2077.2280779427979</v>
      </c>
      <c r="AN87" s="343">
        <f t="shared" si="44"/>
        <v>2095.5844057975146</v>
      </c>
      <c r="AO87" s="343">
        <f t="shared" si="44"/>
        <v>2112.9837686929809</v>
      </c>
      <c r="AP87" s="343">
        <f t="shared" si="44"/>
        <v>2129.4760557976883</v>
      </c>
      <c r="AQ87" s="343">
        <f t="shared" si="44"/>
        <v>2145.1085554230035</v>
      </c>
      <c r="AR87" s="343">
        <f t="shared" si="44"/>
        <v>2159.9260906128757</v>
      </c>
      <c r="AS87" s="343">
        <f t="shared" si="44"/>
        <v>2173.9711476648872</v>
      </c>
      <c r="AT87" s="343">
        <f t="shared" si="44"/>
        <v>2187.2839979511541</v>
      </c>
      <c r="AU87" s="343">
        <f t="shared" si="44"/>
        <v>2199.9028133883739</v>
      </c>
      <c r="AV87" s="343">
        <f t="shared" si="44"/>
        <v>2211.8637758881082</v>
      </c>
      <c r="AW87" s="343">
        <f t="shared" si="44"/>
        <v>2223.2011811011266</v>
      </c>
      <c r="AX87" s="343">
        <f t="shared" si="44"/>
        <v>2233.9475367532768</v>
      </c>
      <c r="AY87" s="344">
        <f t="shared" si="44"/>
        <v>2244.133655854841</v>
      </c>
    </row>
    <row r="88" spans="1:51">
      <c r="A88" s="338" t="s">
        <v>2910</v>
      </c>
      <c r="B88" s="342">
        <f t="shared" si="43"/>
        <v>9.9695080143101027</v>
      </c>
      <c r="C88" s="343">
        <f t="shared" si="44"/>
        <v>19.207027936485396</v>
      </c>
      <c r="D88" s="343">
        <f t="shared" si="44"/>
        <v>27.770532681796588</v>
      </c>
      <c r="E88" s="343">
        <f t="shared" si="44"/>
        <v>35.887598791096295</v>
      </c>
      <c r="F88" s="343">
        <f t="shared" si="44"/>
        <v>43.581500316498861</v>
      </c>
      <c r="G88" s="343">
        <f t="shared" si="44"/>
        <v>50.874297970908877</v>
      </c>
      <c r="H88" s="343">
        <f t="shared" si="44"/>
        <v>57.843389446302268</v>
      </c>
      <c r="I88" s="343">
        <f t="shared" si="44"/>
        <v>64.496012816984674</v>
      </c>
      <c r="J88" s="343">
        <f t="shared" si="44"/>
        <v>70.852567898586869</v>
      </c>
      <c r="K88" s="343">
        <f t="shared" si="44"/>
        <v>76.877738592048672</v>
      </c>
      <c r="L88" s="343">
        <f t="shared" si="44"/>
        <v>82.588800860732846</v>
      </c>
      <c r="M88" s="343">
        <f t="shared" si="44"/>
        <v>88.002130025362391</v>
      </c>
      <c r="N88" s="343">
        <f t="shared" si="44"/>
        <v>93.133247716954372</v>
      </c>
      <c r="O88" s="343">
        <f t="shared" si="44"/>
        <v>97.996866381970477</v>
      </c>
      <c r="P88" s="343">
        <f t="shared" si="44"/>
        <v>102.60693146729379</v>
      </c>
      <c r="Q88" s="343">
        <f t="shared" si="44"/>
        <v>106.97666140598888</v>
      </c>
      <c r="R88" s="343">
        <f t="shared" si="44"/>
        <v>111.11858551849608</v>
      </c>
      <c r="S88" s="343">
        <f t="shared" si="44"/>
        <v>115.04457993793417</v>
      </c>
      <c r="T88" s="343">
        <f t="shared" si="44"/>
        <v>118.76590166252005</v>
      </c>
      <c r="U88" s="343">
        <f t="shared" si="44"/>
        <v>122.29322083274363</v>
      </c>
      <c r="V88" s="343">
        <f t="shared" si="44"/>
        <v>125.63665132584654</v>
      </c>
      <c r="W88" s="343">
        <f t="shared" si="44"/>
        <v>128.80577975532799</v>
      </c>
      <c r="X88" s="343">
        <f t="shared" si="44"/>
        <v>131.80969295862792</v>
      </c>
      <c r="Y88" s="343">
        <f t="shared" si="44"/>
        <v>134.65700405180323</v>
      </c>
      <c r="Z88" s="343">
        <f t="shared" si="44"/>
        <v>137.35587712590305</v>
      </c>
      <c r="AA88" s="343">
        <f t="shared" si="44"/>
        <v>139.91405065585548</v>
      </c>
      <c r="AB88" s="343">
        <f t="shared" si="44"/>
        <v>142.33885968898574</v>
      </c>
      <c r="AC88" s="343">
        <f t="shared" si="44"/>
        <v>144.63725687678692</v>
      </c>
      <c r="AD88" s="343">
        <f t="shared" si="44"/>
        <v>146.81583241024776</v>
      </c>
      <c r="AE88" s="343">
        <f t="shared" si="44"/>
        <v>148.88083291589786</v>
      </c>
      <c r="AF88" s="343">
        <f t="shared" si="44"/>
        <v>150.83817936675104</v>
      </c>
      <c r="AG88" s="343">
        <f t="shared" si="44"/>
        <v>152.69348405950285</v>
      </c>
      <c r="AH88" s="343">
        <f t="shared" si="44"/>
        <v>154.45206670666099</v>
      </c>
      <c r="AI88" s="343">
        <f t="shared" si="44"/>
        <v>156.11896968974926</v>
      </c>
      <c r="AJ88" s="343">
        <f t="shared" si="44"/>
        <v>157.6989725173211</v>
      </c>
      <c r="AK88" s="343">
        <f t="shared" si="44"/>
        <v>159.1966055292375</v>
      </c>
      <c r="AL88" s="343">
        <f t="shared" si="44"/>
        <v>160.61616288650424</v>
      </c>
      <c r="AM88" s="343">
        <f t="shared" si="44"/>
        <v>161.96171488391349</v>
      </c>
      <c r="AN88" s="343">
        <f t="shared" si="44"/>
        <v>163.23711962079429</v>
      </c>
      <c r="AO88" s="343">
        <f t="shared" si="44"/>
        <v>164.44603406333533</v>
      </c>
      <c r="AP88" s="343">
        <f t="shared" si="44"/>
        <v>165.59192453019887</v>
      </c>
      <c r="AQ88" s="343">
        <f t="shared" si="44"/>
        <v>166.67807663149134</v>
      </c>
      <c r="AR88" s="343">
        <f t="shared" si="44"/>
        <v>167.70760468958846</v>
      </c>
      <c r="AS88" s="343">
        <f t="shared" si="44"/>
        <v>168.68346066882745</v>
      </c>
      <c r="AT88" s="343">
        <f t="shared" si="44"/>
        <v>169.60844263967007</v>
      </c>
      <c r="AU88" s="343">
        <f t="shared" si="44"/>
        <v>170.48520280160622</v>
      </c>
      <c r="AV88" s="343">
        <f t="shared" si="44"/>
        <v>171.31625508780161</v>
      </c>
      <c r="AW88" s="343">
        <f t="shared" si="44"/>
        <v>172.10398237329488</v>
      </c>
      <c r="AX88" s="343">
        <f t="shared" si="44"/>
        <v>172.85064330741173</v>
      </c>
      <c r="AY88" s="344">
        <f t="shared" si="44"/>
        <v>173.55837878998693</v>
      </c>
    </row>
    <row r="89" spans="1:51">
      <c r="A89" s="338" t="s">
        <v>2911</v>
      </c>
      <c r="B89" s="342">
        <f t="shared" si="43"/>
        <v>9.2028100102799062</v>
      </c>
      <c r="C89" s="343">
        <f t="shared" si="44"/>
        <v>17.724368306785436</v>
      </c>
      <c r="D89" s="343">
        <f t="shared" si="44"/>
        <v>25.614338971004738</v>
      </c>
      <c r="E89" s="343">
        <f t="shared" si="44"/>
        <v>33.092984150359527</v>
      </c>
      <c r="F89" s="343">
        <f t="shared" si="44"/>
        <v>40.181747353539421</v>
      </c>
      <c r="G89" s="343">
        <f t="shared" si="44"/>
        <v>46.900954181198088</v>
      </c>
      <c r="H89" s="343">
        <f t="shared" si="44"/>
        <v>53.322238820759729</v>
      </c>
      <c r="I89" s="343">
        <f t="shared" si="44"/>
        <v>59.509156246227533</v>
      </c>
      <c r="J89" s="343">
        <f t="shared" si="44"/>
        <v>65.373532952832093</v>
      </c>
      <c r="K89" s="343">
        <f t="shared" si="44"/>
        <v>70.932183859566265</v>
      </c>
      <c r="L89" s="343">
        <f t="shared" si="44"/>
        <v>76.201047278271645</v>
      </c>
      <c r="M89" s="343">
        <f t="shared" si="44"/>
        <v>81.195230613537404</v>
      </c>
      <c r="N89" s="343">
        <f t="shared" si="44"/>
        <v>85.929053680140029</v>
      </c>
      <c r="O89" s="343">
        <f t="shared" si="44"/>
        <v>90.416089762227827</v>
      </c>
      <c r="P89" s="343">
        <f t="shared" si="44"/>
        <v>94.66920453197929</v>
      </c>
      <c r="Q89" s="343">
        <f t="shared" si="44"/>
        <v>98.70059293932664</v>
      </c>
      <c r="R89" s="343">
        <f t="shared" si="44"/>
        <v>102.52181417851845</v>
      </c>
      <c r="S89" s="343">
        <f t="shared" si="44"/>
        <v>106.14382483178083</v>
      </c>
      <c r="T89" s="343">
        <f t="shared" si="44"/>
        <v>109.57701028511011</v>
      </c>
      <c r="U89" s="343">
        <f t="shared" si="44"/>
        <v>112.83121450627529</v>
      </c>
      <c r="V89" s="343">
        <f t="shared" si="44"/>
        <v>115.9157682704129</v>
      </c>
      <c r="W89" s="343">
        <f t="shared" si="44"/>
        <v>118.83951591414524</v>
      </c>
      <c r="X89" s="343">
        <f t="shared" si="44"/>
        <v>121.61084069493418</v>
      </c>
      <c r="Y89" s="343">
        <f t="shared" si="44"/>
        <v>124.23768882838341</v>
      </c>
      <c r="Z89" s="343">
        <f t="shared" si="44"/>
        <v>126.72759227241113</v>
      </c>
      <c r="AA89" s="343">
        <f t="shared" si="44"/>
        <v>129.08769032362224</v>
      </c>
      <c r="AB89" s="343">
        <f t="shared" si="44"/>
        <v>131.32475008780338</v>
      </c>
      <c r="AC89" s="343">
        <f t="shared" si="44"/>
        <v>133.44518588323575</v>
      </c>
      <c r="AD89" s="343">
        <f t="shared" si="44"/>
        <v>135.45507763246073</v>
      </c>
      <c r="AE89" s="343">
        <f t="shared" si="44"/>
        <v>137.36018829523323</v>
      </c>
      <c r="AF89" s="343">
        <f t="shared" si="44"/>
        <v>139.16598039264792</v>
      </c>
      <c r="AG89" s="343">
        <f t="shared" si="44"/>
        <v>140.87763166981824</v>
      </c>
      <c r="AH89" s="343">
        <f t="shared" si="44"/>
        <v>142.5000499420176</v>
      </c>
      <c r="AI89" s="343">
        <f t="shared" si="44"/>
        <v>144.03788716685111</v>
      </c>
      <c r="AJ89" s="343">
        <f t="shared" si="44"/>
        <v>145.49555278280704</v>
      </c>
      <c r="AK89" s="343">
        <f t="shared" si="44"/>
        <v>146.87722635243352</v>
      </c>
      <c r="AL89" s="343">
        <f t="shared" si="44"/>
        <v>148.18686954639227</v>
      </c>
      <c r="AM89" s="343">
        <f t="shared" si="44"/>
        <v>149.42823750275127</v>
      </c>
      <c r="AN89" s="343">
        <f t="shared" si="44"/>
        <v>150.60488959408681</v>
      </c>
      <c r="AO89" s="343">
        <f t="shared" si="44"/>
        <v>151.72019963326744</v>
      </c>
      <c r="AP89" s="343">
        <f t="shared" si="44"/>
        <v>152.77736554718271</v>
      </c>
      <c r="AQ89" s="343">
        <f t="shared" si="44"/>
        <v>153.77941854615455</v>
      </c>
      <c r="AR89" s="343">
        <f t="shared" si="44"/>
        <v>154.72923181532215</v>
      </c>
      <c r="AS89" s="343">
        <f t="shared" si="44"/>
        <v>155.62952875292177</v>
      </c>
      <c r="AT89" s="343">
        <f t="shared" si="44"/>
        <v>156.48289077908257</v>
      </c>
      <c r="AU89" s="343">
        <f t="shared" si="44"/>
        <v>157.29176473752881</v>
      </c>
      <c r="AV89" s="343">
        <f t="shared" si="44"/>
        <v>158.05846991141149</v>
      </c>
      <c r="AW89" s="343">
        <f t="shared" si="44"/>
        <v>158.78520467338561</v>
      </c>
      <c r="AX89" s="343">
        <f t="shared" si="44"/>
        <v>159.47405278900089</v>
      </c>
      <c r="AY89" s="344">
        <f t="shared" si="44"/>
        <v>160.12698939147984</v>
      </c>
    </row>
    <row r="90" spans="1:51">
      <c r="A90" s="338" t="s">
        <v>2912</v>
      </c>
      <c r="B90" s="342">
        <f t="shared" si="43"/>
        <v>6.1182586674026789</v>
      </c>
      <c r="C90" s="343">
        <f t="shared" si="44"/>
        <v>12.428881458877321</v>
      </c>
      <c r="D90" s="343">
        <f t="shared" si="44"/>
        <v>18.663448533001478</v>
      </c>
      <c r="E90" s="343">
        <f t="shared" si="44"/>
        <v>24.758953747497628</v>
      </c>
      <c r="F90" s="343">
        <f t="shared" si="44"/>
        <v>30.680705424846916</v>
      </c>
      <c r="G90" s="343">
        <f t="shared" si="44"/>
        <v>36.409160608562402</v>
      </c>
      <c r="H90" s="343">
        <f t="shared" si="44"/>
        <v>41.933745345919618</v>
      </c>
      <c r="I90" s="343">
        <f t="shared" si="44"/>
        <v>48.071024652675924</v>
      </c>
      <c r="J90" s="343">
        <f t="shared" si="44"/>
        <v>53.344183401899116</v>
      </c>
      <c r="K90" s="343">
        <f t="shared" si="44"/>
        <v>58.387229298572841</v>
      </c>
      <c r="L90" s="343">
        <f t="shared" si="44"/>
        <v>63.206893248542535</v>
      </c>
      <c r="M90" s="343">
        <f t="shared" si="44"/>
        <v>67.810341338564868</v>
      </c>
      <c r="N90" s="343">
        <f t="shared" si="44"/>
        <v>72.205003872916535</v>
      </c>
      <c r="O90" s="343">
        <f t="shared" si="44"/>
        <v>76.382152150713026</v>
      </c>
      <c r="P90" s="343">
        <f t="shared" si="44"/>
        <v>80.342180607180453</v>
      </c>
      <c r="Q90" s="343">
        <f t="shared" si="44"/>
        <v>84.095762082505033</v>
      </c>
      <c r="R90" s="343">
        <f t="shared" si="44"/>
        <v>87.684355750314964</v>
      </c>
      <c r="S90" s="343">
        <f t="shared" si="44"/>
        <v>91.109251998560694</v>
      </c>
      <c r="T90" s="343">
        <f t="shared" si="44"/>
        <v>94.377765658171711</v>
      </c>
      <c r="U90" s="343">
        <f t="shared" si="44"/>
        <v>97.475882871073139</v>
      </c>
      <c r="V90" s="343">
        <f t="shared" si="44"/>
        <v>100.41248686434464</v>
      </c>
      <c r="W90" s="343">
        <f t="shared" si="44"/>
        <v>103.19599775844085</v>
      </c>
      <c r="X90" s="343">
        <f t="shared" si="44"/>
        <v>105.83439671019082</v>
      </c>
      <c r="Y90" s="343">
        <f t="shared" si="44"/>
        <v>108.3352487971576</v>
      </c>
      <c r="Z90" s="343">
        <f t="shared" si="44"/>
        <v>110.70572470897447</v>
      </c>
      <c r="AA90" s="343">
        <f t="shared" si="44"/>
        <v>112.95262130785301</v>
      </c>
      <c r="AB90" s="343">
        <f t="shared" si="44"/>
        <v>115.08238111721656</v>
      </c>
      <c r="AC90" s="343">
        <f t="shared" si="44"/>
        <v>117.1011107943384</v>
      </c>
      <c r="AD90" s="343">
        <f t="shared" si="44"/>
        <v>119.01459863995152</v>
      </c>
      <c r="AE90" s="343">
        <f t="shared" si="44"/>
        <v>120.82833119503505</v>
      </c>
      <c r="AF90" s="343">
        <f t="shared" si="44"/>
        <v>122.54750897236541</v>
      </c>
      <c r="AG90" s="343">
        <f t="shared" si="44"/>
        <v>124.1770613679392</v>
      </c>
      <c r="AH90" s="343">
        <f t="shared" si="44"/>
        <v>125.72166079502338</v>
      </c>
      <c r="AI90" s="343">
        <f t="shared" si="44"/>
        <v>127.1857360813591</v>
      </c>
      <c r="AJ90" s="343">
        <f t="shared" si="44"/>
        <v>128.57348516793323</v>
      </c>
      <c r="AK90" s="343">
        <f t="shared" si="44"/>
        <v>129.8888871457286</v>
      </c>
      <c r="AL90" s="343">
        <f t="shared" si="44"/>
        <v>131.13571366496595</v>
      </c>
      <c r="AM90" s="343">
        <f t="shared" si="44"/>
        <v>132.31753974955109</v>
      </c>
      <c r="AN90" s="343">
        <f t="shared" si="44"/>
        <v>133.43775404773606</v>
      </c>
      <c r="AO90" s="343">
        <f t="shared" si="44"/>
        <v>134.49956854838533</v>
      </c>
      <c r="AP90" s="343">
        <f t="shared" si="44"/>
        <v>135.5060277907069</v>
      </c>
      <c r="AQ90" s="343">
        <f t="shared" si="44"/>
        <v>136.4600175938553</v>
      </c>
      <c r="AR90" s="343">
        <f t="shared" si="44"/>
        <v>137.36427333143675</v>
      </c>
      <c r="AS90" s="343">
        <f t="shared" si="44"/>
        <v>138.2213877746419</v>
      </c>
      <c r="AT90" s="343">
        <f t="shared" si="44"/>
        <v>139.03381852649511</v>
      </c>
      <c r="AU90" s="343">
        <f t="shared" si="44"/>
        <v>139.80389506853609</v>
      </c>
      <c r="AV90" s="343">
        <f t="shared" si="44"/>
        <v>140.53382544013891</v>
      </c>
      <c r="AW90" s="343">
        <f t="shared" si="44"/>
        <v>141.22570256962027</v>
      </c>
      <c r="AX90" s="343">
        <f t="shared" si="44"/>
        <v>141.8815102752898</v>
      </c>
      <c r="AY90" s="344">
        <f t="shared" si="44"/>
        <v>142.50312895364954</v>
      </c>
    </row>
    <row r="91" spans="1:51">
      <c r="A91" s="338" t="s">
        <v>2892</v>
      </c>
      <c r="B91" s="339">
        <f t="shared" si="43"/>
        <v>6.1141123369011178E-3</v>
      </c>
      <c r="C91" s="340">
        <f t="shared" si="44"/>
        <v>1.1835653147838862E-2</v>
      </c>
      <c r="D91" s="340">
        <f t="shared" si="44"/>
        <v>1.718893701314065E-2</v>
      </c>
      <c r="E91" s="340">
        <f t="shared" si="44"/>
        <v>2.2163645558166009E-2</v>
      </c>
      <c r="F91" s="340">
        <f t="shared" si="44"/>
        <v>2.6784701836957338E-2</v>
      </c>
      <c r="G91" s="340">
        <f t="shared" si="44"/>
        <v>3.1082908421834338E-2</v>
      </c>
      <c r="H91" s="340">
        <f t="shared" si="44"/>
        <v>3.5157037886172721E-2</v>
      </c>
      <c r="I91" s="340">
        <f t="shared" si="44"/>
        <v>3.9012079195542004E-2</v>
      </c>
      <c r="J91" s="340">
        <f t="shared" si="44"/>
        <v>4.2666146787361234E-2</v>
      </c>
      <c r="K91" s="340">
        <f t="shared" si="44"/>
        <v>4.6123704820036415E-2</v>
      </c>
      <c r="L91" s="340">
        <f t="shared" si="44"/>
        <v>4.9401011012145592E-2</v>
      </c>
      <c r="M91" s="340">
        <f t="shared" ref="M91:AY93" si="45">(M80/(1+$C$3)^(M$16-0.5)+L91)</f>
        <v>5.2507462379073722E-2</v>
      </c>
      <c r="N91" s="340">
        <f t="shared" si="45"/>
        <v>5.5446845168468734E-2</v>
      </c>
      <c r="O91" s="340">
        <f t="shared" si="45"/>
        <v>5.8232989992539834E-2</v>
      </c>
      <c r="P91" s="340">
        <f t="shared" si="45"/>
        <v>6.0869284697021131E-2</v>
      </c>
      <c r="Q91" s="340">
        <f t="shared" si="45"/>
        <v>6.3368142236813835E-2</v>
      </c>
      <c r="R91" s="340">
        <f t="shared" si="45"/>
        <v>6.5736727582588902E-2</v>
      </c>
      <c r="S91" s="340">
        <f t="shared" si="45"/>
        <v>6.7981832175740636E-2</v>
      </c>
      <c r="T91" s="340">
        <f t="shared" si="45"/>
        <v>7.0109893401476872E-2</v>
      </c>
      <c r="U91" s="340">
        <f t="shared" si="45"/>
        <v>7.2127013046724489E-2</v>
      </c>
      <c r="V91" s="340">
        <f t="shared" si="45"/>
        <v>7.4038974795774357E-2</v>
      </c>
      <c r="W91" s="340">
        <f t="shared" si="45"/>
        <v>7.5851260813831103E-2</v>
      </c>
      <c r="X91" s="340">
        <f t="shared" si="45"/>
        <v>7.7569067466017591E-2</v>
      </c>
      <c r="Y91" s="340">
        <f t="shared" si="45"/>
        <v>7.9197320216905259E-2</v>
      </c>
      <c r="Z91" s="340">
        <f t="shared" si="45"/>
        <v>8.0740687753291684E-2</v>
      </c>
      <c r="AA91" s="340">
        <f t="shared" si="45"/>
        <v>8.220359537071957E-2</v>
      </c>
      <c r="AB91" s="340">
        <f t="shared" si="45"/>
        <v>8.3590237662120412E-2</v>
      </c>
      <c r="AC91" s="340">
        <f t="shared" si="45"/>
        <v>8.4904590544964811E-2</v>
      </c>
      <c r="AD91" s="340">
        <f t="shared" si="45"/>
        <v>8.6150422661405004E-2</v>
      </c>
      <c r="AE91" s="340">
        <f t="shared" si="45"/>
        <v>8.7331306184097124E-2</v>
      </c>
      <c r="AF91" s="340">
        <f t="shared" si="45"/>
        <v>8.8450627058686809E-2</v>
      </c>
      <c r="AG91" s="340">
        <f t="shared" si="45"/>
        <v>8.9511594712326323E-2</v>
      </c>
      <c r="AH91" s="340">
        <f t="shared" si="45"/>
        <v>9.0517251256060458E-2</v>
      </c>
      <c r="AI91" s="340">
        <f t="shared" si="45"/>
        <v>9.1470480207467217E-2</v>
      </c>
      <c r="AJ91" s="340">
        <f t="shared" si="45"/>
        <v>9.2374014758563674E-2</v>
      </c>
      <c r="AK91" s="340">
        <f t="shared" si="45"/>
        <v>9.3230445612683538E-2</v>
      </c>
      <c r="AL91" s="340">
        <f t="shared" si="45"/>
        <v>9.4042228412797163E-2</v>
      </c>
      <c r="AM91" s="340">
        <f t="shared" si="45"/>
        <v>9.4811690782573108E-2</v>
      </c>
      <c r="AN91" s="340">
        <f t="shared" si="45"/>
        <v>9.5541039000370212E-2</v>
      </c>
      <c r="AO91" s="340">
        <f t="shared" si="45"/>
        <v>9.6232364325296374E-2</v>
      </c>
      <c r="AP91" s="340">
        <f t="shared" si="45"/>
        <v>9.6887648993472825E-2</v>
      </c>
      <c r="AQ91" s="340">
        <f t="shared" si="45"/>
        <v>9.7508771901696961E-2</v>
      </c>
      <c r="AR91" s="340">
        <f t="shared" si="45"/>
        <v>9.8097513994800406E-2</v>
      </c>
      <c r="AS91" s="340">
        <f t="shared" si="45"/>
        <v>9.8655563372149632E-2</v>
      </c>
      <c r="AT91" s="340">
        <f t="shared" si="45"/>
        <v>9.91845201279309E-2</v>
      </c>
      <c r="AU91" s="340">
        <f t="shared" si="45"/>
        <v>9.9685900939097974E-2</v>
      </c>
      <c r="AV91" s="340">
        <f t="shared" si="45"/>
        <v>0.10016114341413786</v>
      </c>
      <c r="AW91" s="340">
        <f t="shared" si="45"/>
        <v>0.10061161021512352</v>
      </c>
      <c r="AX91" s="340">
        <f t="shared" si="45"/>
        <v>0.10103859296487297</v>
      </c>
      <c r="AY91" s="341">
        <f t="shared" si="45"/>
        <v>0.10144331595041747</v>
      </c>
    </row>
    <row r="92" spans="1:51">
      <c r="A92" s="338" t="s">
        <v>2893</v>
      </c>
      <c r="B92" s="342">
        <f t="shared" si="43"/>
        <v>0.85432063306221828</v>
      </c>
      <c r="C92" s="343">
        <f t="shared" ref="C92:AH93" si="46">(C81/(1+$C$3)^(C$16-0.5)+B92)</f>
        <v>1.6641032236425202</v>
      </c>
      <c r="D92" s="343">
        <f t="shared" si="46"/>
        <v>2.4316696602115266</v>
      </c>
      <c r="E92" s="343">
        <f t="shared" si="46"/>
        <v>3.1592207849214855</v>
      </c>
      <c r="F92" s="343">
        <f t="shared" si="46"/>
        <v>3.8488427040778443</v>
      </c>
      <c r="G92" s="343">
        <f t="shared" si="46"/>
        <v>4.502512769628896</v>
      </c>
      <c r="H92" s="343">
        <f t="shared" si="46"/>
        <v>5.1221052488242051</v>
      </c>
      <c r="I92" s="343">
        <f t="shared" si="46"/>
        <v>5.7093966982984323</v>
      </c>
      <c r="J92" s="343">
        <f t="shared" si="46"/>
        <v>6.2660710579896426</v>
      </c>
      <c r="K92" s="343">
        <f t="shared" si="46"/>
        <v>6.7937244794978984</v>
      </c>
      <c r="L92" s="343">
        <f t="shared" si="46"/>
        <v>7.2938699027284732</v>
      </c>
      <c r="M92" s="343">
        <f t="shared" si="46"/>
        <v>7.7679413939422881</v>
      </c>
      <c r="N92" s="343">
        <f t="shared" si="46"/>
        <v>8.2172982576520646</v>
      </c>
      <c r="O92" s="343">
        <f t="shared" si="46"/>
        <v>8.643228934154223</v>
      </c>
      <c r="P92" s="343">
        <f t="shared" si="46"/>
        <v>9.0469546938719088</v>
      </c>
      <c r="Q92" s="343">
        <f t="shared" si="46"/>
        <v>9.4296331391019432</v>
      </c>
      <c r="R92" s="343">
        <f t="shared" si="46"/>
        <v>9.7923615232062406</v>
      </c>
      <c r="S92" s="343">
        <f t="shared" si="46"/>
        <v>10.136179896764817</v>
      </c>
      <c r="T92" s="343">
        <f t="shared" si="46"/>
        <v>10.462074089711335</v>
      </c>
      <c r="U92" s="343">
        <f t="shared" si="46"/>
        <v>10.770978538001872</v>
      </c>
      <c r="V92" s="343">
        <f t="shared" si="46"/>
        <v>11.063778962921813</v>
      </c>
      <c r="W92" s="343">
        <f t="shared" si="46"/>
        <v>11.341314910713226</v>
      </c>
      <c r="X92" s="343">
        <f t="shared" si="46"/>
        <v>11.604382159804613</v>
      </c>
      <c r="Y92" s="343">
        <f t="shared" si="46"/>
        <v>11.853735002545264</v>
      </c>
      <c r="Z92" s="343">
        <f t="shared" si="46"/>
        <v>12.09008840798664</v>
      </c>
      <c r="AA92" s="343">
        <f t="shared" si="46"/>
        <v>12.314120071912114</v>
      </c>
      <c r="AB92" s="343">
        <f t="shared" si="46"/>
        <v>12.526472359993132</v>
      </c>
      <c r="AC92" s="343">
        <f t="shared" si="46"/>
        <v>12.727754149643387</v>
      </c>
      <c r="AD92" s="343">
        <f t="shared" si="46"/>
        <v>12.918542575852159</v>
      </c>
      <c r="AE92" s="343">
        <f t="shared" si="46"/>
        <v>13.099384686002654</v>
      </c>
      <c r="AF92" s="343">
        <f t="shared" si="46"/>
        <v>13.270799008420186</v>
      </c>
      <c r="AG92" s="343">
        <f t="shared" si="46"/>
        <v>13.433277039147702</v>
      </c>
      <c r="AH92" s="343">
        <f t="shared" si="46"/>
        <v>13.5872846512117</v>
      </c>
      <c r="AI92" s="343">
        <f t="shared" si="45"/>
        <v>13.73326343041928</v>
      </c>
      <c r="AJ92" s="343">
        <f t="shared" si="45"/>
        <v>13.871631941516512</v>
      </c>
      <c r="AK92" s="343">
        <f t="shared" si="45"/>
        <v>14.002786928338534</v>
      </c>
      <c r="AL92" s="343">
        <f t="shared" si="45"/>
        <v>14.127104451392583</v>
      </c>
      <c r="AM92" s="343">
        <f t="shared" si="45"/>
        <v>14.244940966135758</v>
      </c>
      <c r="AN92" s="343">
        <f t="shared" si="45"/>
        <v>14.356634345039241</v>
      </c>
      <c r="AO92" s="343">
        <f t="shared" si="45"/>
        <v>14.462504846369557</v>
      </c>
      <c r="AP92" s="343">
        <f t="shared" si="45"/>
        <v>14.562856032464643</v>
      </c>
      <c r="AQ92" s="343">
        <f t="shared" si="45"/>
        <v>14.65797564013771</v>
      </c>
      <c r="AR92" s="343">
        <f t="shared" si="45"/>
        <v>14.748136405704599</v>
      </c>
      <c r="AS92" s="343">
        <f t="shared" si="45"/>
        <v>14.833596847000228</v>
      </c>
      <c r="AT92" s="343">
        <f t="shared" si="45"/>
        <v>14.914602004626417</v>
      </c>
      <c r="AU92" s="343">
        <f t="shared" si="45"/>
        <v>14.991384144556454</v>
      </c>
      <c r="AV92" s="343">
        <f t="shared" si="45"/>
        <v>15.064163424110991</v>
      </c>
      <c r="AW92" s="343">
        <f t="shared" si="45"/>
        <v>15.133148523214818</v>
      </c>
      <c r="AX92" s="343">
        <f t="shared" si="45"/>
        <v>15.198537242744511</v>
      </c>
      <c r="AY92" s="344">
        <f t="shared" si="45"/>
        <v>15.260517071682608</v>
      </c>
    </row>
    <row r="93" spans="1:51" ht="12.75" thickBot="1">
      <c r="A93" s="345" t="s">
        <v>2894</v>
      </c>
      <c r="B93" s="346">
        <f t="shared" si="43"/>
        <v>0.85432063306221828</v>
      </c>
      <c r="C93" s="347">
        <f t="shared" si="46"/>
        <v>1.6641032236425202</v>
      </c>
      <c r="D93" s="347">
        <f t="shared" si="46"/>
        <v>2.4316696602115266</v>
      </c>
      <c r="E93" s="347">
        <f t="shared" si="46"/>
        <v>3.1592207849214855</v>
      </c>
      <c r="F93" s="347">
        <f t="shared" si="46"/>
        <v>3.8488427040778443</v>
      </c>
      <c r="G93" s="347">
        <f t="shared" si="46"/>
        <v>4.502512769628896</v>
      </c>
      <c r="H93" s="347">
        <f t="shared" si="46"/>
        <v>5.1221052488242051</v>
      </c>
      <c r="I93" s="347">
        <f t="shared" si="46"/>
        <v>5.7093966982984323</v>
      </c>
      <c r="J93" s="347">
        <f t="shared" si="46"/>
        <v>6.2660710579896426</v>
      </c>
      <c r="K93" s="347">
        <f t="shared" si="46"/>
        <v>6.7937244794978984</v>
      </c>
      <c r="L93" s="347">
        <f t="shared" si="46"/>
        <v>7.2938699027284732</v>
      </c>
      <c r="M93" s="347">
        <f t="shared" si="46"/>
        <v>7.7679413939422881</v>
      </c>
      <c r="N93" s="347">
        <f t="shared" si="46"/>
        <v>8.2172982576520646</v>
      </c>
      <c r="O93" s="347">
        <f t="shared" si="46"/>
        <v>8.643228934154223</v>
      </c>
      <c r="P93" s="347">
        <f t="shared" si="46"/>
        <v>9.0469546938719088</v>
      </c>
      <c r="Q93" s="347">
        <f t="shared" si="46"/>
        <v>9.4296331391019432</v>
      </c>
      <c r="R93" s="347">
        <f t="shared" si="46"/>
        <v>9.7923615232062406</v>
      </c>
      <c r="S93" s="347">
        <f t="shared" si="46"/>
        <v>10.136179896764817</v>
      </c>
      <c r="T93" s="347">
        <f t="shared" si="46"/>
        <v>10.462074089711335</v>
      </c>
      <c r="U93" s="347">
        <f t="shared" si="46"/>
        <v>10.770978538001872</v>
      </c>
      <c r="V93" s="347">
        <f t="shared" si="46"/>
        <v>11.063778962921813</v>
      </c>
      <c r="W93" s="347">
        <f t="shared" si="46"/>
        <v>11.341314910713226</v>
      </c>
      <c r="X93" s="347">
        <f t="shared" si="46"/>
        <v>11.604382159804613</v>
      </c>
      <c r="Y93" s="347">
        <f t="shared" si="46"/>
        <v>11.853735002545264</v>
      </c>
      <c r="Z93" s="347">
        <f t="shared" si="46"/>
        <v>12.09008840798664</v>
      </c>
      <c r="AA93" s="347">
        <f t="shared" si="46"/>
        <v>12.314120071912114</v>
      </c>
      <c r="AB93" s="347">
        <f t="shared" si="46"/>
        <v>12.526472359993132</v>
      </c>
      <c r="AC93" s="347">
        <f t="shared" si="46"/>
        <v>12.727754149643387</v>
      </c>
      <c r="AD93" s="347">
        <f t="shared" si="46"/>
        <v>12.918542575852159</v>
      </c>
      <c r="AE93" s="347">
        <f t="shared" si="46"/>
        <v>13.099384686002654</v>
      </c>
      <c r="AF93" s="347">
        <f t="shared" si="46"/>
        <v>13.270799008420186</v>
      </c>
      <c r="AG93" s="347">
        <f t="shared" si="46"/>
        <v>13.433277039147702</v>
      </c>
      <c r="AH93" s="347">
        <f t="shared" si="46"/>
        <v>13.5872846512117</v>
      </c>
      <c r="AI93" s="347">
        <f t="shared" si="45"/>
        <v>13.73326343041928</v>
      </c>
      <c r="AJ93" s="347">
        <f t="shared" si="45"/>
        <v>13.871631941516512</v>
      </c>
      <c r="AK93" s="347">
        <f t="shared" si="45"/>
        <v>14.002786928338534</v>
      </c>
      <c r="AL93" s="347">
        <f t="shared" si="45"/>
        <v>14.127104451392583</v>
      </c>
      <c r="AM93" s="347">
        <f t="shared" si="45"/>
        <v>14.244940966135758</v>
      </c>
      <c r="AN93" s="347">
        <f t="shared" si="45"/>
        <v>14.356634345039241</v>
      </c>
      <c r="AO93" s="347">
        <f t="shared" si="45"/>
        <v>14.462504846369557</v>
      </c>
      <c r="AP93" s="347">
        <f t="shared" si="45"/>
        <v>14.562856032464643</v>
      </c>
      <c r="AQ93" s="347">
        <f t="shared" si="45"/>
        <v>14.65797564013771</v>
      </c>
      <c r="AR93" s="347">
        <f t="shared" si="45"/>
        <v>14.748136405704599</v>
      </c>
      <c r="AS93" s="347">
        <f t="shared" si="45"/>
        <v>14.833596847000228</v>
      </c>
      <c r="AT93" s="347">
        <f t="shared" si="45"/>
        <v>14.914602004626417</v>
      </c>
      <c r="AU93" s="347">
        <f t="shared" si="45"/>
        <v>14.991384144556454</v>
      </c>
      <c r="AV93" s="347">
        <f t="shared" si="45"/>
        <v>15.064163424110991</v>
      </c>
      <c r="AW93" s="347">
        <f t="shared" si="45"/>
        <v>15.133148523214818</v>
      </c>
      <c r="AX93" s="347">
        <f t="shared" si="45"/>
        <v>15.198537242744511</v>
      </c>
      <c r="AY93" s="348">
        <f t="shared" si="45"/>
        <v>15.260517071682608</v>
      </c>
    </row>
    <row r="95" spans="1:51" ht="15.75">
      <c r="A95" s="350" t="s">
        <v>2904</v>
      </c>
      <c r="B95" s="349"/>
      <c r="C95" s="349"/>
      <c r="D95" s="349"/>
      <c r="E95" s="349"/>
      <c r="F95" s="349"/>
      <c r="G95" s="349"/>
      <c r="H95" s="349"/>
      <c r="I95" s="349"/>
      <c r="J95" s="349"/>
      <c r="K95" s="349"/>
      <c r="L95" s="349"/>
      <c r="M95" s="349"/>
      <c r="N95" s="349"/>
      <c r="O95" s="349"/>
      <c r="P95" s="349"/>
      <c r="Q95" s="349"/>
      <c r="R95" s="349"/>
      <c r="S95" s="349"/>
      <c r="T95" s="349"/>
      <c r="U95" s="349"/>
      <c r="V95" s="349"/>
      <c r="W95" s="349"/>
      <c r="X95" s="349"/>
      <c r="Y95" s="349"/>
      <c r="Z95" s="349"/>
      <c r="AA95" s="349"/>
      <c r="AB95" s="349"/>
      <c r="AC95" s="349"/>
      <c r="AD95" s="349"/>
      <c r="AE95" s="349"/>
      <c r="AF95" s="349"/>
      <c r="AG95" s="349"/>
      <c r="AH95" s="349"/>
      <c r="AI95" s="349"/>
      <c r="AJ95" s="349"/>
      <c r="AK95" s="349"/>
      <c r="AL95" s="349"/>
      <c r="AM95" s="349"/>
      <c r="AN95" s="349"/>
      <c r="AO95" s="349"/>
      <c r="AP95" s="349"/>
      <c r="AQ95" s="349"/>
      <c r="AR95" s="349"/>
      <c r="AS95" s="349"/>
      <c r="AT95" s="349"/>
      <c r="AU95" s="349"/>
      <c r="AV95" s="349"/>
      <c r="AW95" s="349"/>
      <c r="AX95" s="349"/>
      <c r="AY95" s="349"/>
    </row>
    <row r="96" spans="1:51" ht="15.75" thickBot="1">
      <c r="A96" s="329" t="s">
        <v>2885</v>
      </c>
    </row>
    <row r="97" spans="1:51" ht="12.75" thickBot="1">
      <c r="A97" s="330" t="s">
        <v>2886</v>
      </c>
      <c r="B97" s="331">
        <v>2010</v>
      </c>
      <c r="C97" s="332">
        <v>2011</v>
      </c>
      <c r="D97" s="332">
        <v>2012</v>
      </c>
      <c r="E97" s="332">
        <v>2013</v>
      </c>
      <c r="F97" s="332">
        <v>2014</v>
      </c>
      <c r="G97" s="332">
        <v>2015</v>
      </c>
      <c r="H97" s="332">
        <v>2016</v>
      </c>
      <c r="I97" s="332">
        <v>2017</v>
      </c>
      <c r="J97" s="332">
        <v>2018</v>
      </c>
      <c r="K97" s="332">
        <v>2019</v>
      </c>
      <c r="L97" s="332">
        <v>2020</v>
      </c>
      <c r="M97" s="332">
        <v>2021</v>
      </c>
      <c r="N97" s="332">
        <v>2022</v>
      </c>
      <c r="O97" s="332">
        <v>2023</v>
      </c>
      <c r="P97" s="332">
        <v>2024</v>
      </c>
      <c r="Q97" s="332">
        <v>2025</v>
      </c>
      <c r="R97" s="332">
        <v>2026</v>
      </c>
      <c r="S97" s="332">
        <v>2027</v>
      </c>
      <c r="T97" s="332">
        <v>2028</v>
      </c>
      <c r="U97" s="332">
        <v>2029</v>
      </c>
      <c r="V97" s="332">
        <v>2030</v>
      </c>
      <c r="W97" s="332">
        <v>2031</v>
      </c>
      <c r="X97" s="332">
        <v>2032</v>
      </c>
      <c r="Y97" s="332">
        <v>2033</v>
      </c>
      <c r="Z97" s="332">
        <v>2034</v>
      </c>
      <c r="AA97" s="332">
        <v>2035</v>
      </c>
      <c r="AB97" s="332">
        <v>2036</v>
      </c>
      <c r="AC97" s="332">
        <v>2037</v>
      </c>
      <c r="AD97" s="332">
        <v>2038</v>
      </c>
      <c r="AE97" s="332">
        <v>2039</v>
      </c>
      <c r="AF97" s="332">
        <v>2040</v>
      </c>
      <c r="AG97" s="332">
        <v>2041</v>
      </c>
      <c r="AH97" s="332">
        <v>2042</v>
      </c>
      <c r="AI97" s="332">
        <v>2043</v>
      </c>
      <c r="AJ97" s="332">
        <v>2044</v>
      </c>
      <c r="AK97" s="332">
        <v>2045</v>
      </c>
      <c r="AL97" s="332">
        <v>2046</v>
      </c>
      <c r="AM97" s="332">
        <v>2047</v>
      </c>
      <c r="AN97" s="332">
        <v>2048</v>
      </c>
      <c r="AO97" s="332">
        <v>2049</v>
      </c>
      <c r="AP97" s="332">
        <v>2050</v>
      </c>
      <c r="AQ97" s="332">
        <v>2051</v>
      </c>
      <c r="AR97" s="332">
        <v>2052</v>
      </c>
      <c r="AS97" s="332">
        <v>2053</v>
      </c>
      <c r="AT97" s="332">
        <v>2054</v>
      </c>
      <c r="AU97" s="332">
        <v>2055</v>
      </c>
      <c r="AV97" s="332">
        <v>2056</v>
      </c>
      <c r="AW97" s="332">
        <v>2057</v>
      </c>
      <c r="AX97" s="332">
        <v>2058</v>
      </c>
      <c r="AY97" s="333">
        <v>2059</v>
      </c>
    </row>
    <row r="98" spans="1:51">
      <c r="A98" s="334" t="s">
        <v>2896</v>
      </c>
      <c r="B98" s="339">
        <v>6.8310458518556105E-2</v>
      </c>
      <c r="C98" s="340">
        <v>6.6934254603542631E-2</v>
      </c>
      <c r="D98" s="340">
        <v>6.5592258751792754E-2</v>
      </c>
      <c r="E98" s="340">
        <v>6.5435755251657166E-2</v>
      </c>
      <c r="F98" s="340">
        <v>6.5279251751521564E-2</v>
      </c>
      <c r="G98" s="340">
        <v>6.5131643636398229E-2</v>
      </c>
      <c r="H98" s="340">
        <v>6.5288147136533831E-2</v>
      </c>
      <c r="I98" s="340">
        <v>6.5451665544625004E-2</v>
      </c>
      <c r="J98" s="340">
        <v>6.560628856770391E-2</v>
      </c>
      <c r="K98" s="340">
        <v>6.5771687452851779E-2</v>
      </c>
      <c r="L98" s="340">
        <v>6.5935205860942953E-2</v>
      </c>
      <c r="M98" s="340">
        <v>6.6091709361078541E-2</v>
      </c>
      <c r="N98" s="340">
        <v>6.6255227769169728E-2</v>
      </c>
      <c r="O98" s="340">
        <v>6.642062665431761E-2</v>
      </c>
      <c r="P98" s="340">
        <v>6.6586025539465465E-2</v>
      </c>
      <c r="Q98" s="340">
        <v>6.6586025539465465E-2</v>
      </c>
      <c r="R98" s="340">
        <v>6.6586025539465465E-2</v>
      </c>
      <c r="S98" s="340">
        <v>6.6586025539465465E-2</v>
      </c>
      <c r="T98" s="340">
        <v>6.6586025539465465E-2</v>
      </c>
      <c r="U98" s="340">
        <v>6.6586025539465465E-2</v>
      </c>
      <c r="V98" s="340">
        <v>6.6586025539465465E-2</v>
      </c>
      <c r="W98" s="340">
        <v>6.6586025539465465E-2</v>
      </c>
      <c r="X98" s="340">
        <v>6.6586025539465465E-2</v>
      </c>
      <c r="Y98" s="340">
        <v>6.6586025539465465E-2</v>
      </c>
      <c r="Z98" s="340">
        <v>6.6586025539465465E-2</v>
      </c>
      <c r="AA98" s="340">
        <v>6.6586025539465465E-2</v>
      </c>
      <c r="AB98" s="340">
        <v>6.6586025539465465E-2</v>
      </c>
      <c r="AC98" s="340">
        <v>6.6586025539465465E-2</v>
      </c>
      <c r="AD98" s="340">
        <v>6.6586025539465465E-2</v>
      </c>
      <c r="AE98" s="340">
        <v>6.6586025539465465E-2</v>
      </c>
      <c r="AF98" s="340">
        <v>6.6586025539465465E-2</v>
      </c>
      <c r="AG98" s="340">
        <v>6.6586025539465465E-2</v>
      </c>
      <c r="AH98" s="340">
        <v>6.6586025539465465E-2</v>
      </c>
      <c r="AI98" s="340">
        <v>6.6586025539465465E-2</v>
      </c>
      <c r="AJ98" s="340">
        <v>6.6586025539465465E-2</v>
      </c>
      <c r="AK98" s="340">
        <v>6.6586025539465465E-2</v>
      </c>
      <c r="AL98" s="340">
        <v>6.6586025539465465E-2</v>
      </c>
      <c r="AM98" s="340">
        <v>6.6586025539465465E-2</v>
      </c>
      <c r="AN98" s="340">
        <v>6.6586025539465465E-2</v>
      </c>
      <c r="AO98" s="340">
        <v>6.6586025539465465E-2</v>
      </c>
      <c r="AP98" s="340">
        <v>6.6586025539465465E-2</v>
      </c>
      <c r="AQ98" s="340">
        <v>6.6586025539465465E-2</v>
      </c>
      <c r="AR98" s="340">
        <v>6.6586025539465465E-2</v>
      </c>
      <c r="AS98" s="340">
        <v>6.6586025539465465E-2</v>
      </c>
      <c r="AT98" s="340">
        <v>6.6586025539465465E-2</v>
      </c>
      <c r="AU98" s="340">
        <v>6.6586025539465465E-2</v>
      </c>
      <c r="AV98" s="340">
        <v>6.6586025539465465E-2</v>
      </c>
      <c r="AW98" s="340">
        <v>6.6586025539465465E-2</v>
      </c>
      <c r="AX98" s="340">
        <v>6.6586025539465465E-2</v>
      </c>
      <c r="AY98" s="340">
        <v>6.6586025539465465E-2</v>
      </c>
    </row>
    <row r="99" spans="1:51">
      <c r="A99" s="338" t="s">
        <v>2897</v>
      </c>
      <c r="B99" s="339">
        <v>85.398706896551715</v>
      </c>
      <c r="C99" s="340">
        <v>92.53232758620689</v>
      </c>
      <c r="D99" s="340">
        <v>99.234913793103431</v>
      </c>
      <c r="E99" s="340">
        <v>105.54956896551724</v>
      </c>
      <c r="F99" s="340">
        <v>111.48706896551724</v>
      </c>
      <c r="G99" s="340">
        <v>117.06896551724137</v>
      </c>
      <c r="H99" s="340">
        <v>122.32758620689654</v>
      </c>
      <c r="I99" s="340">
        <v>127.26293103448276</v>
      </c>
      <c r="J99" s="340">
        <v>131.90732758620689</v>
      </c>
      <c r="K99" s="340">
        <v>136.27155172413794</v>
      </c>
      <c r="L99" s="340">
        <v>140.36637931034483</v>
      </c>
      <c r="M99" s="340">
        <v>144.21336206896549</v>
      </c>
      <c r="N99" s="340">
        <v>144.21336206896549</v>
      </c>
      <c r="O99" s="340">
        <v>144.21336206896549</v>
      </c>
      <c r="P99" s="340">
        <v>144.21336206896549</v>
      </c>
      <c r="Q99" s="340">
        <v>144.21336206896549</v>
      </c>
      <c r="R99" s="340">
        <v>144.21336206896549</v>
      </c>
      <c r="S99" s="340">
        <v>144.21336206896549</v>
      </c>
      <c r="T99" s="340">
        <v>144.21336206896549</v>
      </c>
      <c r="U99" s="340">
        <v>144.21336206896549</v>
      </c>
      <c r="V99" s="340">
        <v>144.21336206896549</v>
      </c>
      <c r="W99" s="340">
        <v>144.21336206896549</v>
      </c>
      <c r="X99" s="340">
        <v>144.21336206896549</v>
      </c>
      <c r="Y99" s="340">
        <v>144.21336206896549</v>
      </c>
      <c r="Z99" s="340">
        <v>144.21336206896549</v>
      </c>
      <c r="AA99" s="340">
        <v>144.21336206896549</v>
      </c>
      <c r="AB99" s="340">
        <v>144.21336206896549</v>
      </c>
      <c r="AC99" s="340">
        <v>144.21336206896549</v>
      </c>
      <c r="AD99" s="340">
        <v>144.21336206896549</v>
      </c>
      <c r="AE99" s="340">
        <v>144.21336206896549</v>
      </c>
      <c r="AF99" s="340">
        <v>144.21336206896549</v>
      </c>
      <c r="AG99" s="340">
        <v>144.21336206896549</v>
      </c>
      <c r="AH99" s="340">
        <v>144.21336206896549</v>
      </c>
      <c r="AI99" s="340">
        <v>144.21336206896549</v>
      </c>
      <c r="AJ99" s="340">
        <v>144.21336206896549</v>
      </c>
      <c r="AK99" s="340">
        <v>144.21336206896549</v>
      </c>
      <c r="AL99" s="340">
        <v>144.21336206896549</v>
      </c>
      <c r="AM99" s="340">
        <v>144.21336206896549</v>
      </c>
      <c r="AN99" s="340">
        <v>144.21336206896549</v>
      </c>
      <c r="AO99" s="340">
        <v>144.21336206896549</v>
      </c>
      <c r="AP99" s="340">
        <v>144.21336206896549</v>
      </c>
      <c r="AQ99" s="340">
        <v>144.21336206896549</v>
      </c>
      <c r="AR99" s="340">
        <v>144.21336206896549</v>
      </c>
      <c r="AS99" s="340">
        <v>144.21336206896549</v>
      </c>
      <c r="AT99" s="340">
        <v>144.21336206896549</v>
      </c>
      <c r="AU99" s="340">
        <v>144.21336206896549</v>
      </c>
      <c r="AV99" s="340">
        <v>144.21336206896549</v>
      </c>
      <c r="AW99" s="340">
        <v>144.21336206896549</v>
      </c>
      <c r="AX99" s="340">
        <v>144.21336206896549</v>
      </c>
      <c r="AY99" s="340">
        <v>144.21336206896549</v>
      </c>
    </row>
    <row r="100" spans="1:51">
      <c r="A100" s="338" t="s">
        <v>2898</v>
      </c>
      <c r="B100" s="358">
        <v>10.24</v>
      </c>
      <c r="C100" s="359">
        <v>10.01</v>
      </c>
      <c r="D100" s="359">
        <v>9.7899999999999991</v>
      </c>
      <c r="E100" s="359">
        <v>9.7899999999999991</v>
      </c>
      <c r="F100" s="359">
        <v>9.7899999999999991</v>
      </c>
      <c r="G100" s="359">
        <v>9.7899999999999991</v>
      </c>
      <c r="H100" s="359">
        <v>9.8699999999999992</v>
      </c>
      <c r="I100" s="359">
        <v>9.94</v>
      </c>
      <c r="J100" s="359">
        <v>10.02</v>
      </c>
      <c r="K100" s="359">
        <v>10.02</v>
      </c>
      <c r="L100" s="359">
        <v>10.02</v>
      </c>
      <c r="M100" s="359">
        <v>10.02</v>
      </c>
      <c r="N100" s="359">
        <v>10.02</v>
      </c>
      <c r="O100" s="359">
        <v>10.02</v>
      </c>
      <c r="P100" s="359">
        <v>10.02</v>
      </c>
      <c r="Q100" s="359">
        <v>10.02</v>
      </c>
      <c r="R100" s="359">
        <v>10.02</v>
      </c>
      <c r="S100" s="359">
        <v>10.02</v>
      </c>
      <c r="T100" s="359">
        <v>10.02</v>
      </c>
      <c r="U100" s="359">
        <v>10.02</v>
      </c>
      <c r="V100" s="359">
        <v>10.02</v>
      </c>
      <c r="W100" s="359">
        <v>10.02</v>
      </c>
      <c r="X100" s="359">
        <v>10.02</v>
      </c>
      <c r="Y100" s="359">
        <v>10.02</v>
      </c>
      <c r="Z100" s="359">
        <v>10.02</v>
      </c>
      <c r="AA100" s="359">
        <v>10.02</v>
      </c>
      <c r="AB100" s="359">
        <v>10.02</v>
      </c>
      <c r="AC100" s="359">
        <v>10.02</v>
      </c>
      <c r="AD100" s="359">
        <v>10.02</v>
      </c>
      <c r="AE100" s="359">
        <v>10.02</v>
      </c>
      <c r="AF100" s="359">
        <v>10.02</v>
      </c>
      <c r="AG100" s="359">
        <v>10.02</v>
      </c>
      <c r="AH100" s="359">
        <v>10.02</v>
      </c>
      <c r="AI100" s="359">
        <v>10.02</v>
      </c>
      <c r="AJ100" s="359">
        <v>10.02</v>
      </c>
      <c r="AK100" s="359">
        <v>10.02</v>
      </c>
      <c r="AL100" s="359">
        <v>10.02</v>
      </c>
      <c r="AM100" s="359">
        <v>10.02</v>
      </c>
      <c r="AN100" s="359">
        <v>10.02</v>
      </c>
      <c r="AO100" s="359">
        <v>10.02</v>
      </c>
      <c r="AP100" s="359">
        <v>10.02</v>
      </c>
      <c r="AQ100" s="359">
        <v>10.02</v>
      </c>
      <c r="AR100" s="359">
        <v>10.02</v>
      </c>
      <c r="AS100" s="359">
        <v>10.02</v>
      </c>
      <c r="AT100" s="359">
        <v>10.02</v>
      </c>
      <c r="AU100" s="359">
        <v>10.02</v>
      </c>
      <c r="AV100" s="359">
        <v>10.02</v>
      </c>
      <c r="AW100" s="359">
        <v>10.02</v>
      </c>
      <c r="AX100" s="359">
        <v>10.02</v>
      </c>
      <c r="AY100" s="360">
        <v>10.02</v>
      </c>
    </row>
    <row r="101" spans="1:51">
      <c r="A101" s="338" t="s">
        <v>2899</v>
      </c>
      <c r="B101" s="358">
        <v>9.4525000000000006</v>
      </c>
      <c r="C101" s="359">
        <v>9.2341666666666669</v>
      </c>
      <c r="D101" s="359">
        <v>9.02</v>
      </c>
      <c r="E101" s="359">
        <v>9.02</v>
      </c>
      <c r="F101" s="359">
        <v>9.02</v>
      </c>
      <c r="G101" s="359">
        <v>9.02</v>
      </c>
      <c r="H101" s="359">
        <v>9.0941666666666663</v>
      </c>
      <c r="I101" s="359">
        <v>9.2441666666666666</v>
      </c>
      <c r="J101" s="359">
        <v>9.2441666666666666</v>
      </c>
      <c r="K101" s="359">
        <v>9.2441666666666666</v>
      </c>
      <c r="L101" s="359">
        <v>9.2441666666666666</v>
      </c>
      <c r="M101" s="359">
        <v>9.2441666666666666</v>
      </c>
      <c r="N101" s="359">
        <v>9.2441666666666666</v>
      </c>
      <c r="O101" s="359">
        <v>9.2441666666666666</v>
      </c>
      <c r="P101" s="359">
        <v>9.2441666666666666</v>
      </c>
      <c r="Q101" s="359">
        <v>9.2441666666666666</v>
      </c>
      <c r="R101" s="359">
        <v>9.2441666666666666</v>
      </c>
      <c r="S101" s="359">
        <v>9.2441666666666666</v>
      </c>
      <c r="T101" s="359">
        <v>9.2441666666666666</v>
      </c>
      <c r="U101" s="359">
        <v>9.2441666666666666</v>
      </c>
      <c r="V101" s="359">
        <v>9.2441666666666666</v>
      </c>
      <c r="W101" s="359">
        <v>9.2441666666666666</v>
      </c>
      <c r="X101" s="359">
        <v>9.2441666666666666</v>
      </c>
      <c r="Y101" s="359">
        <v>9.2441666666666666</v>
      </c>
      <c r="Z101" s="359">
        <v>9.2441666666666666</v>
      </c>
      <c r="AA101" s="359">
        <v>9.2441666666666666</v>
      </c>
      <c r="AB101" s="359">
        <v>9.2441666666666666</v>
      </c>
      <c r="AC101" s="359">
        <v>9.2441666666666666</v>
      </c>
      <c r="AD101" s="359">
        <v>9.2441666666666666</v>
      </c>
      <c r="AE101" s="359">
        <v>9.2441666666666666</v>
      </c>
      <c r="AF101" s="359">
        <v>9.2441666666666666</v>
      </c>
      <c r="AG101" s="359">
        <v>9.2441666666666666</v>
      </c>
      <c r="AH101" s="359">
        <v>9.2441666666666666</v>
      </c>
      <c r="AI101" s="359">
        <v>9.2441666666666666</v>
      </c>
      <c r="AJ101" s="359">
        <v>9.2441666666666666</v>
      </c>
      <c r="AK101" s="359">
        <v>9.2441666666666666</v>
      </c>
      <c r="AL101" s="359">
        <v>9.2441666666666666</v>
      </c>
      <c r="AM101" s="359">
        <v>9.2441666666666666</v>
      </c>
      <c r="AN101" s="359">
        <v>9.2441666666666666</v>
      </c>
      <c r="AO101" s="359">
        <v>9.2441666666666666</v>
      </c>
      <c r="AP101" s="359">
        <v>9.2441666666666666</v>
      </c>
      <c r="AQ101" s="359">
        <v>9.2441666666666666</v>
      </c>
      <c r="AR101" s="359">
        <v>9.2441666666666666</v>
      </c>
      <c r="AS101" s="359">
        <v>9.2441666666666666</v>
      </c>
      <c r="AT101" s="359">
        <v>9.2441666666666666</v>
      </c>
      <c r="AU101" s="359">
        <v>9.2441666666666666</v>
      </c>
      <c r="AV101" s="359">
        <v>9.2441666666666666</v>
      </c>
      <c r="AW101" s="359">
        <v>9.2441666666666666</v>
      </c>
      <c r="AX101" s="359">
        <v>9.2441666666666702</v>
      </c>
      <c r="AY101" s="360">
        <v>9.2441666666666702</v>
      </c>
    </row>
    <row r="102" spans="1:51">
      <c r="A102" s="338" t="s">
        <v>2887</v>
      </c>
      <c r="B102" s="342">
        <v>6.2842588284472054</v>
      </c>
      <c r="C102" s="343">
        <v>6.8383434812431512</v>
      </c>
      <c r="D102" s="343">
        <v>7.1275036881476561</v>
      </c>
      <c r="E102" s="343">
        <v>7.3517937696168021</v>
      </c>
      <c r="F102" s="343">
        <v>7.5350521097572987</v>
      </c>
      <c r="G102" s="343">
        <v>7.6899948286185555</v>
      </c>
      <c r="H102" s="343">
        <v>7.8242123166618027</v>
      </c>
      <c r="I102" s="343">
        <v>9.17</v>
      </c>
      <c r="J102" s="343">
        <v>8.3122147120447227</v>
      </c>
      <c r="K102" s="343">
        <v>8.3867034571327022</v>
      </c>
      <c r="L102" s="343">
        <v>8.4560508197405948</v>
      </c>
      <c r="M102" s="343">
        <v>8.5209209451759538</v>
      </c>
      <c r="N102" s="343">
        <v>8.5818570613494281</v>
      </c>
      <c r="O102" s="343">
        <v>8.6057375436489494</v>
      </c>
      <c r="P102" s="343">
        <v>8.6071420683686046</v>
      </c>
      <c r="Q102" s="343">
        <v>8.6071420683686046</v>
      </c>
      <c r="R102" s="343">
        <v>8.6814020669464895</v>
      </c>
      <c r="S102" s="343">
        <v>8.7410874140605106</v>
      </c>
      <c r="T102" s="343">
        <v>8.8007727611745192</v>
      </c>
      <c r="U102" s="343">
        <v>8.8007727611745192</v>
      </c>
      <c r="V102" s="343">
        <v>8.8007727611745192</v>
      </c>
      <c r="W102" s="343">
        <v>8.8007727611745192</v>
      </c>
      <c r="X102" s="343">
        <v>8.8007727611745192</v>
      </c>
      <c r="Y102" s="343">
        <v>8.8007727611745192</v>
      </c>
      <c r="Z102" s="343">
        <v>8.8007727611745192</v>
      </c>
      <c r="AA102" s="343">
        <v>8.8007727611745192</v>
      </c>
      <c r="AB102" s="343">
        <v>8.8007727611745192</v>
      </c>
      <c r="AC102" s="343">
        <v>8.8007727611745192</v>
      </c>
      <c r="AD102" s="343">
        <v>8.8007727611745192</v>
      </c>
      <c r="AE102" s="343">
        <v>8.8007727611745192</v>
      </c>
      <c r="AF102" s="343">
        <v>8.8007727611745192</v>
      </c>
      <c r="AG102" s="343">
        <v>8.8007727611745192</v>
      </c>
      <c r="AH102" s="343">
        <v>8.8007727611745192</v>
      </c>
      <c r="AI102" s="343">
        <v>8.8007727611745192</v>
      </c>
      <c r="AJ102" s="343">
        <v>8.8007727611745192</v>
      </c>
      <c r="AK102" s="343">
        <v>8.8007727611745192</v>
      </c>
      <c r="AL102" s="343">
        <v>8.8007727611745192</v>
      </c>
      <c r="AM102" s="343">
        <v>8.8007727611745192</v>
      </c>
      <c r="AN102" s="343">
        <v>8.8007727611745192</v>
      </c>
      <c r="AO102" s="343">
        <v>8.8007727611745192</v>
      </c>
      <c r="AP102" s="343">
        <v>8.8007727611745192</v>
      </c>
      <c r="AQ102" s="343">
        <v>8.8007727611745192</v>
      </c>
      <c r="AR102" s="343">
        <v>8.8007727611745192</v>
      </c>
      <c r="AS102" s="343">
        <v>8.8007727611745192</v>
      </c>
      <c r="AT102" s="343">
        <v>8.8007727611745192</v>
      </c>
      <c r="AU102" s="343">
        <v>8.8007727611745192</v>
      </c>
      <c r="AV102" s="343">
        <v>8.8007727611745192</v>
      </c>
      <c r="AW102" s="343">
        <v>8.8007727611745192</v>
      </c>
      <c r="AX102" s="343">
        <v>8.8007727611745192</v>
      </c>
      <c r="AY102" s="344">
        <v>8.8007727611745192</v>
      </c>
    </row>
    <row r="103" spans="1:51">
      <c r="A103" s="338" t="s">
        <v>2888</v>
      </c>
      <c r="B103" s="339">
        <v>6.28E-3</v>
      </c>
      <c r="C103" s="340">
        <v>6.1999999999999998E-3</v>
      </c>
      <c r="D103" s="340">
        <v>6.1200000000000004E-3</v>
      </c>
      <c r="E103" s="340">
        <v>6.0000000000000001E-3</v>
      </c>
      <c r="F103" s="340">
        <v>5.8799999999999998E-3</v>
      </c>
      <c r="G103" s="340">
        <v>5.77E-3</v>
      </c>
      <c r="H103" s="340">
        <v>5.77E-3</v>
      </c>
      <c r="I103" s="340">
        <v>5.7599999999999995E-3</v>
      </c>
      <c r="J103" s="340">
        <v>5.7599999999999995E-3</v>
      </c>
      <c r="K103" s="340">
        <v>5.7499999999999999E-3</v>
      </c>
      <c r="L103" s="340">
        <v>5.7499999999999999E-3</v>
      </c>
      <c r="M103" s="340">
        <v>5.7499999999999999E-3</v>
      </c>
      <c r="N103" s="340">
        <v>5.7400000000000003E-3</v>
      </c>
      <c r="O103" s="340">
        <v>5.7400000000000003E-3</v>
      </c>
      <c r="P103" s="340">
        <v>5.7300000000000007E-3</v>
      </c>
      <c r="Q103" s="340">
        <v>5.7300000000000007E-3</v>
      </c>
      <c r="R103" s="340">
        <v>5.7300000000000007E-3</v>
      </c>
      <c r="S103" s="340">
        <v>5.7300000000000007E-3</v>
      </c>
      <c r="T103" s="340">
        <v>5.7300000000000007E-3</v>
      </c>
      <c r="U103" s="340">
        <v>5.7300000000000007E-3</v>
      </c>
      <c r="V103" s="340">
        <v>5.7300000000000007E-3</v>
      </c>
      <c r="W103" s="340">
        <v>5.7300000000000007E-3</v>
      </c>
      <c r="X103" s="340">
        <v>5.7300000000000007E-3</v>
      </c>
      <c r="Y103" s="340">
        <v>5.7300000000000007E-3</v>
      </c>
      <c r="Z103" s="340">
        <v>5.7300000000000007E-3</v>
      </c>
      <c r="AA103" s="340">
        <v>5.7300000000000007E-3</v>
      </c>
      <c r="AB103" s="340">
        <v>5.7300000000000007E-3</v>
      </c>
      <c r="AC103" s="340">
        <v>5.7300000000000007E-3</v>
      </c>
      <c r="AD103" s="340">
        <v>5.7300000000000007E-3</v>
      </c>
      <c r="AE103" s="340">
        <v>5.7300000000000007E-3</v>
      </c>
      <c r="AF103" s="340">
        <v>5.7300000000000007E-3</v>
      </c>
      <c r="AG103" s="340">
        <v>5.7300000000000007E-3</v>
      </c>
      <c r="AH103" s="340">
        <v>5.7300000000000007E-3</v>
      </c>
      <c r="AI103" s="340">
        <v>5.7300000000000007E-3</v>
      </c>
      <c r="AJ103" s="340">
        <v>5.7300000000000007E-3</v>
      </c>
      <c r="AK103" s="340">
        <v>5.7300000000000007E-3</v>
      </c>
      <c r="AL103" s="340">
        <v>5.7300000000000007E-3</v>
      </c>
      <c r="AM103" s="340">
        <v>5.7300000000000007E-3</v>
      </c>
      <c r="AN103" s="340">
        <v>5.7300000000000007E-3</v>
      </c>
      <c r="AO103" s="340">
        <v>5.7300000000000007E-3</v>
      </c>
      <c r="AP103" s="340">
        <v>5.7300000000000007E-3</v>
      </c>
      <c r="AQ103" s="340">
        <v>5.7300000000000007E-3</v>
      </c>
      <c r="AR103" s="340">
        <v>5.7300000000000007E-3</v>
      </c>
      <c r="AS103" s="340">
        <v>5.7300000000000007E-3</v>
      </c>
      <c r="AT103" s="340">
        <v>5.7300000000000007E-3</v>
      </c>
      <c r="AU103" s="340">
        <v>5.7300000000000007E-3</v>
      </c>
      <c r="AV103" s="340">
        <v>5.7300000000000007E-3</v>
      </c>
      <c r="AW103" s="340">
        <v>5.7300000000000007E-3</v>
      </c>
      <c r="AX103" s="340">
        <v>5.7300000000000007E-3</v>
      </c>
      <c r="AY103" s="341">
        <v>5.7300000000000007E-3</v>
      </c>
    </row>
    <row r="104" spans="1:51">
      <c r="A104" s="338" t="s">
        <v>2889</v>
      </c>
      <c r="B104" s="342">
        <f>(58.5/1000)*15</f>
        <v>0.87750000000000006</v>
      </c>
      <c r="C104" s="343">
        <f t="shared" ref="C104:AD105" si="47">(58.5/1000)*15</f>
        <v>0.87750000000000006</v>
      </c>
      <c r="D104" s="343">
        <f t="shared" si="47"/>
        <v>0.87750000000000006</v>
      </c>
      <c r="E104" s="343">
        <f t="shared" si="47"/>
        <v>0.87750000000000006</v>
      </c>
      <c r="F104" s="343">
        <f t="shared" si="47"/>
        <v>0.87750000000000006</v>
      </c>
      <c r="G104" s="343">
        <f t="shared" si="47"/>
        <v>0.87750000000000006</v>
      </c>
      <c r="H104" s="343">
        <f t="shared" si="47"/>
        <v>0.87750000000000006</v>
      </c>
      <c r="I104" s="343">
        <f t="shared" si="47"/>
        <v>0.87750000000000006</v>
      </c>
      <c r="J104" s="343">
        <f t="shared" si="47"/>
        <v>0.87750000000000006</v>
      </c>
      <c r="K104" s="343">
        <f t="shared" si="47"/>
        <v>0.87750000000000006</v>
      </c>
      <c r="L104" s="343">
        <f t="shared" si="47"/>
        <v>0.87750000000000006</v>
      </c>
      <c r="M104" s="343">
        <f t="shared" si="47"/>
        <v>0.87750000000000006</v>
      </c>
      <c r="N104" s="343">
        <f t="shared" si="47"/>
        <v>0.87750000000000006</v>
      </c>
      <c r="O104" s="343">
        <f t="shared" si="47"/>
        <v>0.87750000000000006</v>
      </c>
      <c r="P104" s="343">
        <f t="shared" si="47"/>
        <v>0.87750000000000006</v>
      </c>
      <c r="Q104" s="343">
        <f t="shared" si="47"/>
        <v>0.87750000000000006</v>
      </c>
      <c r="R104" s="343">
        <f t="shared" si="47"/>
        <v>0.87750000000000006</v>
      </c>
      <c r="S104" s="343">
        <f t="shared" si="47"/>
        <v>0.87750000000000006</v>
      </c>
      <c r="T104" s="343">
        <f t="shared" si="47"/>
        <v>0.87750000000000006</v>
      </c>
      <c r="U104" s="343">
        <f t="shared" si="47"/>
        <v>0.87750000000000006</v>
      </c>
      <c r="V104" s="343">
        <f t="shared" si="47"/>
        <v>0.87750000000000006</v>
      </c>
      <c r="W104" s="343">
        <f t="shared" si="47"/>
        <v>0.87750000000000006</v>
      </c>
      <c r="X104" s="343">
        <f t="shared" si="47"/>
        <v>0.87750000000000006</v>
      </c>
      <c r="Y104" s="343">
        <f t="shared" si="47"/>
        <v>0.87750000000000006</v>
      </c>
      <c r="Z104" s="343">
        <f t="shared" si="47"/>
        <v>0.87750000000000006</v>
      </c>
      <c r="AA104" s="343">
        <f t="shared" si="47"/>
        <v>0.87750000000000006</v>
      </c>
      <c r="AB104" s="343">
        <f t="shared" si="47"/>
        <v>0.87750000000000006</v>
      </c>
      <c r="AC104" s="343">
        <f t="shared" si="47"/>
        <v>0.87750000000000006</v>
      </c>
      <c r="AD104" s="343">
        <f t="shared" si="47"/>
        <v>0.87750000000000006</v>
      </c>
      <c r="AE104" s="343">
        <f>(58.5/1000)*15</f>
        <v>0.87750000000000006</v>
      </c>
      <c r="AF104" s="343">
        <f t="shared" ref="AF104:AY105" si="48">(58.5/1000)*15</f>
        <v>0.87750000000000006</v>
      </c>
      <c r="AG104" s="343">
        <f t="shared" si="48"/>
        <v>0.87750000000000006</v>
      </c>
      <c r="AH104" s="343">
        <f t="shared" si="48"/>
        <v>0.87750000000000006</v>
      </c>
      <c r="AI104" s="343">
        <f t="shared" si="48"/>
        <v>0.87750000000000006</v>
      </c>
      <c r="AJ104" s="343">
        <f t="shared" si="48"/>
        <v>0.87750000000000006</v>
      </c>
      <c r="AK104" s="343">
        <f t="shared" si="48"/>
        <v>0.87750000000000006</v>
      </c>
      <c r="AL104" s="343">
        <f t="shared" si="48"/>
        <v>0.87750000000000006</v>
      </c>
      <c r="AM104" s="343">
        <f t="shared" si="48"/>
        <v>0.87750000000000006</v>
      </c>
      <c r="AN104" s="343">
        <f t="shared" si="48"/>
        <v>0.87750000000000006</v>
      </c>
      <c r="AO104" s="343">
        <f t="shared" si="48"/>
        <v>0.87750000000000006</v>
      </c>
      <c r="AP104" s="343">
        <f t="shared" si="48"/>
        <v>0.87750000000000006</v>
      </c>
      <c r="AQ104" s="343">
        <f t="shared" si="48"/>
        <v>0.87750000000000006</v>
      </c>
      <c r="AR104" s="343">
        <f t="shared" si="48"/>
        <v>0.87750000000000006</v>
      </c>
      <c r="AS104" s="343">
        <f t="shared" si="48"/>
        <v>0.87750000000000006</v>
      </c>
      <c r="AT104" s="343">
        <f t="shared" si="48"/>
        <v>0.87750000000000006</v>
      </c>
      <c r="AU104" s="343">
        <f t="shared" si="48"/>
        <v>0.87750000000000006</v>
      </c>
      <c r="AV104" s="343">
        <f t="shared" si="48"/>
        <v>0.87750000000000006</v>
      </c>
      <c r="AW104" s="343">
        <f t="shared" si="48"/>
        <v>0.87750000000000006</v>
      </c>
      <c r="AX104" s="343">
        <f t="shared" si="48"/>
        <v>0.87750000000000006</v>
      </c>
      <c r="AY104" s="344">
        <f t="shared" si="48"/>
        <v>0.87750000000000006</v>
      </c>
    </row>
    <row r="105" spans="1:51" ht="12.75" thickBot="1">
      <c r="A105" s="345" t="s">
        <v>2890</v>
      </c>
      <c r="B105" s="346">
        <f>(58.5/1000)*15</f>
        <v>0.87750000000000006</v>
      </c>
      <c r="C105" s="347">
        <f t="shared" si="47"/>
        <v>0.87750000000000006</v>
      </c>
      <c r="D105" s="347">
        <f t="shared" si="47"/>
        <v>0.87750000000000006</v>
      </c>
      <c r="E105" s="347">
        <f t="shared" si="47"/>
        <v>0.87750000000000006</v>
      </c>
      <c r="F105" s="347">
        <f t="shared" si="47"/>
        <v>0.87750000000000006</v>
      </c>
      <c r="G105" s="347">
        <f t="shared" si="47"/>
        <v>0.87750000000000006</v>
      </c>
      <c r="H105" s="347">
        <f t="shared" si="47"/>
        <v>0.87750000000000006</v>
      </c>
      <c r="I105" s="347">
        <f t="shared" si="47"/>
        <v>0.87750000000000006</v>
      </c>
      <c r="J105" s="347">
        <f t="shared" si="47"/>
        <v>0.87750000000000006</v>
      </c>
      <c r="K105" s="347">
        <f t="shared" si="47"/>
        <v>0.87750000000000006</v>
      </c>
      <c r="L105" s="347">
        <f t="shared" si="47"/>
        <v>0.87750000000000006</v>
      </c>
      <c r="M105" s="347">
        <f t="shared" si="47"/>
        <v>0.87750000000000006</v>
      </c>
      <c r="N105" s="347">
        <f t="shared" si="47"/>
        <v>0.87750000000000006</v>
      </c>
      <c r="O105" s="347">
        <f t="shared" si="47"/>
        <v>0.87750000000000006</v>
      </c>
      <c r="P105" s="347">
        <f t="shared" si="47"/>
        <v>0.87750000000000006</v>
      </c>
      <c r="Q105" s="347">
        <f t="shared" si="47"/>
        <v>0.87750000000000006</v>
      </c>
      <c r="R105" s="347">
        <f t="shared" si="47"/>
        <v>0.87750000000000006</v>
      </c>
      <c r="S105" s="347">
        <f t="shared" si="47"/>
        <v>0.87750000000000006</v>
      </c>
      <c r="T105" s="347">
        <f t="shared" si="47"/>
        <v>0.87750000000000006</v>
      </c>
      <c r="U105" s="347">
        <f t="shared" si="47"/>
        <v>0.87750000000000006</v>
      </c>
      <c r="V105" s="347">
        <f t="shared" si="47"/>
        <v>0.87750000000000006</v>
      </c>
      <c r="W105" s="347">
        <f t="shared" si="47"/>
        <v>0.87750000000000006</v>
      </c>
      <c r="X105" s="347">
        <f t="shared" si="47"/>
        <v>0.87750000000000006</v>
      </c>
      <c r="Y105" s="347">
        <f t="shared" si="47"/>
        <v>0.87750000000000006</v>
      </c>
      <c r="Z105" s="347">
        <f t="shared" si="47"/>
        <v>0.87750000000000006</v>
      </c>
      <c r="AA105" s="347">
        <f t="shared" si="47"/>
        <v>0.87750000000000006</v>
      </c>
      <c r="AB105" s="347">
        <f t="shared" si="47"/>
        <v>0.87750000000000006</v>
      </c>
      <c r="AC105" s="347">
        <f t="shared" si="47"/>
        <v>0.87750000000000006</v>
      </c>
      <c r="AD105" s="347">
        <f t="shared" si="47"/>
        <v>0.87750000000000006</v>
      </c>
      <c r="AE105" s="347">
        <f>(58.5/1000)*15</f>
        <v>0.87750000000000006</v>
      </c>
      <c r="AF105" s="347">
        <f t="shared" si="48"/>
        <v>0.87750000000000006</v>
      </c>
      <c r="AG105" s="347">
        <f t="shared" si="48"/>
        <v>0.87750000000000006</v>
      </c>
      <c r="AH105" s="347">
        <f t="shared" si="48"/>
        <v>0.87750000000000006</v>
      </c>
      <c r="AI105" s="347">
        <f t="shared" si="48"/>
        <v>0.87750000000000006</v>
      </c>
      <c r="AJ105" s="347">
        <f t="shared" si="48"/>
        <v>0.87750000000000006</v>
      </c>
      <c r="AK105" s="347">
        <f t="shared" si="48"/>
        <v>0.87750000000000006</v>
      </c>
      <c r="AL105" s="347">
        <f t="shared" si="48"/>
        <v>0.87750000000000006</v>
      </c>
      <c r="AM105" s="347">
        <f t="shared" si="48"/>
        <v>0.87750000000000006</v>
      </c>
      <c r="AN105" s="347">
        <f t="shared" si="48"/>
        <v>0.87750000000000006</v>
      </c>
      <c r="AO105" s="347">
        <f t="shared" si="48"/>
        <v>0.87750000000000006</v>
      </c>
      <c r="AP105" s="347">
        <f t="shared" si="48"/>
        <v>0.87750000000000006</v>
      </c>
      <c r="AQ105" s="347">
        <f t="shared" si="48"/>
        <v>0.87750000000000006</v>
      </c>
      <c r="AR105" s="347">
        <f t="shared" si="48"/>
        <v>0.87750000000000006</v>
      </c>
      <c r="AS105" s="347">
        <f t="shared" si="48"/>
        <v>0.87750000000000006</v>
      </c>
      <c r="AT105" s="347">
        <f t="shared" si="48"/>
        <v>0.87750000000000006</v>
      </c>
      <c r="AU105" s="347">
        <f t="shared" si="48"/>
        <v>0.87750000000000006</v>
      </c>
      <c r="AV105" s="347">
        <f t="shared" si="48"/>
        <v>0.87750000000000006</v>
      </c>
      <c r="AW105" s="347">
        <f t="shared" si="48"/>
        <v>0.87750000000000006</v>
      </c>
      <c r="AX105" s="347">
        <f t="shared" si="48"/>
        <v>0.87750000000000006</v>
      </c>
      <c r="AY105" s="348">
        <f t="shared" si="48"/>
        <v>0.87750000000000006</v>
      </c>
    </row>
    <row r="106" spans="1:51">
      <c r="B106" s="325"/>
      <c r="C106" s="325"/>
      <c r="D106" s="325"/>
      <c r="E106" s="325"/>
      <c r="F106" s="325"/>
      <c r="G106" s="325"/>
      <c r="H106" s="325"/>
      <c r="I106" s="325"/>
      <c r="J106" s="325"/>
      <c r="K106" s="325"/>
      <c r="L106" s="325"/>
      <c r="M106" s="325"/>
      <c r="N106" s="325"/>
      <c r="O106" s="325"/>
      <c r="P106" s="325"/>
      <c r="Q106" s="325"/>
      <c r="R106" s="325"/>
      <c r="S106" s="325"/>
      <c r="T106" s="325"/>
      <c r="U106" s="325"/>
      <c r="V106" s="325"/>
      <c r="W106" s="325"/>
      <c r="X106" s="325"/>
      <c r="Y106" s="325"/>
      <c r="Z106" s="325"/>
      <c r="AA106" s="325"/>
      <c r="AB106" s="325"/>
      <c r="AC106" s="325"/>
      <c r="AD106" s="325"/>
      <c r="AE106" s="325"/>
    </row>
    <row r="107" spans="1:51" ht="15.75" thickBot="1">
      <c r="A107" s="329" t="s">
        <v>2891</v>
      </c>
      <c r="B107" s="325"/>
      <c r="C107" s="325"/>
      <c r="D107" s="325"/>
      <c r="E107" s="325"/>
      <c r="F107" s="325"/>
      <c r="G107" s="325"/>
      <c r="H107" s="325"/>
      <c r="I107" s="325"/>
      <c r="J107" s="325"/>
      <c r="K107" s="325"/>
      <c r="L107" s="325"/>
      <c r="M107" s="325"/>
      <c r="N107" s="325"/>
      <c r="O107" s="325"/>
      <c r="P107" s="325"/>
      <c r="Q107" s="325"/>
      <c r="R107" s="325"/>
      <c r="S107" s="325"/>
      <c r="T107" s="325"/>
      <c r="U107" s="325"/>
      <c r="V107" s="325"/>
      <c r="W107" s="325"/>
      <c r="X107" s="325"/>
      <c r="Y107" s="325"/>
      <c r="Z107" s="325"/>
      <c r="AA107" s="325"/>
      <c r="AB107" s="325"/>
      <c r="AC107" s="325"/>
      <c r="AD107" s="325"/>
      <c r="AE107" s="325"/>
    </row>
    <row r="108" spans="1:51" ht="12.75" thickBot="1">
      <c r="A108" s="330" t="s">
        <v>2886</v>
      </c>
      <c r="B108" s="331">
        <v>1</v>
      </c>
      <c r="C108" s="332">
        <v>2</v>
      </c>
      <c r="D108" s="332">
        <v>3</v>
      </c>
      <c r="E108" s="332">
        <v>4</v>
      </c>
      <c r="F108" s="332">
        <v>5</v>
      </c>
      <c r="G108" s="332">
        <v>6</v>
      </c>
      <c r="H108" s="332">
        <v>7</v>
      </c>
      <c r="I108" s="332">
        <v>8</v>
      </c>
      <c r="J108" s="332">
        <v>9</v>
      </c>
      <c r="K108" s="332">
        <v>10</v>
      </c>
      <c r="L108" s="332">
        <v>11</v>
      </c>
      <c r="M108" s="332">
        <v>12</v>
      </c>
      <c r="N108" s="332">
        <v>13</v>
      </c>
      <c r="O108" s="332">
        <v>14</v>
      </c>
      <c r="P108" s="332">
        <v>15</v>
      </c>
      <c r="Q108" s="332">
        <v>16</v>
      </c>
      <c r="R108" s="332">
        <v>17</v>
      </c>
      <c r="S108" s="332">
        <v>18</v>
      </c>
      <c r="T108" s="332">
        <v>19</v>
      </c>
      <c r="U108" s="332">
        <v>20</v>
      </c>
      <c r="V108" s="332">
        <v>21</v>
      </c>
      <c r="W108" s="332">
        <v>22</v>
      </c>
      <c r="X108" s="332">
        <v>23</v>
      </c>
      <c r="Y108" s="332">
        <v>24</v>
      </c>
      <c r="Z108" s="332">
        <v>25</v>
      </c>
      <c r="AA108" s="332">
        <v>26</v>
      </c>
      <c r="AB108" s="332">
        <v>27</v>
      </c>
      <c r="AC108" s="332">
        <v>28</v>
      </c>
      <c r="AD108" s="332">
        <v>29</v>
      </c>
      <c r="AE108" s="332">
        <v>30</v>
      </c>
      <c r="AF108" s="332">
        <f t="shared" ref="AF108:AY108" si="49">AE108+1</f>
        <v>31</v>
      </c>
      <c r="AG108" s="332">
        <f t="shared" si="49"/>
        <v>32</v>
      </c>
      <c r="AH108" s="332">
        <f t="shared" si="49"/>
        <v>33</v>
      </c>
      <c r="AI108" s="332">
        <f t="shared" si="49"/>
        <v>34</v>
      </c>
      <c r="AJ108" s="332">
        <f t="shared" si="49"/>
        <v>35</v>
      </c>
      <c r="AK108" s="332">
        <f t="shared" si="49"/>
        <v>36</v>
      </c>
      <c r="AL108" s="332">
        <f t="shared" si="49"/>
        <v>37</v>
      </c>
      <c r="AM108" s="332">
        <f t="shared" si="49"/>
        <v>38</v>
      </c>
      <c r="AN108" s="332">
        <f t="shared" si="49"/>
        <v>39</v>
      </c>
      <c r="AO108" s="332">
        <f t="shared" si="49"/>
        <v>40</v>
      </c>
      <c r="AP108" s="332">
        <f t="shared" si="49"/>
        <v>41</v>
      </c>
      <c r="AQ108" s="332">
        <f t="shared" si="49"/>
        <v>42</v>
      </c>
      <c r="AR108" s="332">
        <f t="shared" si="49"/>
        <v>43</v>
      </c>
      <c r="AS108" s="332">
        <f t="shared" si="49"/>
        <v>44</v>
      </c>
      <c r="AT108" s="332">
        <f t="shared" si="49"/>
        <v>45</v>
      </c>
      <c r="AU108" s="332">
        <f t="shared" si="49"/>
        <v>46</v>
      </c>
      <c r="AV108" s="332">
        <f t="shared" si="49"/>
        <v>47</v>
      </c>
      <c r="AW108" s="332">
        <f t="shared" si="49"/>
        <v>48</v>
      </c>
      <c r="AX108" s="332">
        <f t="shared" si="49"/>
        <v>49</v>
      </c>
      <c r="AY108" s="333">
        <f t="shared" si="49"/>
        <v>50</v>
      </c>
    </row>
    <row r="109" spans="1:51">
      <c r="A109" s="334" t="s">
        <v>2908</v>
      </c>
      <c r="B109" s="335">
        <v>8.5000000000000006E-2</v>
      </c>
      <c r="C109" s="336">
        <f t="shared" ref="C109:AY114" si="50">(C98/(1+$C$3)^(C$16-0.5)+B109)</f>
        <v>0.14676888215546238</v>
      </c>
      <c r="D109" s="336">
        <f t="shared" si="50"/>
        <v>0.20414371556472255</v>
      </c>
      <c r="E109" s="336">
        <f t="shared" si="50"/>
        <v>0.25839768403149038</v>
      </c>
      <c r="F109" s="336">
        <f t="shared" si="50"/>
        <v>0.30970025140924012</v>
      </c>
      <c r="G109" s="336">
        <f t="shared" si="50"/>
        <v>0.35821832065739073</v>
      </c>
      <c r="H109" s="336">
        <f t="shared" si="50"/>
        <v>0.40431751717749687</v>
      </c>
      <c r="I109" s="336">
        <f t="shared" si="50"/>
        <v>0.44812287732359957</v>
      </c>
      <c r="J109" s="336">
        <f t="shared" si="50"/>
        <v>0.48974263650325012</v>
      </c>
      <c r="K109" s="336">
        <f t="shared" si="50"/>
        <v>0.52929210194241694</v>
      </c>
      <c r="L109" s="336">
        <f t="shared" si="50"/>
        <v>0.56687294688955814</v>
      </c>
      <c r="M109" s="336">
        <f t="shared" si="50"/>
        <v>0.60257915226126935</v>
      </c>
      <c r="N109" s="336">
        <f t="shared" si="50"/>
        <v>0.636507632437601</v>
      </c>
      <c r="O109" s="336">
        <f t="shared" si="50"/>
        <v>0.6687476124314139</v>
      </c>
      <c r="P109" s="336">
        <f t="shared" si="50"/>
        <v>0.69938293294138765</v>
      </c>
      <c r="Q109" s="336">
        <f t="shared" si="50"/>
        <v>0.72842115143425368</v>
      </c>
      <c r="R109" s="336">
        <f t="shared" si="50"/>
        <v>0.75594552915261015</v>
      </c>
      <c r="S109" s="336">
        <f t="shared" si="50"/>
        <v>0.78203498670555471</v>
      </c>
      <c r="T109" s="336">
        <f t="shared" si="50"/>
        <v>0.80676433035763484</v>
      </c>
      <c r="U109" s="336">
        <f t="shared" si="50"/>
        <v>0.83020446652074398</v>
      </c>
      <c r="V109" s="336">
        <f t="shared" si="50"/>
        <v>0.85242260506397538</v>
      </c>
      <c r="W109" s="336">
        <f t="shared" si="50"/>
        <v>0.87348245202438424</v>
      </c>
      <c r="X109" s="336">
        <f t="shared" si="50"/>
        <v>0.8934443922712173</v>
      </c>
      <c r="Y109" s="336">
        <f t="shared" si="50"/>
        <v>0.91236566264736241</v>
      </c>
      <c r="Z109" s="336">
        <f t="shared" si="50"/>
        <v>0.93030051608446673</v>
      </c>
      <c r="AA109" s="336">
        <f t="shared" si="50"/>
        <v>0.94730037716229076</v>
      </c>
      <c r="AB109" s="336">
        <f t="shared" si="50"/>
        <v>0.96341398955833246</v>
      </c>
      <c r="AC109" s="336">
        <f t="shared" si="50"/>
        <v>0.97868755581050471</v>
      </c>
      <c r="AD109" s="336">
        <f t="shared" si="50"/>
        <v>0.99316486979360641</v>
      </c>
      <c r="AE109" s="336">
        <f t="shared" si="50"/>
        <v>1.0068874422894374</v>
      </c>
      <c r="AF109" s="336">
        <f t="shared" si="50"/>
        <v>1.0198946200106043</v>
      </c>
      <c r="AG109" s="336">
        <f t="shared" si="50"/>
        <v>1.0322236984192932</v>
      </c>
      <c r="AH109" s="336">
        <f t="shared" si="50"/>
        <v>1.043910028664496</v>
      </c>
      <c r="AI109" s="336">
        <f t="shared" si="50"/>
        <v>1.054987118944309</v>
      </c>
      <c r="AJ109" s="336">
        <f t="shared" si="50"/>
        <v>1.0654867305839422</v>
      </c>
      <c r="AK109" s="336">
        <f t="shared" si="50"/>
        <v>1.0754389691049215</v>
      </c>
      <c r="AL109" s="336">
        <f t="shared" si="50"/>
        <v>1.0848723705466081</v>
      </c>
      <c r="AM109" s="336">
        <f t="shared" si="50"/>
        <v>1.0938139832875433</v>
      </c>
      <c r="AN109" s="336">
        <f t="shared" si="50"/>
        <v>1.102289445601226</v>
      </c>
      <c r="AO109" s="336">
        <f t="shared" si="50"/>
        <v>1.1103230591686977</v>
      </c>
      <c r="AP109" s="336">
        <f t="shared" si="50"/>
        <v>1.1179378587587183</v>
      </c>
      <c r="AQ109" s="336">
        <f t="shared" si="50"/>
        <v>1.1251556782753254</v>
      </c>
      <c r="AR109" s="336">
        <f t="shared" si="50"/>
        <v>1.1319972133621568</v>
      </c>
      <c r="AS109" s="336">
        <f t="shared" si="50"/>
        <v>1.1384820807430396</v>
      </c>
      <c r="AT109" s="336">
        <f t="shared" si="50"/>
        <v>1.144628874468995</v>
      </c>
      <c r="AU109" s="336">
        <f t="shared" si="50"/>
        <v>1.1504552192329336</v>
      </c>
      <c r="AV109" s="336">
        <f t="shared" si="50"/>
        <v>1.1559778209049134</v>
      </c>
      <c r="AW109" s="336">
        <f t="shared" si="50"/>
        <v>1.1612125144328564</v>
      </c>
      <c r="AX109" s="336">
        <f t="shared" si="50"/>
        <v>1.1661743092460726</v>
      </c>
      <c r="AY109" s="337">
        <f t="shared" si="50"/>
        <v>1.170877432291775</v>
      </c>
    </row>
    <row r="110" spans="1:51">
      <c r="A110" s="338" t="s">
        <v>2909</v>
      </c>
      <c r="B110" s="342">
        <f t="shared" ref="B110:B116" si="51">B99/(1+$C$3)^(B$16-0.5)</f>
        <v>83.142880157899583</v>
      </c>
      <c r="C110" s="343">
        <f t="shared" si="50"/>
        <v>168.53441057976141</v>
      </c>
      <c r="D110" s="343">
        <f t="shared" si="50"/>
        <v>255.33713327310039</v>
      </c>
      <c r="E110" s="343">
        <f t="shared" si="50"/>
        <v>342.85019038251738</v>
      </c>
      <c r="F110" s="343">
        <f t="shared" si="50"/>
        <v>430.46720059461694</v>
      </c>
      <c r="G110" s="343">
        <f t="shared" si="50"/>
        <v>517.67458334521405</v>
      </c>
      <c r="H110" s="343">
        <f t="shared" si="50"/>
        <v>604.04866016790231</v>
      </c>
      <c r="I110" s="343">
        <f t="shared" si="50"/>
        <v>689.22294077369145</v>
      </c>
      <c r="J110" s="343">
        <f t="shared" si="50"/>
        <v>772.90319960289992</v>
      </c>
      <c r="K110" s="343">
        <f t="shared" si="50"/>
        <v>854.84525147923114</v>
      </c>
      <c r="L110" s="343">
        <f t="shared" si="50"/>
        <v>934.84935653622915</v>
      </c>
      <c r="M110" s="343">
        <f t="shared" si="50"/>
        <v>1012.7609731846534</v>
      </c>
      <c r="N110" s="343">
        <f t="shared" si="50"/>
        <v>1086.6108467850554</v>
      </c>
      <c r="O110" s="343">
        <f t="shared" si="50"/>
        <v>1156.61072697501</v>
      </c>
      <c r="P110" s="343">
        <f t="shared" si="50"/>
        <v>1222.96132431146</v>
      </c>
      <c r="Q110" s="343">
        <f t="shared" si="50"/>
        <v>1285.8528857678107</v>
      </c>
      <c r="R110" s="343">
        <f t="shared" si="50"/>
        <v>1345.4657402288065</v>
      </c>
      <c r="S110" s="343">
        <f t="shared" si="50"/>
        <v>1401.9708155472858</v>
      </c>
      <c r="T110" s="343">
        <f t="shared" si="50"/>
        <v>1455.5301286453707</v>
      </c>
      <c r="U110" s="343">
        <f t="shared" si="50"/>
        <v>1506.2972500653564</v>
      </c>
      <c r="V110" s="343">
        <f t="shared" si="50"/>
        <v>1554.4177443023095</v>
      </c>
      <c r="W110" s="343">
        <f t="shared" si="50"/>
        <v>1600.0295871809381</v>
      </c>
      <c r="X110" s="343">
        <f t="shared" si="50"/>
        <v>1643.263561473477</v>
      </c>
      <c r="Y110" s="343">
        <f t="shared" si="50"/>
        <v>1684.2436318929451</v>
      </c>
      <c r="Z110" s="343">
        <f t="shared" si="50"/>
        <v>1723.0873005369908</v>
      </c>
      <c r="AA110" s="343">
        <f t="shared" si="50"/>
        <v>1759.9059438014892</v>
      </c>
      <c r="AB110" s="343">
        <f t="shared" si="50"/>
        <v>1794.8051317299237</v>
      </c>
      <c r="AC110" s="343">
        <f t="shared" si="50"/>
        <v>1827.8849307142218</v>
      </c>
      <c r="AD110" s="343">
        <f t="shared" si="50"/>
        <v>1859.2401904149783</v>
      </c>
      <c r="AE110" s="343">
        <f t="shared" si="50"/>
        <v>1888.9608157237521</v>
      </c>
      <c r="AF110" s="343">
        <f t="shared" si="50"/>
        <v>1917.1320245472346</v>
      </c>
      <c r="AG110" s="343">
        <f t="shared" si="50"/>
        <v>1943.834592152431</v>
      </c>
      <c r="AH110" s="343">
        <f t="shared" si="50"/>
        <v>1969.1450827734704</v>
      </c>
      <c r="AI110" s="343">
        <f t="shared" si="50"/>
        <v>1993.1360691441239</v>
      </c>
      <c r="AJ110" s="343">
        <f t="shared" si="50"/>
        <v>2015.8763405855016</v>
      </c>
      <c r="AK110" s="343">
        <f t="shared" si="50"/>
        <v>2037.4311002455752</v>
      </c>
      <c r="AL110" s="343">
        <f t="shared" si="50"/>
        <v>2057.8621520560714</v>
      </c>
      <c r="AM110" s="343">
        <f t="shared" si="50"/>
        <v>2077.2280779427979</v>
      </c>
      <c r="AN110" s="343">
        <f t="shared" si="50"/>
        <v>2095.5844057975146</v>
      </c>
      <c r="AO110" s="343">
        <f t="shared" si="50"/>
        <v>2112.9837686929809</v>
      </c>
      <c r="AP110" s="343">
        <f t="shared" si="50"/>
        <v>2129.4760557976883</v>
      </c>
      <c r="AQ110" s="343">
        <f t="shared" si="50"/>
        <v>2145.1085554230035</v>
      </c>
      <c r="AR110" s="343">
        <f t="shared" si="50"/>
        <v>2159.9260906128757</v>
      </c>
      <c r="AS110" s="343">
        <f t="shared" si="50"/>
        <v>2173.9711476648872</v>
      </c>
      <c r="AT110" s="343">
        <f t="shared" si="50"/>
        <v>2187.2839979511541</v>
      </c>
      <c r="AU110" s="343">
        <f t="shared" si="50"/>
        <v>2199.9028133883739</v>
      </c>
      <c r="AV110" s="343">
        <f t="shared" si="50"/>
        <v>2211.8637758881082</v>
      </c>
      <c r="AW110" s="343">
        <f t="shared" si="50"/>
        <v>2223.2011811011266</v>
      </c>
      <c r="AX110" s="343">
        <f t="shared" si="50"/>
        <v>2233.9475367532768</v>
      </c>
      <c r="AY110" s="344">
        <f t="shared" si="50"/>
        <v>2244.133655854841</v>
      </c>
    </row>
    <row r="111" spans="1:51">
      <c r="A111" s="338" t="s">
        <v>2910</v>
      </c>
      <c r="B111" s="342">
        <f t="shared" si="51"/>
        <v>9.9695080143101027</v>
      </c>
      <c r="C111" s="343">
        <f t="shared" si="50"/>
        <v>19.207027936485396</v>
      </c>
      <c r="D111" s="343">
        <f t="shared" si="50"/>
        <v>27.770532681796588</v>
      </c>
      <c r="E111" s="343">
        <f t="shared" si="50"/>
        <v>35.887598791096295</v>
      </c>
      <c r="F111" s="343">
        <f t="shared" si="50"/>
        <v>43.581500316498861</v>
      </c>
      <c r="G111" s="343">
        <f t="shared" si="50"/>
        <v>50.874297970908877</v>
      </c>
      <c r="H111" s="343">
        <f t="shared" si="50"/>
        <v>57.843389446302268</v>
      </c>
      <c r="I111" s="343">
        <f t="shared" si="50"/>
        <v>64.496012816984674</v>
      </c>
      <c r="J111" s="343">
        <f t="shared" si="50"/>
        <v>70.852567898586869</v>
      </c>
      <c r="K111" s="343">
        <f t="shared" si="50"/>
        <v>76.877738592048672</v>
      </c>
      <c r="L111" s="343">
        <f t="shared" si="50"/>
        <v>82.588800860732846</v>
      </c>
      <c r="M111" s="343">
        <f t="shared" si="50"/>
        <v>88.002130025362391</v>
      </c>
      <c r="N111" s="343">
        <f t="shared" si="50"/>
        <v>93.133247716954372</v>
      </c>
      <c r="O111" s="343">
        <f t="shared" si="50"/>
        <v>97.996866381970477</v>
      </c>
      <c r="P111" s="343">
        <f t="shared" si="50"/>
        <v>102.60693146729379</v>
      </c>
      <c r="Q111" s="343">
        <f t="shared" si="50"/>
        <v>106.97666140598888</v>
      </c>
      <c r="R111" s="343">
        <f t="shared" si="50"/>
        <v>111.11858551849608</v>
      </c>
      <c r="S111" s="343">
        <f t="shared" si="50"/>
        <v>115.04457993793417</v>
      </c>
      <c r="T111" s="343">
        <f t="shared" si="50"/>
        <v>118.76590166252005</v>
      </c>
      <c r="U111" s="343">
        <f t="shared" si="50"/>
        <v>122.29322083274363</v>
      </c>
      <c r="V111" s="343">
        <f t="shared" si="50"/>
        <v>125.63665132584654</v>
      </c>
      <c r="W111" s="343">
        <f t="shared" si="50"/>
        <v>128.80577975532799</v>
      </c>
      <c r="X111" s="343">
        <f t="shared" si="50"/>
        <v>131.80969295862792</v>
      </c>
      <c r="Y111" s="343">
        <f t="shared" si="50"/>
        <v>134.65700405180323</v>
      </c>
      <c r="Z111" s="343">
        <f t="shared" si="50"/>
        <v>137.35587712590305</v>
      </c>
      <c r="AA111" s="343">
        <f t="shared" si="50"/>
        <v>139.91405065585548</v>
      </c>
      <c r="AB111" s="343">
        <f t="shared" si="50"/>
        <v>142.33885968898574</v>
      </c>
      <c r="AC111" s="343">
        <f t="shared" si="50"/>
        <v>144.63725687678692</v>
      </c>
      <c r="AD111" s="343">
        <f t="shared" si="50"/>
        <v>146.81583241024776</v>
      </c>
      <c r="AE111" s="343">
        <f t="shared" si="50"/>
        <v>148.88083291589786</v>
      </c>
      <c r="AF111" s="343">
        <f t="shared" si="50"/>
        <v>150.83817936675104</v>
      </c>
      <c r="AG111" s="343">
        <f t="shared" si="50"/>
        <v>152.69348405950285</v>
      </c>
      <c r="AH111" s="343">
        <f t="shared" si="50"/>
        <v>154.45206670666099</v>
      </c>
      <c r="AI111" s="343">
        <f t="shared" si="50"/>
        <v>156.11896968974926</v>
      </c>
      <c r="AJ111" s="343">
        <f t="shared" si="50"/>
        <v>157.6989725173211</v>
      </c>
      <c r="AK111" s="343">
        <f t="shared" si="50"/>
        <v>159.1966055292375</v>
      </c>
      <c r="AL111" s="343">
        <f t="shared" si="50"/>
        <v>160.61616288650424</v>
      </c>
      <c r="AM111" s="343">
        <f t="shared" si="50"/>
        <v>161.96171488391349</v>
      </c>
      <c r="AN111" s="343">
        <f t="shared" si="50"/>
        <v>163.23711962079429</v>
      </c>
      <c r="AO111" s="343">
        <f t="shared" si="50"/>
        <v>164.44603406333533</v>
      </c>
      <c r="AP111" s="343">
        <f t="shared" si="50"/>
        <v>165.59192453019887</v>
      </c>
      <c r="AQ111" s="343">
        <f t="shared" si="50"/>
        <v>166.67807663149134</v>
      </c>
      <c r="AR111" s="343">
        <f t="shared" si="50"/>
        <v>167.70760468958846</v>
      </c>
      <c r="AS111" s="343">
        <f t="shared" si="50"/>
        <v>168.68346066882745</v>
      </c>
      <c r="AT111" s="343">
        <f t="shared" si="50"/>
        <v>169.60844263967007</v>
      </c>
      <c r="AU111" s="343">
        <f t="shared" si="50"/>
        <v>170.48520280160622</v>
      </c>
      <c r="AV111" s="343">
        <f t="shared" si="50"/>
        <v>171.31625508780161</v>
      </c>
      <c r="AW111" s="343">
        <f t="shared" si="50"/>
        <v>172.10398237329488</v>
      </c>
      <c r="AX111" s="343">
        <f t="shared" si="50"/>
        <v>172.85064330741173</v>
      </c>
      <c r="AY111" s="344">
        <f t="shared" si="50"/>
        <v>173.55837878998693</v>
      </c>
    </row>
    <row r="112" spans="1:51">
      <c r="A112" s="338" t="s">
        <v>2911</v>
      </c>
      <c r="B112" s="342">
        <f t="shared" si="51"/>
        <v>9.2028100102799062</v>
      </c>
      <c r="C112" s="343">
        <f t="shared" si="50"/>
        <v>17.724368306785436</v>
      </c>
      <c r="D112" s="343">
        <f t="shared" si="50"/>
        <v>25.614338971004738</v>
      </c>
      <c r="E112" s="343">
        <f t="shared" si="50"/>
        <v>33.092984150359527</v>
      </c>
      <c r="F112" s="343">
        <f t="shared" si="50"/>
        <v>40.181747353539421</v>
      </c>
      <c r="G112" s="343">
        <f t="shared" si="50"/>
        <v>46.900954181198088</v>
      </c>
      <c r="H112" s="343">
        <f t="shared" si="50"/>
        <v>53.322238820759729</v>
      </c>
      <c r="I112" s="343">
        <f t="shared" si="50"/>
        <v>59.509156246227533</v>
      </c>
      <c r="J112" s="343">
        <f t="shared" si="50"/>
        <v>65.373532952832093</v>
      </c>
      <c r="K112" s="343">
        <f t="shared" si="50"/>
        <v>70.932183859566265</v>
      </c>
      <c r="L112" s="343">
        <f t="shared" si="50"/>
        <v>76.201047278271645</v>
      </c>
      <c r="M112" s="343">
        <f t="shared" si="50"/>
        <v>81.195230613537404</v>
      </c>
      <c r="N112" s="343">
        <f t="shared" si="50"/>
        <v>85.929053680140029</v>
      </c>
      <c r="O112" s="343">
        <f t="shared" si="50"/>
        <v>90.416089762227827</v>
      </c>
      <c r="P112" s="343">
        <f t="shared" si="50"/>
        <v>94.66920453197929</v>
      </c>
      <c r="Q112" s="343">
        <f t="shared" si="50"/>
        <v>98.70059293932664</v>
      </c>
      <c r="R112" s="343">
        <f t="shared" si="50"/>
        <v>102.52181417851845</v>
      </c>
      <c r="S112" s="343">
        <f t="shared" si="50"/>
        <v>106.14382483178083</v>
      </c>
      <c r="T112" s="343">
        <f t="shared" si="50"/>
        <v>109.57701028511011</v>
      </c>
      <c r="U112" s="343">
        <f t="shared" si="50"/>
        <v>112.83121450627529</v>
      </c>
      <c r="V112" s="343">
        <f t="shared" si="50"/>
        <v>115.9157682704129</v>
      </c>
      <c r="W112" s="343">
        <f t="shared" si="50"/>
        <v>118.83951591414524</v>
      </c>
      <c r="X112" s="343">
        <f t="shared" si="50"/>
        <v>121.61084069493418</v>
      </c>
      <c r="Y112" s="343">
        <f t="shared" si="50"/>
        <v>124.23768882838341</v>
      </c>
      <c r="Z112" s="343">
        <f t="shared" si="50"/>
        <v>126.72759227241113</v>
      </c>
      <c r="AA112" s="343">
        <f t="shared" si="50"/>
        <v>129.08769032362224</v>
      </c>
      <c r="AB112" s="343">
        <f t="shared" si="50"/>
        <v>131.32475008780338</v>
      </c>
      <c r="AC112" s="343">
        <f t="shared" si="50"/>
        <v>133.44518588323575</v>
      </c>
      <c r="AD112" s="343">
        <f t="shared" si="50"/>
        <v>135.45507763246073</v>
      </c>
      <c r="AE112" s="343">
        <f t="shared" si="50"/>
        <v>137.36018829523323</v>
      </c>
      <c r="AF112" s="343">
        <f t="shared" si="50"/>
        <v>139.16598039264792</v>
      </c>
      <c r="AG112" s="343">
        <f t="shared" si="50"/>
        <v>140.87763166981824</v>
      </c>
      <c r="AH112" s="343">
        <f t="shared" si="50"/>
        <v>142.5000499420176</v>
      </c>
      <c r="AI112" s="343">
        <f t="shared" si="50"/>
        <v>144.03788716685111</v>
      </c>
      <c r="AJ112" s="343">
        <f t="shared" si="50"/>
        <v>145.49555278280704</v>
      </c>
      <c r="AK112" s="343">
        <f t="shared" si="50"/>
        <v>146.87722635243352</v>
      </c>
      <c r="AL112" s="343">
        <f t="shared" si="50"/>
        <v>148.18686954639227</v>
      </c>
      <c r="AM112" s="343">
        <f t="shared" si="50"/>
        <v>149.42823750275127</v>
      </c>
      <c r="AN112" s="343">
        <f t="shared" si="50"/>
        <v>150.60488959408681</v>
      </c>
      <c r="AO112" s="343">
        <f t="shared" si="50"/>
        <v>151.72019963326744</v>
      </c>
      <c r="AP112" s="343">
        <f t="shared" si="50"/>
        <v>152.77736554718271</v>
      </c>
      <c r="AQ112" s="343">
        <f t="shared" si="50"/>
        <v>153.77941854615455</v>
      </c>
      <c r="AR112" s="343">
        <f t="shared" si="50"/>
        <v>154.72923181532215</v>
      </c>
      <c r="AS112" s="343">
        <f t="shared" si="50"/>
        <v>155.62952875292177</v>
      </c>
      <c r="AT112" s="343">
        <f t="shared" si="50"/>
        <v>156.48289077908257</v>
      </c>
      <c r="AU112" s="343">
        <f t="shared" si="50"/>
        <v>157.29176473752881</v>
      </c>
      <c r="AV112" s="343">
        <f t="shared" si="50"/>
        <v>158.05846991141149</v>
      </c>
      <c r="AW112" s="343">
        <f t="shared" si="50"/>
        <v>158.78520467338561</v>
      </c>
      <c r="AX112" s="343">
        <f t="shared" si="50"/>
        <v>159.47405278900089</v>
      </c>
      <c r="AY112" s="344">
        <f t="shared" si="50"/>
        <v>160.12698939147984</v>
      </c>
    </row>
    <row r="113" spans="1:51">
      <c r="A113" s="338" t="s">
        <v>2912</v>
      </c>
      <c r="B113" s="342">
        <f t="shared" si="51"/>
        <v>6.1182586674026789</v>
      </c>
      <c r="C113" s="343">
        <f t="shared" si="50"/>
        <v>12.428881458877321</v>
      </c>
      <c r="D113" s="343">
        <f t="shared" si="50"/>
        <v>18.663448533001478</v>
      </c>
      <c r="E113" s="343">
        <f t="shared" si="50"/>
        <v>24.758953747497628</v>
      </c>
      <c r="F113" s="343">
        <f t="shared" si="50"/>
        <v>30.680705424846916</v>
      </c>
      <c r="G113" s="343">
        <f t="shared" si="50"/>
        <v>36.409160608562402</v>
      </c>
      <c r="H113" s="343">
        <f t="shared" si="50"/>
        <v>41.933745345919618</v>
      </c>
      <c r="I113" s="343">
        <f t="shared" si="50"/>
        <v>48.071024652675924</v>
      </c>
      <c r="J113" s="343">
        <f t="shared" si="50"/>
        <v>53.344183401899116</v>
      </c>
      <c r="K113" s="343">
        <f t="shared" si="50"/>
        <v>58.387229298572841</v>
      </c>
      <c r="L113" s="343">
        <f t="shared" si="50"/>
        <v>63.206893248542535</v>
      </c>
      <c r="M113" s="343">
        <f t="shared" si="50"/>
        <v>67.810341338564868</v>
      </c>
      <c r="N113" s="343">
        <f t="shared" si="50"/>
        <v>72.205003872916535</v>
      </c>
      <c r="O113" s="343">
        <f t="shared" si="50"/>
        <v>76.382152150713026</v>
      </c>
      <c r="P113" s="343">
        <f t="shared" si="50"/>
        <v>80.342180607180453</v>
      </c>
      <c r="Q113" s="343">
        <f t="shared" si="50"/>
        <v>84.095762082505033</v>
      </c>
      <c r="R113" s="343">
        <f t="shared" si="50"/>
        <v>87.684355750314964</v>
      </c>
      <c r="S113" s="343">
        <f t="shared" si="50"/>
        <v>91.109251998560694</v>
      </c>
      <c r="T113" s="343">
        <f t="shared" si="50"/>
        <v>94.377765658171711</v>
      </c>
      <c r="U113" s="343">
        <f t="shared" si="50"/>
        <v>97.475882871073139</v>
      </c>
      <c r="V113" s="343">
        <f t="shared" si="50"/>
        <v>100.41248686434464</v>
      </c>
      <c r="W113" s="343">
        <f t="shared" si="50"/>
        <v>103.19599775844085</v>
      </c>
      <c r="X113" s="343">
        <f t="shared" si="50"/>
        <v>105.83439671019082</v>
      </c>
      <c r="Y113" s="343">
        <f t="shared" si="50"/>
        <v>108.3352487971576</v>
      </c>
      <c r="Z113" s="343">
        <f t="shared" si="50"/>
        <v>110.70572470897447</v>
      </c>
      <c r="AA113" s="343">
        <f t="shared" si="50"/>
        <v>112.95262130785301</v>
      </c>
      <c r="AB113" s="343">
        <f t="shared" si="50"/>
        <v>115.08238111721656</v>
      </c>
      <c r="AC113" s="343">
        <f t="shared" si="50"/>
        <v>117.1011107943384</v>
      </c>
      <c r="AD113" s="343">
        <f t="shared" si="50"/>
        <v>119.01459863995152</v>
      </c>
      <c r="AE113" s="343">
        <f t="shared" si="50"/>
        <v>120.82833119503505</v>
      </c>
      <c r="AF113" s="343">
        <f t="shared" si="50"/>
        <v>122.54750897236541</v>
      </c>
      <c r="AG113" s="343">
        <f t="shared" si="50"/>
        <v>124.1770613679392</v>
      </c>
      <c r="AH113" s="343">
        <f t="shared" si="50"/>
        <v>125.72166079502338</v>
      </c>
      <c r="AI113" s="343">
        <f t="shared" si="50"/>
        <v>127.1857360813591</v>
      </c>
      <c r="AJ113" s="343">
        <f t="shared" si="50"/>
        <v>128.57348516793323</v>
      </c>
      <c r="AK113" s="343">
        <f t="shared" si="50"/>
        <v>129.8888871457286</v>
      </c>
      <c r="AL113" s="343">
        <f t="shared" si="50"/>
        <v>131.13571366496595</v>
      </c>
      <c r="AM113" s="343">
        <f t="shared" si="50"/>
        <v>132.31753974955109</v>
      </c>
      <c r="AN113" s="343">
        <f t="shared" si="50"/>
        <v>133.43775404773606</v>
      </c>
      <c r="AO113" s="343">
        <f t="shared" si="50"/>
        <v>134.49956854838533</v>
      </c>
      <c r="AP113" s="343">
        <f t="shared" si="50"/>
        <v>135.5060277907069</v>
      </c>
      <c r="AQ113" s="343">
        <f t="shared" si="50"/>
        <v>136.4600175938553</v>
      </c>
      <c r="AR113" s="343">
        <f t="shared" si="50"/>
        <v>137.36427333143675</v>
      </c>
      <c r="AS113" s="343">
        <f t="shared" si="50"/>
        <v>138.2213877746419</v>
      </c>
      <c r="AT113" s="343">
        <f t="shared" si="50"/>
        <v>139.03381852649511</v>
      </c>
      <c r="AU113" s="343">
        <f t="shared" si="50"/>
        <v>139.80389506853609</v>
      </c>
      <c r="AV113" s="343">
        <f t="shared" si="50"/>
        <v>140.53382544013891</v>
      </c>
      <c r="AW113" s="343">
        <f t="shared" si="50"/>
        <v>141.22570256962027</v>
      </c>
      <c r="AX113" s="343">
        <f t="shared" si="50"/>
        <v>141.8815102752898</v>
      </c>
      <c r="AY113" s="344">
        <f t="shared" si="50"/>
        <v>142.50312895364954</v>
      </c>
    </row>
    <row r="114" spans="1:51">
      <c r="A114" s="338" t="s">
        <v>2892</v>
      </c>
      <c r="B114" s="339">
        <f t="shared" si="51"/>
        <v>6.1141123369011178E-3</v>
      </c>
      <c r="C114" s="340">
        <f t="shared" si="50"/>
        <v>1.1835653147838862E-2</v>
      </c>
      <c r="D114" s="340">
        <f t="shared" si="50"/>
        <v>1.718893701314065E-2</v>
      </c>
      <c r="E114" s="340">
        <f t="shared" si="50"/>
        <v>2.2163645558166009E-2</v>
      </c>
      <c r="F114" s="340">
        <f t="shared" si="50"/>
        <v>2.6784701836957338E-2</v>
      </c>
      <c r="G114" s="340">
        <f t="shared" si="50"/>
        <v>3.1082908421834338E-2</v>
      </c>
      <c r="H114" s="340">
        <f t="shared" si="50"/>
        <v>3.5157037886172721E-2</v>
      </c>
      <c r="I114" s="340">
        <f t="shared" si="50"/>
        <v>3.9012079195542004E-2</v>
      </c>
      <c r="J114" s="340">
        <f t="shared" si="50"/>
        <v>4.2666146787361234E-2</v>
      </c>
      <c r="K114" s="340">
        <f t="shared" si="50"/>
        <v>4.6123704820036415E-2</v>
      </c>
      <c r="L114" s="340">
        <f t="shared" si="50"/>
        <v>4.9401011012145592E-2</v>
      </c>
      <c r="M114" s="340">
        <f t="shared" ref="M114:AY116" si="52">(M103/(1+$C$3)^(M$16-0.5)+L114)</f>
        <v>5.2507462379073722E-2</v>
      </c>
      <c r="N114" s="340">
        <f t="shared" si="52"/>
        <v>5.5446845168468734E-2</v>
      </c>
      <c r="O114" s="340">
        <f t="shared" si="52"/>
        <v>5.8232989992539834E-2</v>
      </c>
      <c r="P114" s="340">
        <f t="shared" si="52"/>
        <v>6.0869284697021131E-2</v>
      </c>
      <c r="Q114" s="340">
        <f t="shared" si="52"/>
        <v>6.3368142236813835E-2</v>
      </c>
      <c r="R114" s="340">
        <f t="shared" si="52"/>
        <v>6.5736727582588902E-2</v>
      </c>
      <c r="S114" s="340">
        <f t="shared" si="52"/>
        <v>6.7981832175740636E-2</v>
      </c>
      <c r="T114" s="340">
        <f t="shared" si="52"/>
        <v>7.0109893401476872E-2</v>
      </c>
      <c r="U114" s="340">
        <f t="shared" si="52"/>
        <v>7.2127013046724489E-2</v>
      </c>
      <c r="V114" s="340">
        <f t="shared" si="52"/>
        <v>7.4038974795774357E-2</v>
      </c>
      <c r="W114" s="340">
        <f t="shared" si="52"/>
        <v>7.5851260813831103E-2</v>
      </c>
      <c r="X114" s="340">
        <f t="shared" si="52"/>
        <v>7.7569067466017591E-2</v>
      </c>
      <c r="Y114" s="340">
        <f t="shared" si="52"/>
        <v>7.9197320216905259E-2</v>
      </c>
      <c r="Z114" s="340">
        <f t="shared" si="52"/>
        <v>8.0740687753291684E-2</v>
      </c>
      <c r="AA114" s="340">
        <f t="shared" si="52"/>
        <v>8.220359537071957E-2</v>
      </c>
      <c r="AB114" s="340">
        <f t="shared" si="52"/>
        <v>8.3590237662120412E-2</v>
      </c>
      <c r="AC114" s="340">
        <f t="shared" si="52"/>
        <v>8.4904590544964811E-2</v>
      </c>
      <c r="AD114" s="340">
        <f t="shared" si="52"/>
        <v>8.6150422661405004E-2</v>
      </c>
      <c r="AE114" s="340">
        <f t="shared" si="52"/>
        <v>8.7331306184097124E-2</v>
      </c>
      <c r="AF114" s="340">
        <f t="shared" si="52"/>
        <v>8.8450627058686809E-2</v>
      </c>
      <c r="AG114" s="340">
        <f t="shared" si="52"/>
        <v>8.9511594712326323E-2</v>
      </c>
      <c r="AH114" s="340">
        <f t="shared" si="52"/>
        <v>9.0517251256060458E-2</v>
      </c>
      <c r="AI114" s="340">
        <f t="shared" si="52"/>
        <v>9.1470480207467217E-2</v>
      </c>
      <c r="AJ114" s="340">
        <f t="shared" si="52"/>
        <v>9.2374014758563674E-2</v>
      </c>
      <c r="AK114" s="340">
        <f t="shared" si="52"/>
        <v>9.3230445612683538E-2</v>
      </c>
      <c r="AL114" s="340">
        <f t="shared" si="52"/>
        <v>9.4042228412797163E-2</v>
      </c>
      <c r="AM114" s="340">
        <f t="shared" si="52"/>
        <v>9.4811690782573108E-2</v>
      </c>
      <c r="AN114" s="340">
        <f t="shared" si="52"/>
        <v>9.5541039000370212E-2</v>
      </c>
      <c r="AO114" s="340">
        <f t="shared" si="52"/>
        <v>9.6232364325296374E-2</v>
      </c>
      <c r="AP114" s="340">
        <f t="shared" si="52"/>
        <v>9.6887648993472825E-2</v>
      </c>
      <c r="AQ114" s="340">
        <f t="shared" si="52"/>
        <v>9.7508771901696961E-2</v>
      </c>
      <c r="AR114" s="340">
        <f t="shared" si="52"/>
        <v>9.8097513994800406E-2</v>
      </c>
      <c r="AS114" s="340">
        <f t="shared" si="52"/>
        <v>9.8655563372149632E-2</v>
      </c>
      <c r="AT114" s="340">
        <f t="shared" si="52"/>
        <v>9.91845201279309E-2</v>
      </c>
      <c r="AU114" s="340">
        <f t="shared" si="52"/>
        <v>9.9685900939097974E-2</v>
      </c>
      <c r="AV114" s="340">
        <f t="shared" si="52"/>
        <v>0.10016114341413786</v>
      </c>
      <c r="AW114" s="340">
        <f t="shared" si="52"/>
        <v>0.10061161021512352</v>
      </c>
      <c r="AX114" s="340">
        <f t="shared" si="52"/>
        <v>0.10103859296487297</v>
      </c>
      <c r="AY114" s="341">
        <f t="shared" si="52"/>
        <v>0.10144331595041747</v>
      </c>
    </row>
    <row r="115" spans="1:51">
      <c r="A115" s="338" t="s">
        <v>2893</v>
      </c>
      <c r="B115" s="342">
        <f t="shared" si="51"/>
        <v>0.85432063306221828</v>
      </c>
      <c r="C115" s="343">
        <f t="shared" ref="C115:AH116" si="53">(C104/(1+$C$3)^(C$16-0.5)+B115)</f>
        <v>1.6641032236425202</v>
      </c>
      <c r="D115" s="343">
        <f t="shared" si="53"/>
        <v>2.4316696602115266</v>
      </c>
      <c r="E115" s="343">
        <f t="shared" si="53"/>
        <v>3.1592207849214855</v>
      </c>
      <c r="F115" s="343">
        <f t="shared" si="53"/>
        <v>3.8488427040778443</v>
      </c>
      <c r="G115" s="343">
        <f t="shared" si="53"/>
        <v>4.502512769628896</v>
      </c>
      <c r="H115" s="343">
        <f t="shared" si="53"/>
        <v>5.1221052488242051</v>
      </c>
      <c r="I115" s="343">
        <f t="shared" si="53"/>
        <v>5.7093966982984323</v>
      </c>
      <c r="J115" s="343">
        <f t="shared" si="53"/>
        <v>6.2660710579896426</v>
      </c>
      <c r="K115" s="343">
        <f t="shared" si="53"/>
        <v>6.7937244794978984</v>
      </c>
      <c r="L115" s="343">
        <f t="shared" si="53"/>
        <v>7.2938699027284732</v>
      </c>
      <c r="M115" s="343">
        <f t="shared" si="53"/>
        <v>7.7679413939422881</v>
      </c>
      <c r="N115" s="343">
        <f t="shared" si="53"/>
        <v>8.2172982576520646</v>
      </c>
      <c r="O115" s="343">
        <f t="shared" si="53"/>
        <v>8.643228934154223</v>
      </c>
      <c r="P115" s="343">
        <f t="shared" si="53"/>
        <v>9.0469546938719088</v>
      </c>
      <c r="Q115" s="343">
        <f t="shared" si="53"/>
        <v>9.4296331391019432</v>
      </c>
      <c r="R115" s="343">
        <f t="shared" si="53"/>
        <v>9.7923615232062406</v>
      </c>
      <c r="S115" s="343">
        <f t="shared" si="53"/>
        <v>10.136179896764817</v>
      </c>
      <c r="T115" s="343">
        <f t="shared" si="53"/>
        <v>10.462074089711335</v>
      </c>
      <c r="U115" s="343">
        <f t="shared" si="53"/>
        <v>10.770978538001872</v>
      </c>
      <c r="V115" s="343">
        <f t="shared" si="53"/>
        <v>11.063778962921813</v>
      </c>
      <c r="W115" s="343">
        <f t="shared" si="53"/>
        <v>11.341314910713226</v>
      </c>
      <c r="X115" s="343">
        <f t="shared" si="53"/>
        <v>11.604382159804613</v>
      </c>
      <c r="Y115" s="343">
        <f t="shared" si="53"/>
        <v>11.853735002545264</v>
      </c>
      <c r="Z115" s="343">
        <f t="shared" si="53"/>
        <v>12.09008840798664</v>
      </c>
      <c r="AA115" s="343">
        <f t="shared" si="53"/>
        <v>12.314120071912114</v>
      </c>
      <c r="AB115" s="343">
        <f t="shared" si="53"/>
        <v>12.526472359993132</v>
      </c>
      <c r="AC115" s="343">
        <f t="shared" si="53"/>
        <v>12.727754149643387</v>
      </c>
      <c r="AD115" s="343">
        <f t="shared" si="53"/>
        <v>12.918542575852159</v>
      </c>
      <c r="AE115" s="343">
        <f t="shared" si="53"/>
        <v>13.099384686002654</v>
      </c>
      <c r="AF115" s="343">
        <f t="shared" si="53"/>
        <v>13.270799008420186</v>
      </c>
      <c r="AG115" s="343">
        <f t="shared" si="53"/>
        <v>13.433277039147702</v>
      </c>
      <c r="AH115" s="343">
        <f t="shared" si="53"/>
        <v>13.5872846512117</v>
      </c>
      <c r="AI115" s="343">
        <f t="shared" si="52"/>
        <v>13.73326343041928</v>
      </c>
      <c r="AJ115" s="343">
        <f t="shared" si="52"/>
        <v>13.871631941516512</v>
      </c>
      <c r="AK115" s="343">
        <f t="shared" si="52"/>
        <v>14.002786928338534</v>
      </c>
      <c r="AL115" s="343">
        <f t="shared" si="52"/>
        <v>14.127104451392583</v>
      </c>
      <c r="AM115" s="343">
        <f t="shared" si="52"/>
        <v>14.244940966135758</v>
      </c>
      <c r="AN115" s="343">
        <f t="shared" si="52"/>
        <v>14.356634345039241</v>
      </c>
      <c r="AO115" s="343">
        <f t="shared" si="52"/>
        <v>14.462504846369557</v>
      </c>
      <c r="AP115" s="343">
        <f t="shared" si="52"/>
        <v>14.562856032464643</v>
      </c>
      <c r="AQ115" s="343">
        <f t="shared" si="52"/>
        <v>14.65797564013771</v>
      </c>
      <c r="AR115" s="343">
        <f t="shared" si="52"/>
        <v>14.748136405704599</v>
      </c>
      <c r="AS115" s="343">
        <f t="shared" si="52"/>
        <v>14.833596847000228</v>
      </c>
      <c r="AT115" s="343">
        <f t="shared" si="52"/>
        <v>14.914602004626417</v>
      </c>
      <c r="AU115" s="343">
        <f t="shared" si="52"/>
        <v>14.991384144556454</v>
      </c>
      <c r="AV115" s="343">
        <f t="shared" si="52"/>
        <v>15.064163424110991</v>
      </c>
      <c r="AW115" s="343">
        <f t="shared" si="52"/>
        <v>15.133148523214818</v>
      </c>
      <c r="AX115" s="343">
        <f t="shared" si="52"/>
        <v>15.198537242744511</v>
      </c>
      <c r="AY115" s="344">
        <f t="shared" si="52"/>
        <v>15.260517071682608</v>
      </c>
    </row>
    <row r="116" spans="1:51" ht="12.75" thickBot="1">
      <c r="A116" s="345" t="s">
        <v>2894</v>
      </c>
      <c r="B116" s="346">
        <f t="shared" si="51"/>
        <v>0.85432063306221828</v>
      </c>
      <c r="C116" s="347">
        <f t="shared" si="53"/>
        <v>1.6641032236425202</v>
      </c>
      <c r="D116" s="347">
        <f t="shared" si="53"/>
        <v>2.4316696602115266</v>
      </c>
      <c r="E116" s="347">
        <f t="shared" si="53"/>
        <v>3.1592207849214855</v>
      </c>
      <c r="F116" s="347">
        <f t="shared" si="53"/>
        <v>3.8488427040778443</v>
      </c>
      <c r="G116" s="347">
        <f t="shared" si="53"/>
        <v>4.502512769628896</v>
      </c>
      <c r="H116" s="347">
        <f t="shared" si="53"/>
        <v>5.1221052488242051</v>
      </c>
      <c r="I116" s="347">
        <f t="shared" si="53"/>
        <v>5.7093966982984323</v>
      </c>
      <c r="J116" s="347">
        <f t="shared" si="53"/>
        <v>6.2660710579896426</v>
      </c>
      <c r="K116" s="347">
        <f t="shared" si="53"/>
        <v>6.7937244794978984</v>
      </c>
      <c r="L116" s="347">
        <f t="shared" si="53"/>
        <v>7.2938699027284732</v>
      </c>
      <c r="M116" s="347">
        <f t="shared" si="53"/>
        <v>7.7679413939422881</v>
      </c>
      <c r="N116" s="347">
        <f t="shared" si="53"/>
        <v>8.2172982576520646</v>
      </c>
      <c r="O116" s="347">
        <f t="shared" si="53"/>
        <v>8.643228934154223</v>
      </c>
      <c r="P116" s="347">
        <f t="shared" si="53"/>
        <v>9.0469546938719088</v>
      </c>
      <c r="Q116" s="347">
        <f t="shared" si="53"/>
        <v>9.4296331391019432</v>
      </c>
      <c r="R116" s="347">
        <f t="shared" si="53"/>
        <v>9.7923615232062406</v>
      </c>
      <c r="S116" s="347">
        <f t="shared" si="53"/>
        <v>10.136179896764817</v>
      </c>
      <c r="T116" s="347">
        <f t="shared" si="53"/>
        <v>10.462074089711335</v>
      </c>
      <c r="U116" s="347">
        <f t="shared" si="53"/>
        <v>10.770978538001872</v>
      </c>
      <c r="V116" s="347">
        <f t="shared" si="53"/>
        <v>11.063778962921813</v>
      </c>
      <c r="W116" s="347">
        <f t="shared" si="53"/>
        <v>11.341314910713226</v>
      </c>
      <c r="X116" s="347">
        <f t="shared" si="53"/>
        <v>11.604382159804613</v>
      </c>
      <c r="Y116" s="347">
        <f t="shared" si="53"/>
        <v>11.853735002545264</v>
      </c>
      <c r="Z116" s="347">
        <f t="shared" si="53"/>
        <v>12.09008840798664</v>
      </c>
      <c r="AA116" s="347">
        <f t="shared" si="53"/>
        <v>12.314120071912114</v>
      </c>
      <c r="AB116" s="347">
        <f t="shared" si="53"/>
        <v>12.526472359993132</v>
      </c>
      <c r="AC116" s="347">
        <f t="shared" si="53"/>
        <v>12.727754149643387</v>
      </c>
      <c r="AD116" s="347">
        <f t="shared" si="53"/>
        <v>12.918542575852159</v>
      </c>
      <c r="AE116" s="347">
        <f t="shared" si="53"/>
        <v>13.099384686002654</v>
      </c>
      <c r="AF116" s="347">
        <f t="shared" si="53"/>
        <v>13.270799008420186</v>
      </c>
      <c r="AG116" s="347">
        <f t="shared" si="53"/>
        <v>13.433277039147702</v>
      </c>
      <c r="AH116" s="347">
        <f t="shared" si="53"/>
        <v>13.5872846512117</v>
      </c>
      <c r="AI116" s="347">
        <f t="shared" si="52"/>
        <v>13.73326343041928</v>
      </c>
      <c r="AJ116" s="347">
        <f t="shared" si="52"/>
        <v>13.871631941516512</v>
      </c>
      <c r="AK116" s="347">
        <f t="shared" si="52"/>
        <v>14.002786928338534</v>
      </c>
      <c r="AL116" s="347">
        <f t="shared" si="52"/>
        <v>14.127104451392583</v>
      </c>
      <c r="AM116" s="347">
        <f t="shared" si="52"/>
        <v>14.244940966135758</v>
      </c>
      <c r="AN116" s="347">
        <f t="shared" si="52"/>
        <v>14.356634345039241</v>
      </c>
      <c r="AO116" s="347">
        <f t="shared" si="52"/>
        <v>14.462504846369557</v>
      </c>
      <c r="AP116" s="347">
        <f t="shared" si="52"/>
        <v>14.562856032464643</v>
      </c>
      <c r="AQ116" s="347">
        <f t="shared" si="52"/>
        <v>14.65797564013771</v>
      </c>
      <c r="AR116" s="347">
        <f t="shared" si="52"/>
        <v>14.748136405704599</v>
      </c>
      <c r="AS116" s="347">
        <f t="shared" si="52"/>
        <v>14.833596847000228</v>
      </c>
      <c r="AT116" s="347">
        <f t="shared" si="52"/>
        <v>14.914602004626417</v>
      </c>
      <c r="AU116" s="347">
        <f t="shared" si="52"/>
        <v>14.991384144556454</v>
      </c>
      <c r="AV116" s="347">
        <f t="shared" si="52"/>
        <v>15.064163424110991</v>
      </c>
      <c r="AW116" s="347">
        <f t="shared" si="52"/>
        <v>15.133148523214818</v>
      </c>
      <c r="AX116" s="347">
        <f t="shared" si="52"/>
        <v>15.198537242744511</v>
      </c>
      <c r="AY116" s="348">
        <f t="shared" si="52"/>
        <v>15.260517071682608</v>
      </c>
    </row>
    <row r="118" spans="1:51" ht="15.75">
      <c r="A118" s="350" t="s">
        <v>2901</v>
      </c>
      <c r="B118" s="349"/>
      <c r="C118" s="349"/>
      <c r="D118" s="349"/>
      <c r="E118" s="349"/>
      <c r="F118" s="349"/>
      <c r="G118" s="349"/>
      <c r="H118" s="349"/>
      <c r="I118" s="349"/>
      <c r="J118" s="349"/>
      <c r="K118" s="349"/>
      <c r="L118" s="349"/>
      <c r="M118" s="349"/>
      <c r="N118" s="349"/>
      <c r="O118" s="349"/>
      <c r="P118" s="349"/>
      <c r="Q118" s="349"/>
      <c r="R118" s="349"/>
      <c r="S118" s="349"/>
      <c r="T118" s="349"/>
      <c r="U118" s="349"/>
      <c r="V118" s="349"/>
      <c r="W118" s="349"/>
      <c r="X118" s="349"/>
      <c r="Y118" s="349"/>
      <c r="Z118" s="349"/>
      <c r="AA118" s="349"/>
      <c r="AB118" s="349"/>
      <c r="AC118" s="349"/>
      <c r="AD118" s="349"/>
      <c r="AE118" s="349"/>
      <c r="AF118" s="349"/>
      <c r="AG118" s="349"/>
      <c r="AH118" s="349"/>
      <c r="AI118" s="349"/>
      <c r="AJ118" s="349"/>
      <c r="AK118" s="349"/>
      <c r="AL118" s="349"/>
      <c r="AM118" s="349"/>
      <c r="AN118" s="349"/>
      <c r="AO118" s="349"/>
      <c r="AP118" s="349"/>
      <c r="AQ118" s="349"/>
      <c r="AR118" s="349"/>
      <c r="AS118" s="349"/>
      <c r="AT118" s="349"/>
      <c r="AU118" s="349"/>
      <c r="AV118" s="349"/>
      <c r="AW118" s="349"/>
      <c r="AX118" s="349"/>
      <c r="AY118" s="349"/>
    </row>
    <row r="119" spans="1:51" ht="15.75" thickBot="1">
      <c r="A119" s="329" t="s">
        <v>2885</v>
      </c>
    </row>
    <row r="120" spans="1:51" ht="12.75" thickBot="1">
      <c r="A120" s="330" t="s">
        <v>2886</v>
      </c>
      <c r="B120" s="331">
        <v>2010</v>
      </c>
      <c r="C120" s="332">
        <v>2011</v>
      </c>
      <c r="D120" s="332">
        <v>2012</v>
      </c>
      <c r="E120" s="332">
        <v>2013</v>
      </c>
      <c r="F120" s="332">
        <v>2014</v>
      </c>
      <c r="G120" s="332">
        <v>2015</v>
      </c>
      <c r="H120" s="332">
        <v>2016</v>
      </c>
      <c r="I120" s="332">
        <v>2017</v>
      </c>
      <c r="J120" s="332">
        <v>2018</v>
      </c>
      <c r="K120" s="332">
        <v>2019</v>
      </c>
      <c r="L120" s="332">
        <v>2020</v>
      </c>
      <c r="M120" s="332">
        <v>2021</v>
      </c>
      <c r="N120" s="332">
        <v>2022</v>
      </c>
      <c r="O120" s="332">
        <v>2023</v>
      </c>
      <c r="P120" s="332">
        <v>2024</v>
      </c>
      <c r="Q120" s="332">
        <v>2025</v>
      </c>
      <c r="R120" s="332">
        <v>2026</v>
      </c>
      <c r="S120" s="332">
        <v>2027</v>
      </c>
      <c r="T120" s="332">
        <v>2028</v>
      </c>
      <c r="U120" s="332">
        <v>2029</v>
      </c>
      <c r="V120" s="332">
        <v>2030</v>
      </c>
      <c r="W120" s="332">
        <v>2031</v>
      </c>
      <c r="X120" s="332">
        <v>2032</v>
      </c>
      <c r="Y120" s="332">
        <v>2033</v>
      </c>
      <c r="Z120" s="332">
        <v>2034</v>
      </c>
      <c r="AA120" s="332">
        <v>2035</v>
      </c>
      <c r="AB120" s="332">
        <v>2036</v>
      </c>
      <c r="AC120" s="332">
        <v>2037</v>
      </c>
      <c r="AD120" s="332">
        <v>2038</v>
      </c>
      <c r="AE120" s="332">
        <v>2039</v>
      </c>
      <c r="AF120" s="332">
        <v>2040</v>
      </c>
      <c r="AG120" s="332">
        <v>2041</v>
      </c>
      <c r="AH120" s="332">
        <v>2042</v>
      </c>
      <c r="AI120" s="332">
        <v>2043</v>
      </c>
      <c r="AJ120" s="332">
        <v>2044</v>
      </c>
      <c r="AK120" s="332">
        <v>2045</v>
      </c>
      <c r="AL120" s="332">
        <v>2046</v>
      </c>
      <c r="AM120" s="332">
        <v>2047</v>
      </c>
      <c r="AN120" s="332">
        <v>2048</v>
      </c>
      <c r="AO120" s="332">
        <v>2049</v>
      </c>
      <c r="AP120" s="332">
        <v>2050</v>
      </c>
      <c r="AQ120" s="332">
        <v>2051</v>
      </c>
      <c r="AR120" s="332">
        <v>2052</v>
      </c>
      <c r="AS120" s="332">
        <v>2053</v>
      </c>
      <c r="AT120" s="332">
        <v>2054</v>
      </c>
      <c r="AU120" s="332">
        <v>2055</v>
      </c>
      <c r="AV120" s="332">
        <v>2056</v>
      </c>
      <c r="AW120" s="332">
        <v>2057</v>
      </c>
      <c r="AX120" s="332">
        <v>2058</v>
      </c>
      <c r="AY120" s="333">
        <v>2059</v>
      </c>
    </row>
    <row r="121" spans="1:51">
      <c r="A121" s="334" t="s">
        <v>2896</v>
      </c>
      <c r="B121" s="339">
        <v>8.5398706896551727E-2</v>
      </c>
      <c r="C121" s="340">
        <v>8.4051724137931036E-2</v>
      </c>
      <c r="D121" s="340">
        <v>8.2737068965517233E-2</v>
      </c>
      <c r="E121" s="340">
        <v>8.2090517241379321E-2</v>
      </c>
      <c r="F121" s="340">
        <v>8.1454741379310344E-2</v>
      </c>
      <c r="G121" s="340">
        <v>8.0818965517241367E-2</v>
      </c>
      <c r="H121" s="340">
        <v>8.1023706896551709E-2</v>
      </c>
      <c r="I121" s="340">
        <v>8.1217672413793102E-2</v>
      </c>
      <c r="J121" s="340">
        <v>8.1422413793103443E-2</v>
      </c>
      <c r="K121" s="340">
        <v>8.1616379310344822E-2</v>
      </c>
      <c r="L121" s="340">
        <v>8.1821120689655177E-2</v>
      </c>
      <c r="M121" s="340">
        <v>8.2015086206896542E-2</v>
      </c>
      <c r="N121" s="340">
        <v>8.2219827586206884E-2</v>
      </c>
      <c r="O121" s="340">
        <v>8.2424568965517225E-2</v>
      </c>
      <c r="P121" s="340">
        <v>8.2629310344827595E-2</v>
      </c>
      <c r="Q121" s="340">
        <v>8.2629310344827595E-2</v>
      </c>
      <c r="R121" s="340">
        <v>8.2629310344827595E-2</v>
      </c>
      <c r="S121" s="340">
        <v>8.2629310344827595E-2</v>
      </c>
      <c r="T121" s="340">
        <v>8.2629310344827595E-2</v>
      </c>
      <c r="U121" s="340">
        <v>8.2629310344827595E-2</v>
      </c>
      <c r="V121" s="340">
        <v>8.2629310344827595E-2</v>
      </c>
      <c r="W121" s="340">
        <v>8.2629310344827595E-2</v>
      </c>
      <c r="X121" s="340">
        <v>8.2629310344827595E-2</v>
      </c>
      <c r="Y121" s="340">
        <v>8.2629310344827595E-2</v>
      </c>
      <c r="Z121" s="340">
        <v>8.2629310344827595E-2</v>
      </c>
      <c r="AA121" s="340">
        <v>8.2629310344827595E-2</v>
      </c>
      <c r="AB121" s="340">
        <v>8.2629310344827595E-2</v>
      </c>
      <c r="AC121" s="340">
        <v>8.2629310344827595E-2</v>
      </c>
      <c r="AD121" s="340">
        <v>8.2629310344827595E-2</v>
      </c>
      <c r="AE121" s="340">
        <v>8.2629310344827595E-2</v>
      </c>
      <c r="AF121" s="340">
        <v>8.2629310344827595E-2</v>
      </c>
      <c r="AG121" s="340">
        <v>8.2629310344827595E-2</v>
      </c>
      <c r="AH121" s="340">
        <v>8.2629310344827595E-2</v>
      </c>
      <c r="AI121" s="340">
        <v>8.2629310344827595E-2</v>
      </c>
      <c r="AJ121" s="340">
        <v>8.2629310344827595E-2</v>
      </c>
      <c r="AK121" s="340">
        <v>8.2629310344827595E-2</v>
      </c>
      <c r="AL121" s="340">
        <v>8.2629310344827595E-2</v>
      </c>
      <c r="AM121" s="340">
        <v>8.2629310344827595E-2</v>
      </c>
      <c r="AN121" s="340">
        <v>8.2629310344827595E-2</v>
      </c>
      <c r="AO121" s="340">
        <v>8.2629310344827595E-2</v>
      </c>
      <c r="AP121" s="340">
        <v>8.2629310344827595E-2</v>
      </c>
      <c r="AQ121" s="340">
        <v>8.2629310344827595E-2</v>
      </c>
      <c r="AR121" s="340">
        <v>8.2629310344827595E-2</v>
      </c>
      <c r="AS121" s="340">
        <v>8.2629310344827595E-2</v>
      </c>
      <c r="AT121" s="340">
        <v>8.2629310344827595E-2</v>
      </c>
      <c r="AU121" s="340">
        <v>8.2629310344827595E-2</v>
      </c>
      <c r="AV121" s="340">
        <v>8.2629310344827595E-2</v>
      </c>
      <c r="AW121" s="340">
        <v>8.2629310344827595E-2</v>
      </c>
      <c r="AX121" s="340">
        <v>8.2629310344827595E-2</v>
      </c>
      <c r="AY121" s="340">
        <v>8.2629310344827595E-2</v>
      </c>
    </row>
    <row r="122" spans="1:51">
      <c r="A122" s="338" t="s">
        <v>2897</v>
      </c>
      <c r="B122" s="339">
        <v>85.398706896551715</v>
      </c>
      <c r="C122" s="340">
        <v>92.53232758620689</v>
      </c>
      <c r="D122" s="340">
        <v>99.234913793103431</v>
      </c>
      <c r="E122" s="340">
        <v>105.54956896551724</v>
      </c>
      <c r="F122" s="340">
        <v>111.48706896551724</v>
      </c>
      <c r="G122" s="340">
        <v>117.06896551724137</v>
      </c>
      <c r="H122" s="340">
        <v>122.32758620689654</v>
      </c>
      <c r="I122" s="340">
        <v>127.26293103448276</v>
      </c>
      <c r="J122" s="340">
        <v>131.90732758620689</v>
      </c>
      <c r="K122" s="340">
        <v>136.27155172413794</v>
      </c>
      <c r="L122" s="340">
        <v>140.36637931034483</v>
      </c>
      <c r="M122" s="340">
        <v>144.21336206896549</v>
      </c>
      <c r="N122" s="340">
        <v>144.21336206896549</v>
      </c>
      <c r="O122" s="340">
        <v>144.21336206896549</v>
      </c>
      <c r="P122" s="340">
        <v>144.21336206896549</v>
      </c>
      <c r="Q122" s="340">
        <v>144.21336206896549</v>
      </c>
      <c r="R122" s="340">
        <v>144.21336206896549</v>
      </c>
      <c r="S122" s="340">
        <v>144.21336206896549</v>
      </c>
      <c r="T122" s="340">
        <v>144.21336206896549</v>
      </c>
      <c r="U122" s="340">
        <v>144.21336206896549</v>
      </c>
      <c r="V122" s="340">
        <v>144.21336206896549</v>
      </c>
      <c r="W122" s="340">
        <v>144.21336206896549</v>
      </c>
      <c r="X122" s="340">
        <v>144.21336206896549</v>
      </c>
      <c r="Y122" s="340">
        <v>144.21336206896549</v>
      </c>
      <c r="Z122" s="340">
        <v>144.21336206896549</v>
      </c>
      <c r="AA122" s="340">
        <v>144.21336206896549</v>
      </c>
      <c r="AB122" s="340">
        <v>144.21336206896549</v>
      </c>
      <c r="AC122" s="340">
        <v>144.21336206896549</v>
      </c>
      <c r="AD122" s="340">
        <v>144.21336206896549</v>
      </c>
      <c r="AE122" s="340">
        <v>144.21336206896549</v>
      </c>
      <c r="AF122" s="340">
        <v>144.21336206896549</v>
      </c>
      <c r="AG122" s="340">
        <v>144.21336206896549</v>
      </c>
      <c r="AH122" s="340">
        <v>144.21336206896549</v>
      </c>
      <c r="AI122" s="340">
        <v>144.21336206896549</v>
      </c>
      <c r="AJ122" s="340">
        <v>144.21336206896549</v>
      </c>
      <c r="AK122" s="340">
        <v>144.21336206896549</v>
      </c>
      <c r="AL122" s="340">
        <v>144.21336206896549</v>
      </c>
      <c r="AM122" s="340">
        <v>144.21336206896549</v>
      </c>
      <c r="AN122" s="340">
        <v>144.21336206896549</v>
      </c>
      <c r="AO122" s="340">
        <v>144.21336206896549</v>
      </c>
      <c r="AP122" s="340">
        <v>144.21336206896549</v>
      </c>
      <c r="AQ122" s="340">
        <v>144.21336206896549</v>
      </c>
      <c r="AR122" s="340">
        <v>144.21336206896549</v>
      </c>
      <c r="AS122" s="340">
        <v>144.21336206896549</v>
      </c>
      <c r="AT122" s="340">
        <v>144.21336206896549</v>
      </c>
      <c r="AU122" s="340">
        <v>144.21336206896549</v>
      </c>
      <c r="AV122" s="340">
        <v>144.21336206896549</v>
      </c>
      <c r="AW122" s="340">
        <v>144.21336206896549</v>
      </c>
      <c r="AX122" s="340">
        <v>144.21336206896549</v>
      </c>
      <c r="AY122" s="340">
        <v>144.21336206896549</v>
      </c>
    </row>
    <row r="123" spans="1:51">
      <c r="A123" s="338" t="s">
        <v>2898</v>
      </c>
      <c r="B123" s="342">
        <v>13.64</v>
      </c>
      <c r="C123" s="343">
        <v>13.41</v>
      </c>
      <c r="D123" s="343">
        <v>13.19</v>
      </c>
      <c r="E123" s="343">
        <v>13.19</v>
      </c>
      <c r="F123" s="343">
        <v>13.19</v>
      </c>
      <c r="G123" s="343">
        <v>13.19</v>
      </c>
      <c r="H123" s="343">
        <v>13.27</v>
      </c>
      <c r="I123" s="343">
        <v>13.34</v>
      </c>
      <c r="J123" s="343">
        <v>13.42</v>
      </c>
      <c r="K123" s="343">
        <v>13.42</v>
      </c>
      <c r="L123" s="343">
        <v>13.42</v>
      </c>
      <c r="M123" s="343">
        <v>13.42</v>
      </c>
      <c r="N123" s="343">
        <v>13.42</v>
      </c>
      <c r="O123" s="343">
        <v>13.42</v>
      </c>
      <c r="P123" s="343">
        <v>13.42</v>
      </c>
      <c r="Q123" s="343">
        <v>13.42</v>
      </c>
      <c r="R123" s="343">
        <v>13.42</v>
      </c>
      <c r="S123" s="343">
        <v>13.42</v>
      </c>
      <c r="T123" s="343">
        <v>13.42</v>
      </c>
      <c r="U123" s="343">
        <v>13.42</v>
      </c>
      <c r="V123" s="343">
        <v>13.42</v>
      </c>
      <c r="W123" s="343">
        <v>13.42</v>
      </c>
      <c r="X123" s="343">
        <v>13.42</v>
      </c>
      <c r="Y123" s="343">
        <v>13.42</v>
      </c>
      <c r="Z123" s="343">
        <v>13.42</v>
      </c>
      <c r="AA123" s="343">
        <v>13.42</v>
      </c>
      <c r="AB123" s="343">
        <v>13.42</v>
      </c>
      <c r="AC123" s="343">
        <v>13.42</v>
      </c>
      <c r="AD123" s="343">
        <v>13.42</v>
      </c>
      <c r="AE123" s="343">
        <v>13.42</v>
      </c>
      <c r="AF123" s="343">
        <v>13.42</v>
      </c>
      <c r="AG123" s="343">
        <v>13.42</v>
      </c>
      <c r="AH123" s="343">
        <v>13.42</v>
      </c>
      <c r="AI123" s="343">
        <v>13.42</v>
      </c>
      <c r="AJ123" s="343">
        <v>13.42</v>
      </c>
      <c r="AK123" s="343">
        <v>13.42</v>
      </c>
      <c r="AL123" s="343">
        <v>13.42</v>
      </c>
      <c r="AM123" s="343">
        <v>13.42</v>
      </c>
      <c r="AN123" s="343">
        <v>13.42</v>
      </c>
      <c r="AO123" s="343">
        <v>13.42</v>
      </c>
      <c r="AP123" s="343">
        <v>13.42</v>
      </c>
      <c r="AQ123" s="343">
        <v>13.42</v>
      </c>
      <c r="AR123" s="343">
        <v>13.42</v>
      </c>
      <c r="AS123" s="343">
        <v>13.42</v>
      </c>
      <c r="AT123" s="343">
        <v>13.42</v>
      </c>
      <c r="AU123" s="343">
        <v>13.42</v>
      </c>
      <c r="AV123" s="343">
        <v>13.42</v>
      </c>
      <c r="AW123" s="343">
        <v>13.42</v>
      </c>
      <c r="AX123" s="343">
        <v>13.42</v>
      </c>
      <c r="AY123" s="344">
        <v>13.42</v>
      </c>
    </row>
    <row r="124" spans="1:51">
      <c r="A124" s="338" t="s">
        <v>2899</v>
      </c>
      <c r="B124" s="342">
        <v>12.012499999999999</v>
      </c>
      <c r="C124" s="343">
        <v>11.794166666666667</v>
      </c>
      <c r="D124" s="343">
        <v>11.585833333333333</v>
      </c>
      <c r="E124" s="343">
        <v>11.585833333333333</v>
      </c>
      <c r="F124" s="343">
        <v>11.585833333333333</v>
      </c>
      <c r="G124" s="343">
        <v>11.585833333333333</v>
      </c>
      <c r="H124" s="343">
        <v>11.66</v>
      </c>
      <c r="I124" s="343">
        <v>11.73</v>
      </c>
      <c r="J124" s="343">
        <v>11.804166666666667</v>
      </c>
      <c r="K124" s="343">
        <v>11.804166666666667</v>
      </c>
      <c r="L124" s="343">
        <v>11.804166666666667</v>
      </c>
      <c r="M124" s="343">
        <v>11.804166666666667</v>
      </c>
      <c r="N124" s="343">
        <v>11.804166666666667</v>
      </c>
      <c r="O124" s="343">
        <v>11.804166666666667</v>
      </c>
      <c r="P124" s="343">
        <v>11.804166666666667</v>
      </c>
      <c r="Q124" s="343">
        <v>11.804166666666667</v>
      </c>
      <c r="R124" s="343">
        <v>11.804166666666667</v>
      </c>
      <c r="S124" s="343">
        <v>11.804166666666667</v>
      </c>
      <c r="T124" s="343">
        <v>11.804166666666667</v>
      </c>
      <c r="U124" s="343">
        <v>11.804166666666667</v>
      </c>
      <c r="V124" s="343">
        <v>11.804166666666667</v>
      </c>
      <c r="W124" s="343">
        <v>11.804166666666667</v>
      </c>
      <c r="X124" s="343">
        <v>11.804166666666667</v>
      </c>
      <c r="Y124" s="343">
        <v>11.804166666666667</v>
      </c>
      <c r="Z124" s="343">
        <v>11.804166666666667</v>
      </c>
      <c r="AA124" s="343">
        <v>11.804166666666667</v>
      </c>
      <c r="AB124" s="343">
        <v>11.804166666666667</v>
      </c>
      <c r="AC124" s="343">
        <v>11.804166666666667</v>
      </c>
      <c r="AD124" s="343">
        <v>11.804166666666667</v>
      </c>
      <c r="AE124" s="343">
        <v>11.804166666666667</v>
      </c>
      <c r="AF124" s="343">
        <v>11.804166666666667</v>
      </c>
      <c r="AG124" s="343">
        <v>11.804166666666667</v>
      </c>
      <c r="AH124" s="343">
        <v>11.804166666666667</v>
      </c>
      <c r="AI124" s="343">
        <v>11.804166666666667</v>
      </c>
      <c r="AJ124" s="343">
        <v>11.804166666666667</v>
      </c>
      <c r="AK124" s="343">
        <v>11.804166666666667</v>
      </c>
      <c r="AL124" s="343">
        <v>11.804166666666667</v>
      </c>
      <c r="AM124" s="343">
        <v>11.804166666666667</v>
      </c>
      <c r="AN124" s="343">
        <v>11.804166666666667</v>
      </c>
      <c r="AO124" s="343">
        <v>11.804166666666667</v>
      </c>
      <c r="AP124" s="343">
        <v>11.804166666666667</v>
      </c>
      <c r="AQ124" s="343">
        <v>11.804166666666667</v>
      </c>
      <c r="AR124" s="343">
        <v>11.804166666666667</v>
      </c>
      <c r="AS124" s="343">
        <v>11.804166666666667</v>
      </c>
      <c r="AT124" s="343">
        <v>11.804166666666667</v>
      </c>
      <c r="AU124" s="343">
        <v>11.804166666666667</v>
      </c>
      <c r="AV124" s="343">
        <v>11.804166666666667</v>
      </c>
      <c r="AW124" s="343">
        <v>11.804166666666667</v>
      </c>
      <c r="AX124" s="343">
        <v>11.804166666666699</v>
      </c>
      <c r="AY124" s="344">
        <v>11.804166666666699</v>
      </c>
    </row>
    <row r="125" spans="1:51">
      <c r="A125" s="338" t="s">
        <v>2887</v>
      </c>
      <c r="B125" s="342">
        <v>6.2842588284472054</v>
      </c>
      <c r="C125" s="343">
        <v>6.8383434812431512</v>
      </c>
      <c r="D125" s="343">
        <v>7.1275036881476561</v>
      </c>
      <c r="E125" s="343">
        <v>7.3517937696168021</v>
      </c>
      <c r="F125" s="343">
        <v>7.5350521097572987</v>
      </c>
      <c r="G125" s="343">
        <v>7.6899948286185555</v>
      </c>
      <c r="H125" s="343">
        <v>7.8242123166618027</v>
      </c>
      <c r="I125" s="343">
        <v>9.17</v>
      </c>
      <c r="J125" s="343">
        <v>8.3122147120447227</v>
      </c>
      <c r="K125" s="343">
        <v>8.3867034571327022</v>
      </c>
      <c r="L125" s="343">
        <v>8.4560508197405948</v>
      </c>
      <c r="M125" s="343">
        <v>8.5209209451759538</v>
      </c>
      <c r="N125" s="343">
        <v>8.5818570613494281</v>
      </c>
      <c r="O125" s="343">
        <v>8.6057375436489494</v>
      </c>
      <c r="P125" s="343">
        <v>8.6071420683686046</v>
      </c>
      <c r="Q125" s="343">
        <v>8.6071420683686046</v>
      </c>
      <c r="R125" s="343">
        <v>8.6814020669464895</v>
      </c>
      <c r="S125" s="343">
        <v>8.7410874140605106</v>
      </c>
      <c r="T125" s="343">
        <v>8.8007727611745192</v>
      </c>
      <c r="U125" s="343">
        <v>8.8007727611745192</v>
      </c>
      <c r="V125" s="343">
        <v>8.8007727611745192</v>
      </c>
      <c r="W125" s="343">
        <v>8.8007727611745192</v>
      </c>
      <c r="X125" s="343">
        <v>8.8007727611745192</v>
      </c>
      <c r="Y125" s="343">
        <v>8.8007727611745192</v>
      </c>
      <c r="Z125" s="343">
        <v>8.8007727611745192</v>
      </c>
      <c r="AA125" s="343">
        <v>8.8007727611745192</v>
      </c>
      <c r="AB125" s="343">
        <v>8.8007727611745192</v>
      </c>
      <c r="AC125" s="343">
        <v>8.8007727611745192</v>
      </c>
      <c r="AD125" s="343">
        <v>8.8007727611745192</v>
      </c>
      <c r="AE125" s="343">
        <v>8.8007727611745192</v>
      </c>
      <c r="AF125" s="343">
        <v>8.8007727611745192</v>
      </c>
      <c r="AG125" s="343">
        <v>8.8007727611745192</v>
      </c>
      <c r="AH125" s="343">
        <v>8.8007727611745192</v>
      </c>
      <c r="AI125" s="343">
        <v>8.8007727611745192</v>
      </c>
      <c r="AJ125" s="343">
        <v>8.8007727611745192</v>
      </c>
      <c r="AK125" s="343">
        <v>8.8007727611745192</v>
      </c>
      <c r="AL125" s="343">
        <v>8.8007727611745192</v>
      </c>
      <c r="AM125" s="343">
        <v>8.8007727611745192</v>
      </c>
      <c r="AN125" s="343">
        <v>8.8007727611745192</v>
      </c>
      <c r="AO125" s="343">
        <v>8.8007727611745192</v>
      </c>
      <c r="AP125" s="343">
        <v>8.8007727611745192</v>
      </c>
      <c r="AQ125" s="343">
        <v>8.8007727611745192</v>
      </c>
      <c r="AR125" s="343">
        <v>8.8007727611745192</v>
      </c>
      <c r="AS125" s="343">
        <v>8.8007727611745192</v>
      </c>
      <c r="AT125" s="343">
        <v>8.8007727611745192</v>
      </c>
      <c r="AU125" s="343">
        <v>8.8007727611745192</v>
      </c>
      <c r="AV125" s="343">
        <v>8.8007727611745192</v>
      </c>
      <c r="AW125" s="343">
        <v>8.8007727611745192</v>
      </c>
      <c r="AX125" s="343">
        <v>8.8007727611745192</v>
      </c>
      <c r="AY125" s="344">
        <v>8.8007727611745192</v>
      </c>
    </row>
    <row r="126" spans="1:51">
      <c r="A126" s="338" t="s">
        <v>2888</v>
      </c>
      <c r="B126" s="339">
        <v>6.28E-3</v>
      </c>
      <c r="C126" s="340">
        <v>6.1999999999999998E-3</v>
      </c>
      <c r="D126" s="340">
        <v>6.1200000000000004E-3</v>
      </c>
      <c r="E126" s="340">
        <v>6.0000000000000001E-3</v>
      </c>
      <c r="F126" s="340">
        <v>5.8799999999999998E-3</v>
      </c>
      <c r="G126" s="340">
        <v>5.77E-3</v>
      </c>
      <c r="H126" s="340">
        <v>5.77E-3</v>
      </c>
      <c r="I126" s="340">
        <v>5.7599999999999995E-3</v>
      </c>
      <c r="J126" s="340">
        <v>5.7599999999999995E-3</v>
      </c>
      <c r="K126" s="340">
        <v>5.7499999999999999E-3</v>
      </c>
      <c r="L126" s="340">
        <v>5.7499999999999999E-3</v>
      </c>
      <c r="M126" s="340">
        <v>5.7499999999999999E-3</v>
      </c>
      <c r="N126" s="340">
        <v>5.7400000000000003E-3</v>
      </c>
      <c r="O126" s="340">
        <v>5.7400000000000003E-3</v>
      </c>
      <c r="P126" s="340">
        <v>5.7300000000000007E-3</v>
      </c>
      <c r="Q126" s="340">
        <v>5.7300000000000007E-3</v>
      </c>
      <c r="R126" s="340">
        <v>5.7300000000000007E-3</v>
      </c>
      <c r="S126" s="340">
        <v>5.7300000000000007E-3</v>
      </c>
      <c r="T126" s="340">
        <v>5.7300000000000007E-3</v>
      </c>
      <c r="U126" s="340">
        <v>5.7300000000000007E-3</v>
      </c>
      <c r="V126" s="340">
        <v>5.7300000000000007E-3</v>
      </c>
      <c r="W126" s="340">
        <v>5.7300000000000007E-3</v>
      </c>
      <c r="X126" s="340">
        <v>5.7300000000000007E-3</v>
      </c>
      <c r="Y126" s="340">
        <v>5.7300000000000007E-3</v>
      </c>
      <c r="Z126" s="340">
        <v>5.7300000000000007E-3</v>
      </c>
      <c r="AA126" s="340">
        <v>5.7300000000000007E-3</v>
      </c>
      <c r="AB126" s="340">
        <v>5.7300000000000007E-3</v>
      </c>
      <c r="AC126" s="340">
        <v>5.7300000000000007E-3</v>
      </c>
      <c r="AD126" s="340">
        <v>5.7300000000000007E-3</v>
      </c>
      <c r="AE126" s="340">
        <v>5.7300000000000007E-3</v>
      </c>
      <c r="AF126" s="340">
        <v>5.7300000000000007E-3</v>
      </c>
      <c r="AG126" s="340">
        <v>5.7300000000000007E-3</v>
      </c>
      <c r="AH126" s="340">
        <v>5.7300000000000007E-3</v>
      </c>
      <c r="AI126" s="340">
        <v>5.7300000000000007E-3</v>
      </c>
      <c r="AJ126" s="340">
        <v>5.7300000000000007E-3</v>
      </c>
      <c r="AK126" s="340">
        <v>5.7300000000000007E-3</v>
      </c>
      <c r="AL126" s="340">
        <v>5.7300000000000007E-3</v>
      </c>
      <c r="AM126" s="340">
        <v>5.7300000000000007E-3</v>
      </c>
      <c r="AN126" s="340">
        <v>5.7300000000000007E-3</v>
      </c>
      <c r="AO126" s="340">
        <v>5.7300000000000007E-3</v>
      </c>
      <c r="AP126" s="340">
        <v>5.7300000000000007E-3</v>
      </c>
      <c r="AQ126" s="340">
        <v>5.7300000000000007E-3</v>
      </c>
      <c r="AR126" s="340">
        <v>5.7300000000000007E-3</v>
      </c>
      <c r="AS126" s="340">
        <v>5.7300000000000007E-3</v>
      </c>
      <c r="AT126" s="340">
        <v>5.7300000000000007E-3</v>
      </c>
      <c r="AU126" s="340">
        <v>5.7300000000000007E-3</v>
      </c>
      <c r="AV126" s="340">
        <v>5.7300000000000007E-3</v>
      </c>
      <c r="AW126" s="340">
        <v>5.7300000000000007E-3</v>
      </c>
      <c r="AX126" s="340">
        <v>5.7300000000000007E-3</v>
      </c>
      <c r="AY126" s="341">
        <v>5.7300000000000007E-3</v>
      </c>
    </row>
    <row r="127" spans="1:51">
      <c r="A127" s="338" t="s">
        <v>2889</v>
      </c>
      <c r="B127" s="342">
        <f>(58.5/1000)*15</f>
        <v>0.87750000000000006</v>
      </c>
      <c r="C127" s="343">
        <f t="shared" ref="C127:AD128" si="54">(58.5/1000)*15</f>
        <v>0.87750000000000006</v>
      </c>
      <c r="D127" s="343">
        <f t="shared" si="54"/>
        <v>0.87750000000000006</v>
      </c>
      <c r="E127" s="343">
        <f t="shared" si="54"/>
        <v>0.87750000000000006</v>
      </c>
      <c r="F127" s="343">
        <f t="shared" si="54"/>
        <v>0.87750000000000006</v>
      </c>
      <c r="G127" s="343">
        <f t="shared" si="54"/>
        <v>0.87750000000000006</v>
      </c>
      <c r="H127" s="343">
        <f t="shared" si="54"/>
        <v>0.87750000000000006</v>
      </c>
      <c r="I127" s="343">
        <f t="shared" si="54"/>
        <v>0.87750000000000006</v>
      </c>
      <c r="J127" s="343">
        <f t="shared" si="54"/>
        <v>0.87750000000000006</v>
      </c>
      <c r="K127" s="343">
        <f t="shared" si="54"/>
        <v>0.87750000000000006</v>
      </c>
      <c r="L127" s="343">
        <f t="shared" si="54"/>
        <v>0.87750000000000006</v>
      </c>
      <c r="M127" s="343">
        <f t="shared" si="54"/>
        <v>0.87750000000000006</v>
      </c>
      <c r="N127" s="343">
        <f t="shared" si="54"/>
        <v>0.87750000000000006</v>
      </c>
      <c r="O127" s="343">
        <f t="shared" si="54"/>
        <v>0.87750000000000006</v>
      </c>
      <c r="P127" s="343">
        <f t="shared" si="54"/>
        <v>0.87750000000000006</v>
      </c>
      <c r="Q127" s="343">
        <f t="shared" si="54"/>
        <v>0.87750000000000006</v>
      </c>
      <c r="R127" s="343">
        <f t="shared" si="54"/>
        <v>0.87750000000000006</v>
      </c>
      <c r="S127" s="343">
        <f t="shared" si="54"/>
        <v>0.87750000000000006</v>
      </c>
      <c r="T127" s="343">
        <f t="shared" si="54"/>
        <v>0.87750000000000006</v>
      </c>
      <c r="U127" s="343">
        <f t="shared" si="54"/>
        <v>0.87750000000000006</v>
      </c>
      <c r="V127" s="343">
        <f t="shared" si="54"/>
        <v>0.87750000000000006</v>
      </c>
      <c r="W127" s="343">
        <f t="shared" si="54"/>
        <v>0.87750000000000006</v>
      </c>
      <c r="X127" s="343">
        <f t="shared" si="54"/>
        <v>0.87750000000000006</v>
      </c>
      <c r="Y127" s="343">
        <f t="shared" si="54"/>
        <v>0.87750000000000006</v>
      </c>
      <c r="Z127" s="343">
        <f t="shared" si="54"/>
        <v>0.87750000000000006</v>
      </c>
      <c r="AA127" s="343">
        <f t="shared" si="54"/>
        <v>0.87750000000000006</v>
      </c>
      <c r="AB127" s="343">
        <f t="shared" si="54"/>
        <v>0.87750000000000006</v>
      </c>
      <c r="AC127" s="343">
        <f t="shared" si="54"/>
        <v>0.87750000000000006</v>
      </c>
      <c r="AD127" s="343">
        <f t="shared" si="54"/>
        <v>0.87750000000000006</v>
      </c>
      <c r="AE127" s="343">
        <f>(58.5/1000)*15</f>
        <v>0.87750000000000006</v>
      </c>
      <c r="AF127" s="343">
        <f t="shared" ref="AF127:AY128" si="55">(58.5/1000)*15</f>
        <v>0.87750000000000006</v>
      </c>
      <c r="AG127" s="343">
        <f t="shared" si="55"/>
        <v>0.87750000000000006</v>
      </c>
      <c r="AH127" s="343">
        <f t="shared" si="55"/>
        <v>0.87750000000000006</v>
      </c>
      <c r="AI127" s="343">
        <f t="shared" si="55"/>
        <v>0.87750000000000006</v>
      </c>
      <c r="AJ127" s="343">
        <f t="shared" si="55"/>
        <v>0.87750000000000006</v>
      </c>
      <c r="AK127" s="343">
        <f t="shared" si="55"/>
        <v>0.87750000000000006</v>
      </c>
      <c r="AL127" s="343">
        <f t="shared" si="55"/>
        <v>0.87750000000000006</v>
      </c>
      <c r="AM127" s="343">
        <f t="shared" si="55"/>
        <v>0.87750000000000006</v>
      </c>
      <c r="AN127" s="343">
        <f t="shared" si="55"/>
        <v>0.87750000000000006</v>
      </c>
      <c r="AO127" s="343">
        <f t="shared" si="55"/>
        <v>0.87750000000000006</v>
      </c>
      <c r="AP127" s="343">
        <f t="shared" si="55"/>
        <v>0.87750000000000006</v>
      </c>
      <c r="AQ127" s="343">
        <f t="shared" si="55"/>
        <v>0.87750000000000006</v>
      </c>
      <c r="AR127" s="343">
        <f t="shared" si="55"/>
        <v>0.87750000000000006</v>
      </c>
      <c r="AS127" s="343">
        <f t="shared" si="55"/>
        <v>0.87750000000000006</v>
      </c>
      <c r="AT127" s="343">
        <f t="shared" si="55"/>
        <v>0.87750000000000006</v>
      </c>
      <c r="AU127" s="343">
        <f t="shared" si="55"/>
        <v>0.87750000000000006</v>
      </c>
      <c r="AV127" s="343">
        <f t="shared" si="55"/>
        <v>0.87750000000000006</v>
      </c>
      <c r="AW127" s="343">
        <f t="shared" si="55"/>
        <v>0.87750000000000006</v>
      </c>
      <c r="AX127" s="343">
        <f t="shared" si="55"/>
        <v>0.87750000000000006</v>
      </c>
      <c r="AY127" s="344">
        <f t="shared" si="55"/>
        <v>0.87750000000000006</v>
      </c>
    </row>
    <row r="128" spans="1:51" ht="12.75" thickBot="1">
      <c r="A128" s="345" t="s">
        <v>2890</v>
      </c>
      <c r="B128" s="346">
        <f>(58.5/1000)*15</f>
        <v>0.87750000000000006</v>
      </c>
      <c r="C128" s="347">
        <f t="shared" si="54"/>
        <v>0.87750000000000006</v>
      </c>
      <c r="D128" s="347">
        <f t="shared" si="54"/>
        <v>0.87750000000000006</v>
      </c>
      <c r="E128" s="347">
        <f t="shared" si="54"/>
        <v>0.87750000000000006</v>
      </c>
      <c r="F128" s="347">
        <f t="shared" si="54"/>
        <v>0.87750000000000006</v>
      </c>
      <c r="G128" s="347">
        <f t="shared" si="54"/>
        <v>0.87750000000000006</v>
      </c>
      <c r="H128" s="347">
        <f t="shared" si="54"/>
        <v>0.87750000000000006</v>
      </c>
      <c r="I128" s="347">
        <f t="shared" si="54"/>
        <v>0.87750000000000006</v>
      </c>
      <c r="J128" s="347">
        <f t="shared" si="54"/>
        <v>0.87750000000000006</v>
      </c>
      <c r="K128" s="347">
        <f t="shared" si="54"/>
        <v>0.87750000000000006</v>
      </c>
      <c r="L128" s="347">
        <f t="shared" si="54"/>
        <v>0.87750000000000006</v>
      </c>
      <c r="M128" s="347">
        <f t="shared" si="54"/>
        <v>0.87750000000000006</v>
      </c>
      <c r="N128" s="347">
        <f t="shared" si="54"/>
        <v>0.87750000000000006</v>
      </c>
      <c r="O128" s="347">
        <f t="shared" si="54"/>
        <v>0.87750000000000006</v>
      </c>
      <c r="P128" s="347">
        <f t="shared" si="54"/>
        <v>0.87750000000000006</v>
      </c>
      <c r="Q128" s="347">
        <f t="shared" si="54"/>
        <v>0.87750000000000006</v>
      </c>
      <c r="R128" s="347">
        <f t="shared" si="54"/>
        <v>0.87750000000000006</v>
      </c>
      <c r="S128" s="347">
        <f t="shared" si="54"/>
        <v>0.87750000000000006</v>
      </c>
      <c r="T128" s="347">
        <f t="shared" si="54"/>
        <v>0.87750000000000006</v>
      </c>
      <c r="U128" s="347">
        <f t="shared" si="54"/>
        <v>0.87750000000000006</v>
      </c>
      <c r="V128" s="347">
        <f t="shared" si="54"/>
        <v>0.87750000000000006</v>
      </c>
      <c r="W128" s="347">
        <f t="shared" si="54"/>
        <v>0.87750000000000006</v>
      </c>
      <c r="X128" s="347">
        <f t="shared" si="54"/>
        <v>0.87750000000000006</v>
      </c>
      <c r="Y128" s="347">
        <f t="shared" si="54"/>
        <v>0.87750000000000006</v>
      </c>
      <c r="Z128" s="347">
        <f t="shared" si="54"/>
        <v>0.87750000000000006</v>
      </c>
      <c r="AA128" s="347">
        <f t="shared" si="54"/>
        <v>0.87750000000000006</v>
      </c>
      <c r="AB128" s="347">
        <f t="shared" si="54"/>
        <v>0.87750000000000006</v>
      </c>
      <c r="AC128" s="347">
        <f t="shared" si="54"/>
        <v>0.87750000000000006</v>
      </c>
      <c r="AD128" s="347">
        <f t="shared" si="54"/>
        <v>0.87750000000000006</v>
      </c>
      <c r="AE128" s="347">
        <f>(58.5/1000)*15</f>
        <v>0.87750000000000006</v>
      </c>
      <c r="AF128" s="347">
        <f t="shared" si="55"/>
        <v>0.87750000000000006</v>
      </c>
      <c r="AG128" s="347">
        <f t="shared" si="55"/>
        <v>0.87750000000000006</v>
      </c>
      <c r="AH128" s="347">
        <f t="shared" si="55"/>
        <v>0.87750000000000006</v>
      </c>
      <c r="AI128" s="347">
        <f t="shared" si="55"/>
        <v>0.87750000000000006</v>
      </c>
      <c r="AJ128" s="347">
        <f t="shared" si="55"/>
        <v>0.87750000000000006</v>
      </c>
      <c r="AK128" s="347">
        <f t="shared" si="55"/>
        <v>0.87750000000000006</v>
      </c>
      <c r="AL128" s="347">
        <f t="shared" si="55"/>
        <v>0.87750000000000006</v>
      </c>
      <c r="AM128" s="347">
        <f t="shared" si="55"/>
        <v>0.87750000000000006</v>
      </c>
      <c r="AN128" s="347">
        <f t="shared" si="55"/>
        <v>0.87750000000000006</v>
      </c>
      <c r="AO128" s="347">
        <f t="shared" si="55"/>
        <v>0.87750000000000006</v>
      </c>
      <c r="AP128" s="347">
        <f t="shared" si="55"/>
        <v>0.87750000000000006</v>
      </c>
      <c r="AQ128" s="347">
        <f t="shared" si="55"/>
        <v>0.87750000000000006</v>
      </c>
      <c r="AR128" s="347">
        <f t="shared" si="55"/>
        <v>0.87750000000000006</v>
      </c>
      <c r="AS128" s="347">
        <f t="shared" si="55"/>
        <v>0.87750000000000006</v>
      </c>
      <c r="AT128" s="347">
        <f t="shared" si="55"/>
        <v>0.87750000000000006</v>
      </c>
      <c r="AU128" s="347">
        <f t="shared" si="55"/>
        <v>0.87750000000000006</v>
      </c>
      <c r="AV128" s="347">
        <f t="shared" si="55"/>
        <v>0.87750000000000006</v>
      </c>
      <c r="AW128" s="347">
        <f t="shared" si="55"/>
        <v>0.87750000000000006</v>
      </c>
      <c r="AX128" s="347">
        <f t="shared" si="55"/>
        <v>0.87750000000000006</v>
      </c>
      <c r="AY128" s="348">
        <f t="shared" si="55"/>
        <v>0.87750000000000006</v>
      </c>
    </row>
    <row r="129" spans="1:51">
      <c r="B129" s="325"/>
      <c r="C129" s="325"/>
      <c r="D129" s="325"/>
      <c r="E129" s="325"/>
      <c r="F129" s="325"/>
      <c r="G129" s="325"/>
      <c r="H129" s="325"/>
      <c r="I129" s="325"/>
      <c r="J129" s="325"/>
      <c r="K129" s="325"/>
      <c r="L129" s="325"/>
      <c r="M129" s="325"/>
      <c r="N129" s="325"/>
      <c r="O129" s="325"/>
      <c r="P129" s="325"/>
      <c r="Q129" s="325"/>
      <c r="R129" s="325"/>
      <c r="S129" s="325"/>
      <c r="T129" s="325"/>
      <c r="U129" s="325"/>
      <c r="V129" s="325"/>
      <c r="W129" s="325"/>
      <c r="X129" s="325"/>
      <c r="Y129" s="325"/>
      <c r="Z129" s="325"/>
      <c r="AA129" s="325"/>
      <c r="AB129" s="325"/>
      <c r="AC129" s="325"/>
      <c r="AD129" s="325"/>
      <c r="AE129" s="325"/>
    </row>
    <row r="130" spans="1:51" ht="15.75" thickBot="1">
      <c r="A130" s="329" t="s">
        <v>2891</v>
      </c>
      <c r="B130" s="325"/>
      <c r="C130" s="325"/>
      <c r="D130" s="325"/>
      <c r="E130" s="325"/>
      <c r="F130" s="325"/>
      <c r="G130" s="325"/>
      <c r="H130" s="325"/>
      <c r="I130" s="325"/>
      <c r="J130" s="325"/>
      <c r="K130" s="325"/>
      <c r="L130" s="325"/>
      <c r="M130" s="325"/>
      <c r="N130" s="325"/>
      <c r="O130" s="325"/>
      <c r="P130" s="325"/>
      <c r="Q130" s="325"/>
      <c r="R130" s="325"/>
      <c r="S130" s="325"/>
      <c r="T130" s="325"/>
      <c r="U130" s="325"/>
      <c r="V130" s="325"/>
      <c r="W130" s="325"/>
      <c r="X130" s="325"/>
      <c r="Y130" s="325"/>
      <c r="Z130" s="325"/>
      <c r="AA130" s="325"/>
      <c r="AB130" s="325"/>
      <c r="AC130" s="325"/>
      <c r="AD130" s="325"/>
      <c r="AE130" s="325"/>
    </row>
    <row r="131" spans="1:51" ht="12.75" thickBot="1">
      <c r="A131" s="330" t="s">
        <v>2886</v>
      </c>
      <c r="B131" s="331">
        <v>1</v>
      </c>
      <c r="C131" s="332">
        <v>2</v>
      </c>
      <c r="D131" s="332">
        <v>3</v>
      </c>
      <c r="E131" s="332">
        <v>4</v>
      </c>
      <c r="F131" s="332">
        <v>5</v>
      </c>
      <c r="G131" s="332">
        <v>6</v>
      </c>
      <c r="H131" s="332">
        <v>7</v>
      </c>
      <c r="I131" s="332">
        <v>8</v>
      </c>
      <c r="J131" s="332">
        <v>9</v>
      </c>
      <c r="K131" s="332">
        <v>10</v>
      </c>
      <c r="L131" s="332">
        <v>11</v>
      </c>
      <c r="M131" s="332">
        <v>12</v>
      </c>
      <c r="N131" s="332">
        <v>13</v>
      </c>
      <c r="O131" s="332">
        <v>14</v>
      </c>
      <c r="P131" s="332">
        <v>15</v>
      </c>
      <c r="Q131" s="332">
        <v>16</v>
      </c>
      <c r="R131" s="332">
        <v>17</v>
      </c>
      <c r="S131" s="332">
        <v>18</v>
      </c>
      <c r="T131" s="332">
        <v>19</v>
      </c>
      <c r="U131" s="332">
        <v>20</v>
      </c>
      <c r="V131" s="332">
        <v>21</v>
      </c>
      <c r="W131" s="332">
        <v>22</v>
      </c>
      <c r="X131" s="332">
        <v>23</v>
      </c>
      <c r="Y131" s="332">
        <v>24</v>
      </c>
      <c r="Z131" s="332">
        <v>25</v>
      </c>
      <c r="AA131" s="332">
        <v>26</v>
      </c>
      <c r="AB131" s="332">
        <v>27</v>
      </c>
      <c r="AC131" s="332">
        <v>28</v>
      </c>
      <c r="AD131" s="332">
        <v>29</v>
      </c>
      <c r="AE131" s="332">
        <v>30</v>
      </c>
      <c r="AF131" s="332">
        <f t="shared" ref="AF131:AY131" si="56">AE131+1</f>
        <v>31</v>
      </c>
      <c r="AG131" s="332">
        <f t="shared" si="56"/>
        <v>32</v>
      </c>
      <c r="AH131" s="332">
        <f t="shared" si="56"/>
        <v>33</v>
      </c>
      <c r="AI131" s="332">
        <f t="shared" si="56"/>
        <v>34</v>
      </c>
      <c r="AJ131" s="332">
        <f t="shared" si="56"/>
        <v>35</v>
      </c>
      <c r="AK131" s="332">
        <f t="shared" si="56"/>
        <v>36</v>
      </c>
      <c r="AL131" s="332">
        <f t="shared" si="56"/>
        <v>37</v>
      </c>
      <c r="AM131" s="332">
        <f t="shared" si="56"/>
        <v>38</v>
      </c>
      <c r="AN131" s="332">
        <f t="shared" si="56"/>
        <v>39</v>
      </c>
      <c r="AO131" s="332">
        <f t="shared" si="56"/>
        <v>40</v>
      </c>
      <c r="AP131" s="332">
        <f t="shared" si="56"/>
        <v>41</v>
      </c>
      <c r="AQ131" s="332">
        <f t="shared" si="56"/>
        <v>42</v>
      </c>
      <c r="AR131" s="332">
        <f t="shared" si="56"/>
        <v>43</v>
      </c>
      <c r="AS131" s="332">
        <f t="shared" si="56"/>
        <v>44</v>
      </c>
      <c r="AT131" s="332">
        <f t="shared" si="56"/>
        <v>45</v>
      </c>
      <c r="AU131" s="332">
        <f t="shared" si="56"/>
        <v>46</v>
      </c>
      <c r="AV131" s="332">
        <f t="shared" si="56"/>
        <v>47</v>
      </c>
      <c r="AW131" s="332">
        <f t="shared" si="56"/>
        <v>48</v>
      </c>
      <c r="AX131" s="332">
        <f t="shared" si="56"/>
        <v>49</v>
      </c>
      <c r="AY131" s="333">
        <f t="shared" si="56"/>
        <v>50</v>
      </c>
    </row>
    <row r="132" spans="1:51">
      <c r="A132" s="334" t="s">
        <v>2908</v>
      </c>
      <c r="B132" s="335">
        <v>8.5000000000000006E-2</v>
      </c>
      <c r="C132" s="336">
        <f t="shared" ref="C132:AY137" si="57">(C121/(1+$C$3)^(C$16-0.5)+B132)</f>
        <v>0.16256538223949252</v>
      </c>
      <c r="D132" s="336">
        <f t="shared" si="57"/>
        <v>0.23493711693809788</v>
      </c>
      <c r="E132" s="336">
        <f t="shared" si="57"/>
        <v>0.30299984986913808</v>
      </c>
      <c r="F132" s="336">
        <f t="shared" si="57"/>
        <v>0.36701463627869352</v>
      </c>
      <c r="G132" s="336">
        <f t="shared" si="57"/>
        <v>0.42721855478287962</v>
      </c>
      <c r="H132" s="336">
        <f t="shared" si="57"/>
        <v>0.48442844587077538</v>
      </c>
      <c r="I132" s="336">
        <f t="shared" si="57"/>
        <v>0.53878564764264947</v>
      </c>
      <c r="J132" s="336">
        <f t="shared" si="57"/>
        <v>0.5904389468595026</v>
      </c>
      <c r="K132" s="336">
        <f t="shared" si="57"/>
        <v>0.63951605431730218</v>
      </c>
      <c r="L132" s="336">
        <f t="shared" si="57"/>
        <v>0.6861513352706099</v>
      </c>
      <c r="M132" s="336">
        <f t="shared" si="57"/>
        <v>0.73046018338472163</v>
      </c>
      <c r="N132" s="336">
        <f t="shared" si="57"/>
        <v>0.77256393707007387</v>
      </c>
      <c r="O132" s="336">
        <f t="shared" si="57"/>
        <v>0.81257208797592184</v>
      </c>
      <c r="P132" s="336">
        <f t="shared" si="57"/>
        <v>0.85058870460716285</v>
      </c>
      <c r="Q132" s="336">
        <f t="shared" si="57"/>
        <v>0.88662341231450026</v>
      </c>
      <c r="R132" s="336">
        <f t="shared" si="57"/>
        <v>0.92077953336410923</v>
      </c>
      <c r="S132" s="336">
        <f t="shared" si="57"/>
        <v>0.95315500355331195</v>
      </c>
      <c r="T132" s="336">
        <f t="shared" si="57"/>
        <v>0.98384265302175056</v>
      </c>
      <c r="U132" s="336">
        <f t="shared" si="57"/>
        <v>1.0129304724231143</v>
      </c>
      <c r="V132" s="336">
        <f t="shared" si="57"/>
        <v>1.0405018652206155</v>
      </c>
      <c r="W132" s="336">
        <f t="shared" si="57"/>
        <v>1.0666358868296213</v>
      </c>
      <c r="X132" s="336">
        <f t="shared" si="57"/>
        <v>1.0914074712931339</v>
      </c>
      <c r="Y132" s="336">
        <f t="shared" si="57"/>
        <v>1.1148876461400652</v>
      </c>
      <c r="Z132" s="336">
        <f t="shared" si="57"/>
        <v>1.1371437360423697</v>
      </c>
      <c r="AA132" s="336">
        <f t="shared" si="57"/>
        <v>1.1582395558549807</v>
      </c>
      <c r="AB132" s="336">
        <f t="shared" si="57"/>
        <v>1.1782355935920528</v>
      </c>
      <c r="AC132" s="336">
        <f t="shared" si="57"/>
        <v>1.1971891838641591</v>
      </c>
      <c r="AD132" s="336">
        <f t="shared" si="57"/>
        <v>1.2151546722737385</v>
      </c>
      <c r="AE132" s="336">
        <f t="shared" si="57"/>
        <v>1.2321835712401645</v>
      </c>
      <c r="AF132" s="336">
        <f t="shared" si="57"/>
        <v>1.2483247077012318</v>
      </c>
      <c r="AG132" s="336">
        <f t="shared" si="57"/>
        <v>1.2636243631145656</v>
      </c>
      <c r="AH132" s="336">
        <f t="shared" si="57"/>
        <v>1.2781264061603796</v>
      </c>
      <c r="AI132" s="336">
        <f t="shared" si="57"/>
        <v>1.2918724185260801</v>
      </c>
      <c r="AJ132" s="336">
        <f t="shared" si="57"/>
        <v>1.3049018141333792</v>
      </c>
      <c r="AK132" s="336">
        <f t="shared" si="57"/>
        <v>1.3172519521497765</v>
      </c>
      <c r="AL132" s="336">
        <f t="shared" si="57"/>
        <v>1.3289582441084469</v>
      </c>
      <c r="AM132" s="336">
        <f t="shared" si="57"/>
        <v>1.3400542554436794</v>
      </c>
      <c r="AN132" s="336">
        <f t="shared" si="57"/>
        <v>1.3505718017329993</v>
      </c>
      <c r="AO132" s="336">
        <f t="shared" si="57"/>
        <v>1.3605410399219282</v>
      </c>
      <c r="AP132" s="336">
        <f t="shared" si="57"/>
        <v>1.369990554792951</v>
      </c>
      <c r="AQ132" s="336">
        <f t="shared" si="57"/>
        <v>1.3789474409266218</v>
      </c>
      <c r="AR132" s="336">
        <f t="shared" si="57"/>
        <v>1.3874373803898168</v>
      </c>
      <c r="AS132" s="336">
        <f t="shared" si="57"/>
        <v>1.3954847163738879</v>
      </c>
      <c r="AT132" s="336">
        <f t="shared" si="57"/>
        <v>1.4031125229938606</v>
      </c>
      <c r="AU132" s="336">
        <f t="shared" si="57"/>
        <v>1.410342671448811</v>
      </c>
      <c r="AV132" s="336">
        <f t="shared" si="57"/>
        <v>1.4171958927331241</v>
      </c>
      <c r="AW132" s="336">
        <f t="shared" si="57"/>
        <v>1.4236918370784446</v>
      </c>
      <c r="AX132" s="336">
        <f t="shared" si="57"/>
        <v>1.429849130296758</v>
      </c>
      <c r="AY132" s="337">
        <f t="shared" si="57"/>
        <v>1.4356854271861546</v>
      </c>
    </row>
    <row r="133" spans="1:51">
      <c r="A133" s="338" t="s">
        <v>2909</v>
      </c>
      <c r="B133" s="342">
        <f t="shared" ref="B133:B139" si="58">B122/(1+$C$3)^(B$16-0.5)</f>
        <v>83.142880157899583</v>
      </c>
      <c r="C133" s="343">
        <f t="shared" si="57"/>
        <v>168.53441057976141</v>
      </c>
      <c r="D133" s="343">
        <f t="shared" si="57"/>
        <v>255.33713327310039</v>
      </c>
      <c r="E133" s="343">
        <f t="shared" si="57"/>
        <v>342.85019038251738</v>
      </c>
      <c r="F133" s="343">
        <f t="shared" si="57"/>
        <v>430.46720059461694</v>
      </c>
      <c r="G133" s="343">
        <f t="shared" si="57"/>
        <v>517.67458334521405</v>
      </c>
      <c r="H133" s="343">
        <f t="shared" si="57"/>
        <v>604.04866016790231</v>
      </c>
      <c r="I133" s="343">
        <f t="shared" si="57"/>
        <v>689.22294077369145</v>
      </c>
      <c r="J133" s="343">
        <f t="shared" si="57"/>
        <v>772.90319960289992</v>
      </c>
      <c r="K133" s="343">
        <f t="shared" si="57"/>
        <v>854.84525147923114</v>
      </c>
      <c r="L133" s="343">
        <f t="shared" si="57"/>
        <v>934.84935653622915</v>
      </c>
      <c r="M133" s="343">
        <f t="shared" si="57"/>
        <v>1012.7609731846534</v>
      </c>
      <c r="N133" s="343">
        <f t="shared" si="57"/>
        <v>1086.6108467850554</v>
      </c>
      <c r="O133" s="343">
        <f t="shared" si="57"/>
        <v>1156.61072697501</v>
      </c>
      <c r="P133" s="343">
        <f t="shared" si="57"/>
        <v>1222.96132431146</v>
      </c>
      <c r="Q133" s="343">
        <f t="shared" si="57"/>
        <v>1285.8528857678107</v>
      </c>
      <c r="R133" s="343">
        <f t="shared" si="57"/>
        <v>1345.4657402288065</v>
      </c>
      <c r="S133" s="343">
        <f t="shared" si="57"/>
        <v>1401.9708155472858</v>
      </c>
      <c r="T133" s="343">
        <f t="shared" si="57"/>
        <v>1455.5301286453707</v>
      </c>
      <c r="U133" s="343">
        <f t="shared" si="57"/>
        <v>1506.2972500653564</v>
      </c>
      <c r="V133" s="343">
        <f t="shared" si="57"/>
        <v>1554.4177443023095</v>
      </c>
      <c r="W133" s="343">
        <f t="shared" si="57"/>
        <v>1600.0295871809381</v>
      </c>
      <c r="X133" s="343">
        <f t="shared" si="57"/>
        <v>1643.263561473477</v>
      </c>
      <c r="Y133" s="343">
        <f t="shared" si="57"/>
        <v>1684.2436318929451</v>
      </c>
      <c r="Z133" s="343">
        <f t="shared" si="57"/>
        <v>1723.0873005369908</v>
      </c>
      <c r="AA133" s="343">
        <f t="shared" si="57"/>
        <v>1759.9059438014892</v>
      </c>
      <c r="AB133" s="343">
        <f t="shared" si="57"/>
        <v>1794.8051317299237</v>
      </c>
      <c r="AC133" s="343">
        <f t="shared" si="57"/>
        <v>1827.8849307142218</v>
      </c>
      <c r="AD133" s="343">
        <f t="shared" si="57"/>
        <v>1859.2401904149783</v>
      </c>
      <c r="AE133" s="343">
        <f t="shared" si="57"/>
        <v>1888.9608157237521</v>
      </c>
      <c r="AF133" s="343">
        <f t="shared" si="57"/>
        <v>1917.1320245472346</v>
      </c>
      <c r="AG133" s="343">
        <f t="shared" si="57"/>
        <v>1943.834592152431</v>
      </c>
      <c r="AH133" s="343">
        <f t="shared" si="57"/>
        <v>1969.1450827734704</v>
      </c>
      <c r="AI133" s="343">
        <f t="shared" si="57"/>
        <v>1993.1360691441239</v>
      </c>
      <c r="AJ133" s="343">
        <f t="shared" si="57"/>
        <v>2015.8763405855016</v>
      </c>
      <c r="AK133" s="343">
        <f t="shared" si="57"/>
        <v>2037.4311002455752</v>
      </c>
      <c r="AL133" s="343">
        <f t="shared" si="57"/>
        <v>2057.8621520560714</v>
      </c>
      <c r="AM133" s="343">
        <f t="shared" si="57"/>
        <v>2077.2280779427979</v>
      </c>
      <c r="AN133" s="343">
        <f t="shared" si="57"/>
        <v>2095.5844057975146</v>
      </c>
      <c r="AO133" s="343">
        <f t="shared" si="57"/>
        <v>2112.9837686929809</v>
      </c>
      <c r="AP133" s="343">
        <f t="shared" si="57"/>
        <v>2129.4760557976883</v>
      </c>
      <c r="AQ133" s="343">
        <f t="shared" si="57"/>
        <v>2145.1085554230035</v>
      </c>
      <c r="AR133" s="343">
        <f t="shared" si="57"/>
        <v>2159.9260906128757</v>
      </c>
      <c r="AS133" s="343">
        <f t="shared" si="57"/>
        <v>2173.9711476648872</v>
      </c>
      <c r="AT133" s="343">
        <f t="shared" si="57"/>
        <v>2187.2839979511541</v>
      </c>
      <c r="AU133" s="343">
        <f t="shared" si="57"/>
        <v>2199.9028133883739</v>
      </c>
      <c r="AV133" s="343">
        <f t="shared" si="57"/>
        <v>2211.8637758881082</v>
      </c>
      <c r="AW133" s="343">
        <f t="shared" si="57"/>
        <v>2223.2011811011266</v>
      </c>
      <c r="AX133" s="343">
        <f t="shared" si="57"/>
        <v>2233.9475367532768</v>
      </c>
      <c r="AY133" s="344">
        <f t="shared" si="57"/>
        <v>2244.133655854841</v>
      </c>
    </row>
    <row r="134" spans="1:51">
      <c r="A134" s="338" t="s">
        <v>2910</v>
      </c>
      <c r="B134" s="342">
        <f t="shared" si="58"/>
        <v>13.279696222186503</v>
      </c>
      <c r="C134" s="343">
        <f t="shared" si="57"/>
        <v>25.654835298747013</v>
      </c>
      <c r="D134" s="343">
        <f t="shared" si="57"/>
        <v>37.192386635892532</v>
      </c>
      <c r="E134" s="343">
        <f t="shared" si="57"/>
        <v>48.128454254039944</v>
      </c>
      <c r="F134" s="343">
        <f t="shared" si="57"/>
        <v>58.494395124321855</v>
      </c>
      <c r="G134" s="343">
        <f t="shared" si="57"/>
        <v>68.319931494257318</v>
      </c>
      <c r="H134" s="343">
        <f t="shared" si="57"/>
        <v>77.689723173940223</v>
      </c>
      <c r="I134" s="343">
        <f t="shared" si="57"/>
        <v>86.617891761958674</v>
      </c>
      <c r="J134" s="343">
        <f t="shared" si="57"/>
        <v>95.131361741509721</v>
      </c>
      <c r="K134" s="343">
        <f t="shared" si="57"/>
        <v>103.20100153255336</v>
      </c>
      <c r="L134" s="343">
        <f t="shared" si="57"/>
        <v>110.84994920178904</v>
      </c>
      <c r="M134" s="343">
        <f t="shared" si="57"/>
        <v>118.10013656599348</v>
      </c>
      <c r="N134" s="343">
        <f t="shared" si="57"/>
        <v>124.97235207708773</v>
      </c>
      <c r="O134" s="343">
        <f t="shared" si="57"/>
        <v>131.48630042883585</v>
      </c>
      <c r="P134" s="343">
        <f t="shared" si="57"/>
        <v>137.66065905608525</v>
      </c>
      <c r="Q134" s="343">
        <f t="shared" si="57"/>
        <v>143.51313168854912</v>
      </c>
      <c r="R134" s="343">
        <f t="shared" si="57"/>
        <v>149.06049911268551</v>
      </c>
      <c r="S134" s="343">
        <f t="shared" si="57"/>
        <v>154.31866728722235</v>
      </c>
      <c r="T134" s="343">
        <f t="shared" si="57"/>
        <v>159.30271295029047</v>
      </c>
      <c r="U134" s="343">
        <f t="shared" si="57"/>
        <v>164.02692684893321</v>
      </c>
      <c r="V134" s="343">
        <f t="shared" si="57"/>
        <v>168.50485471494531</v>
      </c>
      <c r="W134" s="343">
        <f t="shared" si="57"/>
        <v>172.74933610453024</v>
      </c>
      <c r="X134" s="343">
        <f t="shared" si="57"/>
        <v>176.77254121314155</v>
      </c>
      <c r="Y134" s="343">
        <f t="shared" si="57"/>
        <v>180.58600577106697</v>
      </c>
      <c r="Z134" s="343">
        <f t="shared" si="57"/>
        <v>184.20066411981142</v>
      </c>
      <c r="AA134" s="343">
        <f t="shared" si="57"/>
        <v>187.62688056411898</v>
      </c>
      <c r="AB134" s="343">
        <f t="shared" si="57"/>
        <v>190.87447908952896</v>
      </c>
      <c r="AC134" s="343">
        <f t="shared" si="57"/>
        <v>193.95277153067588</v>
      </c>
      <c r="AD134" s="343">
        <f t="shared" si="57"/>
        <v>196.87058427109949</v>
      </c>
      <c r="AE134" s="343">
        <f t="shared" si="57"/>
        <v>199.63628355112186</v>
      </c>
      <c r="AF134" s="343">
        <f t="shared" si="57"/>
        <v>202.25779945635634</v>
      </c>
      <c r="AG134" s="343">
        <f t="shared" si="57"/>
        <v>204.74264865563075</v>
      </c>
      <c r="AH134" s="343">
        <f t="shared" si="57"/>
        <v>207.09795595352116</v>
      </c>
      <c r="AI134" s="343">
        <f t="shared" si="57"/>
        <v>209.33047471929407</v>
      </c>
      <c r="AJ134" s="343">
        <f t="shared" si="57"/>
        <v>211.44660625083239</v>
      </c>
      <c r="AK134" s="343">
        <f t="shared" si="57"/>
        <v>213.45241812906775</v>
      </c>
      <c r="AL134" s="343">
        <f t="shared" si="57"/>
        <v>215.35366161554677</v>
      </c>
      <c r="AM134" s="343">
        <f t="shared" si="57"/>
        <v>217.15578814301503</v>
      </c>
      <c r="AN134" s="343">
        <f t="shared" si="57"/>
        <v>218.86396494630247</v>
      </c>
      <c r="AO134" s="343">
        <f t="shared" si="57"/>
        <v>220.48308987832849</v>
      </c>
      <c r="AP134" s="343">
        <f t="shared" si="57"/>
        <v>222.0178054537086</v>
      </c>
      <c r="AQ134" s="343">
        <f t="shared" si="57"/>
        <v>223.47251216023005</v>
      </c>
      <c r="AR134" s="343">
        <f t="shared" si="57"/>
        <v>224.85138107636411</v>
      </c>
      <c r="AS134" s="343">
        <f t="shared" si="57"/>
        <v>226.15836583099355</v>
      </c>
      <c r="AT134" s="343">
        <f t="shared" si="57"/>
        <v>227.39721393964706</v>
      </c>
      <c r="AU134" s="343">
        <f t="shared" si="57"/>
        <v>228.57147754974517</v>
      </c>
      <c r="AV134" s="343">
        <f t="shared" si="57"/>
        <v>229.68452362566754</v>
      </c>
      <c r="AW134" s="343">
        <f t="shared" si="57"/>
        <v>230.73954360284515</v>
      </c>
      <c r="AX134" s="343">
        <f t="shared" si="57"/>
        <v>231.73956253855852</v>
      </c>
      <c r="AY134" s="344">
        <f t="shared" si="57"/>
        <v>232.68744778568021</v>
      </c>
    </row>
    <row r="135" spans="1:51">
      <c r="A135" s="338" t="s">
        <v>2911</v>
      </c>
      <c r="B135" s="342">
        <f t="shared" si="58"/>
        <v>11.695187013857431</v>
      </c>
      <c r="C135" s="343">
        <f t="shared" si="57"/>
        <v>22.579187967782417</v>
      </c>
      <c r="D135" s="343">
        <f t="shared" si="57"/>
        <v>32.713543302653164</v>
      </c>
      <c r="E135" s="343">
        <f t="shared" si="57"/>
        <v>42.31956731674866</v>
      </c>
      <c r="F135" s="343">
        <f t="shared" si="57"/>
        <v>51.424803349066664</v>
      </c>
      <c r="G135" s="343">
        <f t="shared" si="57"/>
        <v>60.055358829936814</v>
      </c>
      <c r="H135" s="343">
        <f t="shared" si="57"/>
        <v>68.288348354059096</v>
      </c>
      <c r="I135" s="343">
        <f t="shared" si="57"/>
        <v>76.138979353868422</v>
      </c>
      <c r="J135" s="343">
        <f t="shared" si="57"/>
        <v>83.627386101281516</v>
      </c>
      <c r="K135" s="343">
        <f t="shared" si="57"/>
        <v>90.725401975606729</v>
      </c>
      <c r="L135" s="343">
        <f t="shared" si="57"/>
        <v>97.453379107668539</v>
      </c>
      <c r="M135" s="343">
        <f t="shared" si="57"/>
        <v>103.83060861673187</v>
      </c>
      <c r="N135" s="343">
        <f t="shared" si="57"/>
        <v>109.8753759239009</v>
      </c>
      <c r="O135" s="343">
        <f t="shared" si="57"/>
        <v>115.60501318188103</v>
      </c>
      <c r="P135" s="343">
        <f t="shared" si="57"/>
        <v>121.03594897143566</v>
      </c>
      <c r="Q135" s="343">
        <f t="shared" si="57"/>
        <v>126.18375540703246</v>
      </c>
      <c r="R135" s="343">
        <f t="shared" si="57"/>
        <v>131.06319278674508</v>
      </c>
      <c r="S135" s="343">
        <f t="shared" si="57"/>
        <v>135.68825191443474</v>
      </c>
      <c r="T135" s="343">
        <f t="shared" si="57"/>
        <v>140.0721942155624</v>
      </c>
      <c r="U135" s="343">
        <f t="shared" si="57"/>
        <v>144.22758976165497</v>
      </c>
      <c r="V135" s="343">
        <f t="shared" si="57"/>
        <v>148.16635331245359</v>
      </c>
      <c r="W135" s="343">
        <f t="shared" si="57"/>
        <v>151.89977847908739</v>
      </c>
      <c r="X135" s="343">
        <f t="shared" si="57"/>
        <v>155.43857010622841</v>
      </c>
      <c r="Y135" s="343">
        <f t="shared" si="57"/>
        <v>158.79287496607773</v>
      </c>
      <c r="Z135" s="343">
        <f t="shared" si="57"/>
        <v>161.97231085219082</v>
      </c>
      <c r="AA135" s="343">
        <f t="shared" si="57"/>
        <v>164.98599415656341</v>
      </c>
      <c r="AB135" s="343">
        <f t="shared" si="57"/>
        <v>167.84256600904928</v>
      </c>
      <c r="AC135" s="343">
        <f t="shared" si="57"/>
        <v>170.5502170540596</v>
      </c>
      <c r="AD135" s="343">
        <f t="shared" si="57"/>
        <v>173.11671093558596</v>
      </c>
      <c r="AE135" s="343">
        <f t="shared" si="57"/>
        <v>175.54940655788582</v>
      </c>
      <c r="AF135" s="343">
        <f t="shared" si="57"/>
        <v>177.85527918565819</v>
      </c>
      <c r="AG135" s="343">
        <f t="shared" si="57"/>
        <v>180.04094044421021</v>
      </c>
      <c r="AH135" s="343">
        <f t="shared" si="57"/>
        <v>182.11265727696093</v>
      </c>
      <c r="AI135" s="343">
        <f t="shared" si="57"/>
        <v>184.07636991463934</v>
      </c>
      <c r="AJ135" s="343">
        <f t="shared" si="57"/>
        <v>185.93770890769946</v>
      </c>
      <c r="AK135" s="343">
        <f t="shared" si="57"/>
        <v>187.70201127078963</v>
      </c>
      <c r="AL135" s="343">
        <f t="shared" si="57"/>
        <v>189.37433578556704</v>
      </c>
      <c r="AM135" s="343">
        <f t="shared" si="57"/>
        <v>190.95947750573518</v>
      </c>
      <c r="AN135" s="343">
        <f t="shared" si="57"/>
        <v>192.46198150589456</v>
      </c>
      <c r="AO135" s="343">
        <f t="shared" si="57"/>
        <v>193.88615591362858</v>
      </c>
      <c r="AP135" s="343">
        <f t="shared" si="57"/>
        <v>195.23608426219164</v>
      </c>
      <c r="AQ135" s="343">
        <f t="shared" si="57"/>
        <v>196.51563719921822</v>
      </c>
      <c r="AR135" s="343">
        <f t="shared" si="57"/>
        <v>197.7284835850254</v>
      </c>
      <c r="AS135" s="343">
        <f t="shared" si="57"/>
        <v>198.8781010123308</v>
      </c>
      <c r="AT135" s="343">
        <f t="shared" si="57"/>
        <v>199.96778577754918</v>
      </c>
      <c r="AU135" s="343">
        <f t="shared" si="57"/>
        <v>201.00066233225854</v>
      </c>
      <c r="AV135" s="343">
        <f t="shared" si="57"/>
        <v>201.97969224193568</v>
      </c>
      <c r="AW135" s="343">
        <f t="shared" si="57"/>
        <v>202.90768267764861</v>
      </c>
      <c r="AX135" s="343">
        <f t="shared" si="57"/>
        <v>203.78729446505423</v>
      </c>
      <c r="AY135" s="344">
        <f t="shared" si="57"/>
        <v>204.62104971377994</v>
      </c>
    </row>
    <row r="136" spans="1:51">
      <c r="A136" s="338" t="s">
        <v>2912</v>
      </c>
      <c r="B136" s="342">
        <f t="shared" si="58"/>
        <v>6.1182586674026789</v>
      </c>
      <c r="C136" s="343">
        <f t="shared" si="57"/>
        <v>12.428881458877321</v>
      </c>
      <c r="D136" s="343">
        <f t="shared" si="57"/>
        <v>18.663448533001478</v>
      </c>
      <c r="E136" s="343">
        <f t="shared" si="57"/>
        <v>24.758953747497628</v>
      </c>
      <c r="F136" s="343">
        <f t="shared" si="57"/>
        <v>30.680705424846916</v>
      </c>
      <c r="G136" s="343">
        <f t="shared" si="57"/>
        <v>36.409160608562402</v>
      </c>
      <c r="H136" s="343">
        <f t="shared" si="57"/>
        <v>41.933745345919618</v>
      </c>
      <c r="I136" s="343">
        <f t="shared" si="57"/>
        <v>48.071024652675924</v>
      </c>
      <c r="J136" s="343">
        <f t="shared" si="57"/>
        <v>53.344183401899116</v>
      </c>
      <c r="K136" s="343">
        <f t="shared" si="57"/>
        <v>58.387229298572841</v>
      </c>
      <c r="L136" s="343">
        <f t="shared" si="57"/>
        <v>63.206893248542535</v>
      </c>
      <c r="M136" s="343">
        <f t="shared" si="57"/>
        <v>67.810341338564868</v>
      </c>
      <c r="N136" s="343">
        <f t="shared" si="57"/>
        <v>72.205003872916535</v>
      </c>
      <c r="O136" s="343">
        <f t="shared" si="57"/>
        <v>76.382152150713026</v>
      </c>
      <c r="P136" s="343">
        <f t="shared" si="57"/>
        <v>80.342180607180453</v>
      </c>
      <c r="Q136" s="343">
        <f t="shared" si="57"/>
        <v>84.095762082505033</v>
      </c>
      <c r="R136" s="343">
        <f t="shared" si="57"/>
        <v>87.684355750314964</v>
      </c>
      <c r="S136" s="343">
        <f t="shared" si="57"/>
        <v>91.109251998560694</v>
      </c>
      <c r="T136" s="343">
        <f t="shared" si="57"/>
        <v>94.377765658171711</v>
      </c>
      <c r="U136" s="343">
        <f t="shared" si="57"/>
        <v>97.475882871073139</v>
      </c>
      <c r="V136" s="343">
        <f t="shared" si="57"/>
        <v>100.41248686434464</v>
      </c>
      <c r="W136" s="343">
        <f t="shared" si="57"/>
        <v>103.19599775844085</v>
      </c>
      <c r="X136" s="343">
        <f t="shared" si="57"/>
        <v>105.83439671019082</v>
      </c>
      <c r="Y136" s="343">
        <f t="shared" si="57"/>
        <v>108.3352487971576</v>
      </c>
      <c r="Z136" s="343">
        <f t="shared" si="57"/>
        <v>110.70572470897447</v>
      </c>
      <c r="AA136" s="343">
        <f t="shared" si="57"/>
        <v>112.95262130785301</v>
      </c>
      <c r="AB136" s="343">
        <f t="shared" si="57"/>
        <v>115.08238111721656</v>
      </c>
      <c r="AC136" s="343">
        <f t="shared" si="57"/>
        <v>117.1011107943384</v>
      </c>
      <c r="AD136" s="343">
        <f t="shared" si="57"/>
        <v>119.01459863995152</v>
      </c>
      <c r="AE136" s="343">
        <f t="shared" si="57"/>
        <v>120.82833119503505</v>
      </c>
      <c r="AF136" s="343">
        <f t="shared" si="57"/>
        <v>122.54750897236541</v>
      </c>
      <c r="AG136" s="343">
        <f t="shared" si="57"/>
        <v>124.1770613679392</v>
      </c>
      <c r="AH136" s="343">
        <f t="shared" si="57"/>
        <v>125.72166079502338</v>
      </c>
      <c r="AI136" s="343">
        <f t="shared" si="57"/>
        <v>127.1857360813591</v>
      </c>
      <c r="AJ136" s="343">
        <f t="shared" si="57"/>
        <v>128.57348516793323</v>
      </c>
      <c r="AK136" s="343">
        <f t="shared" si="57"/>
        <v>129.8888871457286</v>
      </c>
      <c r="AL136" s="343">
        <f t="shared" si="57"/>
        <v>131.13571366496595</v>
      </c>
      <c r="AM136" s="343">
        <f t="shared" si="57"/>
        <v>132.31753974955109</v>
      </c>
      <c r="AN136" s="343">
        <f t="shared" si="57"/>
        <v>133.43775404773606</v>
      </c>
      <c r="AO136" s="343">
        <f t="shared" si="57"/>
        <v>134.49956854838533</v>
      </c>
      <c r="AP136" s="343">
        <f t="shared" si="57"/>
        <v>135.5060277907069</v>
      </c>
      <c r="AQ136" s="343">
        <f t="shared" si="57"/>
        <v>136.4600175938553</v>
      </c>
      <c r="AR136" s="343">
        <f t="shared" si="57"/>
        <v>137.36427333143675</v>
      </c>
      <c r="AS136" s="343">
        <f t="shared" si="57"/>
        <v>138.2213877746419</v>
      </c>
      <c r="AT136" s="343">
        <f t="shared" si="57"/>
        <v>139.03381852649511</v>
      </c>
      <c r="AU136" s="343">
        <f t="shared" si="57"/>
        <v>139.80389506853609</v>
      </c>
      <c r="AV136" s="343">
        <f t="shared" si="57"/>
        <v>140.53382544013891</v>
      </c>
      <c r="AW136" s="343">
        <f t="shared" si="57"/>
        <v>141.22570256962027</v>
      </c>
      <c r="AX136" s="343">
        <f t="shared" si="57"/>
        <v>141.8815102752898</v>
      </c>
      <c r="AY136" s="344">
        <f t="shared" si="57"/>
        <v>142.50312895364954</v>
      </c>
    </row>
    <row r="137" spans="1:51">
      <c r="A137" s="338" t="s">
        <v>2892</v>
      </c>
      <c r="B137" s="339">
        <f t="shared" si="58"/>
        <v>6.1141123369011178E-3</v>
      </c>
      <c r="C137" s="340">
        <f t="shared" si="57"/>
        <v>1.1835653147838862E-2</v>
      </c>
      <c r="D137" s="340">
        <f t="shared" si="57"/>
        <v>1.718893701314065E-2</v>
      </c>
      <c r="E137" s="340">
        <f t="shared" si="57"/>
        <v>2.2163645558166009E-2</v>
      </c>
      <c r="F137" s="340">
        <f t="shared" si="57"/>
        <v>2.6784701836957338E-2</v>
      </c>
      <c r="G137" s="340">
        <f t="shared" si="57"/>
        <v>3.1082908421834338E-2</v>
      </c>
      <c r="H137" s="340">
        <f t="shared" si="57"/>
        <v>3.5157037886172721E-2</v>
      </c>
      <c r="I137" s="340">
        <f t="shared" si="57"/>
        <v>3.9012079195542004E-2</v>
      </c>
      <c r="J137" s="340">
        <f t="shared" si="57"/>
        <v>4.2666146787361234E-2</v>
      </c>
      <c r="K137" s="340">
        <f t="shared" si="57"/>
        <v>4.6123704820036415E-2</v>
      </c>
      <c r="L137" s="340">
        <f t="shared" si="57"/>
        <v>4.9401011012145592E-2</v>
      </c>
      <c r="M137" s="340">
        <f t="shared" ref="M137:AY139" si="59">(M126/(1+$C$3)^(M$16-0.5)+L137)</f>
        <v>5.2507462379073722E-2</v>
      </c>
      <c r="N137" s="340">
        <f t="shared" si="59"/>
        <v>5.5446845168468734E-2</v>
      </c>
      <c r="O137" s="340">
        <f t="shared" si="59"/>
        <v>5.8232989992539834E-2</v>
      </c>
      <c r="P137" s="340">
        <f t="shared" si="59"/>
        <v>6.0869284697021131E-2</v>
      </c>
      <c r="Q137" s="340">
        <f t="shared" si="59"/>
        <v>6.3368142236813835E-2</v>
      </c>
      <c r="R137" s="340">
        <f t="shared" si="59"/>
        <v>6.5736727582588902E-2</v>
      </c>
      <c r="S137" s="340">
        <f t="shared" si="59"/>
        <v>6.7981832175740636E-2</v>
      </c>
      <c r="T137" s="340">
        <f t="shared" si="59"/>
        <v>7.0109893401476872E-2</v>
      </c>
      <c r="U137" s="340">
        <f t="shared" si="59"/>
        <v>7.2127013046724489E-2</v>
      </c>
      <c r="V137" s="340">
        <f t="shared" si="59"/>
        <v>7.4038974795774357E-2</v>
      </c>
      <c r="W137" s="340">
        <f t="shared" si="59"/>
        <v>7.5851260813831103E-2</v>
      </c>
      <c r="X137" s="340">
        <f t="shared" si="59"/>
        <v>7.7569067466017591E-2</v>
      </c>
      <c r="Y137" s="340">
        <f t="shared" si="59"/>
        <v>7.9197320216905259E-2</v>
      </c>
      <c r="Z137" s="340">
        <f t="shared" si="59"/>
        <v>8.0740687753291684E-2</v>
      </c>
      <c r="AA137" s="340">
        <f t="shared" si="59"/>
        <v>8.220359537071957E-2</v>
      </c>
      <c r="AB137" s="340">
        <f t="shared" si="59"/>
        <v>8.3590237662120412E-2</v>
      </c>
      <c r="AC137" s="340">
        <f t="shared" si="59"/>
        <v>8.4904590544964811E-2</v>
      </c>
      <c r="AD137" s="340">
        <f t="shared" si="59"/>
        <v>8.6150422661405004E-2</v>
      </c>
      <c r="AE137" s="340">
        <f t="shared" si="59"/>
        <v>8.7331306184097124E-2</v>
      </c>
      <c r="AF137" s="340">
        <f t="shared" si="59"/>
        <v>8.8450627058686809E-2</v>
      </c>
      <c r="AG137" s="340">
        <f t="shared" si="59"/>
        <v>8.9511594712326323E-2</v>
      </c>
      <c r="AH137" s="340">
        <f t="shared" si="59"/>
        <v>9.0517251256060458E-2</v>
      </c>
      <c r="AI137" s="340">
        <f t="shared" si="59"/>
        <v>9.1470480207467217E-2</v>
      </c>
      <c r="AJ137" s="340">
        <f t="shared" si="59"/>
        <v>9.2374014758563674E-2</v>
      </c>
      <c r="AK137" s="340">
        <f t="shared" si="59"/>
        <v>9.3230445612683538E-2</v>
      </c>
      <c r="AL137" s="340">
        <f t="shared" si="59"/>
        <v>9.4042228412797163E-2</v>
      </c>
      <c r="AM137" s="340">
        <f t="shared" si="59"/>
        <v>9.4811690782573108E-2</v>
      </c>
      <c r="AN137" s="340">
        <f t="shared" si="59"/>
        <v>9.5541039000370212E-2</v>
      </c>
      <c r="AO137" s="340">
        <f t="shared" si="59"/>
        <v>9.6232364325296374E-2</v>
      </c>
      <c r="AP137" s="340">
        <f t="shared" si="59"/>
        <v>9.6887648993472825E-2</v>
      </c>
      <c r="AQ137" s="340">
        <f t="shared" si="59"/>
        <v>9.7508771901696961E-2</v>
      </c>
      <c r="AR137" s="340">
        <f t="shared" si="59"/>
        <v>9.8097513994800406E-2</v>
      </c>
      <c r="AS137" s="340">
        <f t="shared" si="59"/>
        <v>9.8655563372149632E-2</v>
      </c>
      <c r="AT137" s="340">
        <f t="shared" si="59"/>
        <v>9.91845201279309E-2</v>
      </c>
      <c r="AU137" s="340">
        <f t="shared" si="59"/>
        <v>9.9685900939097974E-2</v>
      </c>
      <c r="AV137" s="340">
        <f t="shared" si="59"/>
        <v>0.10016114341413786</v>
      </c>
      <c r="AW137" s="340">
        <f t="shared" si="59"/>
        <v>0.10061161021512352</v>
      </c>
      <c r="AX137" s="340">
        <f t="shared" si="59"/>
        <v>0.10103859296487297</v>
      </c>
      <c r="AY137" s="341">
        <f t="shared" si="59"/>
        <v>0.10144331595041747</v>
      </c>
    </row>
    <row r="138" spans="1:51">
      <c r="A138" s="338" t="s">
        <v>2893</v>
      </c>
      <c r="B138" s="342">
        <f t="shared" si="58"/>
        <v>0.85432063306221828</v>
      </c>
      <c r="C138" s="343">
        <f t="shared" ref="C138:AH139" si="60">(C127/(1+$C$3)^(C$16-0.5)+B138)</f>
        <v>1.6641032236425202</v>
      </c>
      <c r="D138" s="343">
        <f t="shared" si="60"/>
        <v>2.4316696602115266</v>
      </c>
      <c r="E138" s="343">
        <f t="shared" si="60"/>
        <v>3.1592207849214855</v>
      </c>
      <c r="F138" s="343">
        <f t="shared" si="60"/>
        <v>3.8488427040778443</v>
      </c>
      <c r="G138" s="343">
        <f t="shared" si="60"/>
        <v>4.502512769628896</v>
      </c>
      <c r="H138" s="343">
        <f t="shared" si="60"/>
        <v>5.1221052488242051</v>
      </c>
      <c r="I138" s="343">
        <f t="shared" si="60"/>
        <v>5.7093966982984323</v>
      </c>
      <c r="J138" s="343">
        <f t="shared" si="60"/>
        <v>6.2660710579896426</v>
      </c>
      <c r="K138" s="343">
        <f t="shared" si="60"/>
        <v>6.7937244794978984</v>
      </c>
      <c r="L138" s="343">
        <f t="shared" si="60"/>
        <v>7.2938699027284732</v>
      </c>
      <c r="M138" s="343">
        <f t="shared" si="60"/>
        <v>7.7679413939422881</v>
      </c>
      <c r="N138" s="343">
        <f t="shared" si="60"/>
        <v>8.2172982576520646</v>
      </c>
      <c r="O138" s="343">
        <f t="shared" si="60"/>
        <v>8.643228934154223</v>
      </c>
      <c r="P138" s="343">
        <f t="shared" si="60"/>
        <v>9.0469546938719088</v>
      </c>
      <c r="Q138" s="343">
        <f t="shared" si="60"/>
        <v>9.4296331391019432</v>
      </c>
      <c r="R138" s="343">
        <f t="shared" si="60"/>
        <v>9.7923615232062406</v>
      </c>
      <c r="S138" s="343">
        <f t="shared" si="60"/>
        <v>10.136179896764817</v>
      </c>
      <c r="T138" s="343">
        <f t="shared" si="60"/>
        <v>10.462074089711335</v>
      </c>
      <c r="U138" s="343">
        <f t="shared" si="60"/>
        <v>10.770978538001872</v>
      </c>
      <c r="V138" s="343">
        <f t="shared" si="60"/>
        <v>11.063778962921813</v>
      </c>
      <c r="W138" s="343">
        <f t="shared" si="60"/>
        <v>11.341314910713226</v>
      </c>
      <c r="X138" s="343">
        <f t="shared" si="60"/>
        <v>11.604382159804613</v>
      </c>
      <c r="Y138" s="343">
        <f t="shared" si="60"/>
        <v>11.853735002545264</v>
      </c>
      <c r="Z138" s="343">
        <f t="shared" si="60"/>
        <v>12.09008840798664</v>
      </c>
      <c r="AA138" s="343">
        <f t="shared" si="60"/>
        <v>12.314120071912114</v>
      </c>
      <c r="AB138" s="343">
        <f t="shared" si="60"/>
        <v>12.526472359993132</v>
      </c>
      <c r="AC138" s="343">
        <f t="shared" si="60"/>
        <v>12.727754149643387</v>
      </c>
      <c r="AD138" s="343">
        <f t="shared" si="60"/>
        <v>12.918542575852159</v>
      </c>
      <c r="AE138" s="343">
        <f t="shared" si="60"/>
        <v>13.099384686002654</v>
      </c>
      <c r="AF138" s="343">
        <f t="shared" si="60"/>
        <v>13.270799008420186</v>
      </c>
      <c r="AG138" s="343">
        <f t="shared" si="60"/>
        <v>13.433277039147702</v>
      </c>
      <c r="AH138" s="343">
        <f t="shared" si="60"/>
        <v>13.5872846512117</v>
      </c>
      <c r="AI138" s="343">
        <f t="shared" si="59"/>
        <v>13.73326343041928</v>
      </c>
      <c r="AJ138" s="343">
        <f t="shared" si="59"/>
        <v>13.871631941516512</v>
      </c>
      <c r="AK138" s="343">
        <f t="shared" si="59"/>
        <v>14.002786928338534</v>
      </c>
      <c r="AL138" s="343">
        <f t="shared" si="59"/>
        <v>14.127104451392583</v>
      </c>
      <c r="AM138" s="343">
        <f t="shared" si="59"/>
        <v>14.244940966135758</v>
      </c>
      <c r="AN138" s="343">
        <f t="shared" si="59"/>
        <v>14.356634345039241</v>
      </c>
      <c r="AO138" s="343">
        <f t="shared" si="59"/>
        <v>14.462504846369557</v>
      </c>
      <c r="AP138" s="343">
        <f t="shared" si="59"/>
        <v>14.562856032464643</v>
      </c>
      <c r="AQ138" s="343">
        <f t="shared" si="59"/>
        <v>14.65797564013771</v>
      </c>
      <c r="AR138" s="343">
        <f t="shared" si="59"/>
        <v>14.748136405704599</v>
      </c>
      <c r="AS138" s="343">
        <f t="shared" si="59"/>
        <v>14.833596847000228</v>
      </c>
      <c r="AT138" s="343">
        <f t="shared" si="59"/>
        <v>14.914602004626417</v>
      </c>
      <c r="AU138" s="343">
        <f t="shared" si="59"/>
        <v>14.991384144556454</v>
      </c>
      <c r="AV138" s="343">
        <f t="shared" si="59"/>
        <v>15.064163424110991</v>
      </c>
      <c r="AW138" s="343">
        <f t="shared" si="59"/>
        <v>15.133148523214818</v>
      </c>
      <c r="AX138" s="343">
        <f t="shared" si="59"/>
        <v>15.198537242744511</v>
      </c>
      <c r="AY138" s="344">
        <f t="shared" si="59"/>
        <v>15.260517071682608</v>
      </c>
    </row>
    <row r="139" spans="1:51" ht="12.75" thickBot="1">
      <c r="A139" s="345" t="s">
        <v>2894</v>
      </c>
      <c r="B139" s="346">
        <f t="shared" si="58"/>
        <v>0.85432063306221828</v>
      </c>
      <c r="C139" s="347">
        <f t="shared" si="60"/>
        <v>1.6641032236425202</v>
      </c>
      <c r="D139" s="347">
        <f t="shared" si="60"/>
        <v>2.4316696602115266</v>
      </c>
      <c r="E139" s="347">
        <f t="shared" si="60"/>
        <v>3.1592207849214855</v>
      </c>
      <c r="F139" s="347">
        <f t="shared" si="60"/>
        <v>3.8488427040778443</v>
      </c>
      <c r="G139" s="347">
        <f t="shared" si="60"/>
        <v>4.502512769628896</v>
      </c>
      <c r="H139" s="347">
        <f t="shared" si="60"/>
        <v>5.1221052488242051</v>
      </c>
      <c r="I139" s="347">
        <f t="shared" si="60"/>
        <v>5.7093966982984323</v>
      </c>
      <c r="J139" s="347">
        <f t="shared" si="60"/>
        <v>6.2660710579896426</v>
      </c>
      <c r="K139" s="347">
        <f t="shared" si="60"/>
        <v>6.7937244794978984</v>
      </c>
      <c r="L139" s="347">
        <f t="shared" si="60"/>
        <v>7.2938699027284732</v>
      </c>
      <c r="M139" s="347">
        <f t="shared" si="60"/>
        <v>7.7679413939422881</v>
      </c>
      <c r="N139" s="347">
        <f t="shared" si="60"/>
        <v>8.2172982576520646</v>
      </c>
      <c r="O139" s="347">
        <f t="shared" si="60"/>
        <v>8.643228934154223</v>
      </c>
      <c r="P139" s="347">
        <f t="shared" si="60"/>
        <v>9.0469546938719088</v>
      </c>
      <c r="Q139" s="347">
        <f t="shared" si="60"/>
        <v>9.4296331391019432</v>
      </c>
      <c r="R139" s="347">
        <f t="shared" si="60"/>
        <v>9.7923615232062406</v>
      </c>
      <c r="S139" s="347">
        <f t="shared" si="60"/>
        <v>10.136179896764817</v>
      </c>
      <c r="T139" s="347">
        <f t="shared" si="60"/>
        <v>10.462074089711335</v>
      </c>
      <c r="U139" s="347">
        <f t="shared" si="60"/>
        <v>10.770978538001872</v>
      </c>
      <c r="V139" s="347">
        <f t="shared" si="60"/>
        <v>11.063778962921813</v>
      </c>
      <c r="W139" s="347">
        <f t="shared" si="60"/>
        <v>11.341314910713226</v>
      </c>
      <c r="X139" s="347">
        <f t="shared" si="60"/>
        <v>11.604382159804613</v>
      </c>
      <c r="Y139" s="347">
        <f t="shared" si="60"/>
        <v>11.853735002545264</v>
      </c>
      <c r="Z139" s="347">
        <f t="shared" si="60"/>
        <v>12.09008840798664</v>
      </c>
      <c r="AA139" s="347">
        <f t="shared" si="60"/>
        <v>12.314120071912114</v>
      </c>
      <c r="AB139" s="347">
        <f t="shared" si="60"/>
        <v>12.526472359993132</v>
      </c>
      <c r="AC139" s="347">
        <f t="shared" si="60"/>
        <v>12.727754149643387</v>
      </c>
      <c r="AD139" s="347">
        <f t="shared" si="60"/>
        <v>12.918542575852159</v>
      </c>
      <c r="AE139" s="347">
        <f t="shared" si="60"/>
        <v>13.099384686002654</v>
      </c>
      <c r="AF139" s="347">
        <f t="shared" si="60"/>
        <v>13.270799008420186</v>
      </c>
      <c r="AG139" s="347">
        <f t="shared" si="60"/>
        <v>13.433277039147702</v>
      </c>
      <c r="AH139" s="347">
        <f t="shared" si="60"/>
        <v>13.5872846512117</v>
      </c>
      <c r="AI139" s="347">
        <f t="shared" si="59"/>
        <v>13.73326343041928</v>
      </c>
      <c r="AJ139" s="347">
        <f t="shared" si="59"/>
        <v>13.871631941516512</v>
      </c>
      <c r="AK139" s="347">
        <f t="shared" si="59"/>
        <v>14.002786928338534</v>
      </c>
      <c r="AL139" s="347">
        <f t="shared" si="59"/>
        <v>14.127104451392583</v>
      </c>
      <c r="AM139" s="347">
        <f t="shared" si="59"/>
        <v>14.244940966135758</v>
      </c>
      <c r="AN139" s="347">
        <f t="shared" si="59"/>
        <v>14.356634345039241</v>
      </c>
      <c r="AO139" s="347">
        <f t="shared" si="59"/>
        <v>14.462504846369557</v>
      </c>
      <c r="AP139" s="347">
        <f t="shared" si="59"/>
        <v>14.562856032464643</v>
      </c>
      <c r="AQ139" s="347">
        <f t="shared" si="59"/>
        <v>14.65797564013771</v>
      </c>
      <c r="AR139" s="347">
        <f t="shared" si="59"/>
        <v>14.748136405704599</v>
      </c>
      <c r="AS139" s="347">
        <f t="shared" si="59"/>
        <v>14.833596847000228</v>
      </c>
      <c r="AT139" s="347">
        <f t="shared" si="59"/>
        <v>14.914602004626417</v>
      </c>
      <c r="AU139" s="347">
        <f t="shared" si="59"/>
        <v>14.991384144556454</v>
      </c>
      <c r="AV139" s="347">
        <f t="shared" si="59"/>
        <v>15.064163424110991</v>
      </c>
      <c r="AW139" s="347">
        <f t="shared" si="59"/>
        <v>15.133148523214818</v>
      </c>
      <c r="AX139" s="347">
        <f t="shared" si="59"/>
        <v>15.198537242744511</v>
      </c>
      <c r="AY139" s="348">
        <f t="shared" si="59"/>
        <v>15.260517071682608</v>
      </c>
    </row>
    <row r="141" spans="1:51" ht="15.75">
      <c r="A141" s="350" t="s">
        <v>2903</v>
      </c>
      <c r="B141" s="349"/>
      <c r="C141" s="349"/>
      <c r="D141" s="349"/>
      <c r="E141" s="349"/>
      <c r="F141" s="349"/>
      <c r="G141" s="349"/>
      <c r="H141" s="349"/>
      <c r="I141" s="349"/>
      <c r="J141" s="349"/>
      <c r="K141" s="349"/>
      <c r="L141" s="349"/>
      <c r="M141" s="349"/>
      <c r="N141" s="349"/>
      <c r="O141" s="349"/>
      <c r="P141" s="349"/>
      <c r="Q141" s="349"/>
      <c r="R141" s="349"/>
      <c r="S141" s="349"/>
      <c r="T141" s="349"/>
      <c r="U141" s="349"/>
      <c r="V141" s="349"/>
      <c r="W141" s="349"/>
      <c r="X141" s="349"/>
      <c r="Y141" s="349"/>
      <c r="Z141" s="349"/>
      <c r="AA141" s="349"/>
      <c r="AB141" s="349"/>
      <c r="AC141" s="349"/>
      <c r="AD141" s="349"/>
      <c r="AE141" s="349"/>
      <c r="AF141" s="349"/>
      <c r="AG141" s="349"/>
      <c r="AH141" s="349"/>
      <c r="AI141" s="349"/>
      <c r="AJ141" s="349"/>
      <c r="AK141" s="349"/>
      <c r="AL141" s="349"/>
      <c r="AM141" s="349"/>
      <c r="AN141" s="349"/>
      <c r="AO141" s="349"/>
      <c r="AP141" s="349"/>
      <c r="AQ141" s="349"/>
      <c r="AR141" s="349"/>
      <c r="AS141" s="349"/>
      <c r="AT141" s="349"/>
      <c r="AU141" s="349"/>
      <c r="AV141" s="349"/>
      <c r="AW141" s="349"/>
      <c r="AX141" s="349"/>
      <c r="AY141" s="349"/>
    </row>
    <row r="142" spans="1:51" ht="15.75" thickBot="1">
      <c r="A142" s="329" t="s">
        <v>2885</v>
      </c>
    </row>
    <row r="143" spans="1:51" ht="12.75" thickBot="1">
      <c r="A143" s="330" t="s">
        <v>2886</v>
      </c>
      <c r="B143" s="331">
        <v>2010</v>
      </c>
      <c r="C143" s="332">
        <v>2011</v>
      </c>
      <c r="D143" s="332">
        <v>2012</v>
      </c>
      <c r="E143" s="332">
        <v>2013</v>
      </c>
      <c r="F143" s="332">
        <v>2014</v>
      </c>
      <c r="G143" s="332">
        <v>2015</v>
      </c>
      <c r="H143" s="332">
        <v>2016</v>
      </c>
      <c r="I143" s="332">
        <v>2017</v>
      </c>
      <c r="J143" s="332">
        <v>2018</v>
      </c>
      <c r="K143" s="332">
        <v>2019</v>
      </c>
      <c r="L143" s="332">
        <v>2020</v>
      </c>
      <c r="M143" s="332">
        <v>2021</v>
      </c>
      <c r="N143" s="332">
        <v>2022</v>
      </c>
      <c r="O143" s="332">
        <v>2023</v>
      </c>
      <c r="P143" s="332">
        <v>2024</v>
      </c>
      <c r="Q143" s="332">
        <v>2025</v>
      </c>
      <c r="R143" s="332">
        <v>2026</v>
      </c>
      <c r="S143" s="332">
        <v>2027</v>
      </c>
      <c r="T143" s="332">
        <v>2028</v>
      </c>
      <c r="U143" s="332">
        <v>2029</v>
      </c>
      <c r="V143" s="332">
        <v>2030</v>
      </c>
      <c r="W143" s="332">
        <v>2031</v>
      </c>
      <c r="X143" s="332">
        <v>2032</v>
      </c>
      <c r="Y143" s="332">
        <v>2033</v>
      </c>
      <c r="Z143" s="332">
        <v>2034</v>
      </c>
      <c r="AA143" s="332">
        <v>2035</v>
      </c>
      <c r="AB143" s="332">
        <v>2036</v>
      </c>
      <c r="AC143" s="332">
        <v>2037</v>
      </c>
      <c r="AD143" s="332">
        <v>2038</v>
      </c>
      <c r="AE143" s="332">
        <v>2039</v>
      </c>
      <c r="AF143" s="332">
        <v>2040</v>
      </c>
      <c r="AG143" s="332">
        <v>2041</v>
      </c>
      <c r="AH143" s="332">
        <v>2042</v>
      </c>
      <c r="AI143" s="332">
        <v>2043</v>
      </c>
      <c r="AJ143" s="332">
        <v>2044</v>
      </c>
      <c r="AK143" s="332">
        <v>2045</v>
      </c>
      <c r="AL143" s="332">
        <v>2046</v>
      </c>
      <c r="AM143" s="332">
        <v>2047</v>
      </c>
      <c r="AN143" s="332">
        <v>2048</v>
      </c>
      <c r="AO143" s="332">
        <v>2049</v>
      </c>
      <c r="AP143" s="332">
        <v>2050</v>
      </c>
      <c r="AQ143" s="332">
        <v>2051</v>
      </c>
      <c r="AR143" s="332">
        <v>2052</v>
      </c>
      <c r="AS143" s="332">
        <v>2053</v>
      </c>
      <c r="AT143" s="332">
        <v>2054</v>
      </c>
      <c r="AU143" s="332">
        <v>2055</v>
      </c>
      <c r="AV143" s="332">
        <v>2056</v>
      </c>
      <c r="AW143" s="332">
        <v>2057</v>
      </c>
      <c r="AX143" s="332">
        <v>2058</v>
      </c>
      <c r="AY143" s="333">
        <v>2059</v>
      </c>
    </row>
    <row r="144" spans="1:51">
      <c r="A144" s="334" t="s">
        <v>2896</v>
      </c>
      <c r="B144" s="339">
        <v>6.8310458518556105E-2</v>
      </c>
      <c r="C144" s="340">
        <v>6.6934254603542631E-2</v>
      </c>
      <c r="D144" s="340">
        <v>6.5592258751792754E-2</v>
      </c>
      <c r="E144" s="340">
        <v>6.5435755251657166E-2</v>
      </c>
      <c r="F144" s="340">
        <v>6.5279251751521564E-2</v>
      </c>
      <c r="G144" s="340">
        <v>6.5131643636398229E-2</v>
      </c>
      <c r="H144" s="340">
        <v>6.5288147136533831E-2</v>
      </c>
      <c r="I144" s="340">
        <v>6.5451665544625004E-2</v>
      </c>
      <c r="J144" s="340">
        <v>6.560628856770391E-2</v>
      </c>
      <c r="K144" s="340">
        <v>6.5771687452851779E-2</v>
      </c>
      <c r="L144" s="340">
        <v>6.5935205860942953E-2</v>
      </c>
      <c r="M144" s="340">
        <v>6.6091709361078541E-2</v>
      </c>
      <c r="N144" s="340">
        <v>6.6255227769169728E-2</v>
      </c>
      <c r="O144" s="340">
        <v>6.642062665431761E-2</v>
      </c>
      <c r="P144" s="340">
        <v>6.6586025539465465E-2</v>
      </c>
      <c r="Q144" s="340">
        <v>6.6586025539465465E-2</v>
      </c>
      <c r="R144" s="340">
        <v>6.6586025539465465E-2</v>
      </c>
      <c r="S144" s="340">
        <v>6.6586025539465465E-2</v>
      </c>
      <c r="T144" s="340">
        <v>6.6586025539465465E-2</v>
      </c>
      <c r="U144" s="340">
        <v>6.6586025539465465E-2</v>
      </c>
      <c r="V144" s="340">
        <v>6.6586025539465465E-2</v>
      </c>
      <c r="W144" s="340">
        <v>6.6586025539465465E-2</v>
      </c>
      <c r="X144" s="340">
        <v>6.6586025539465465E-2</v>
      </c>
      <c r="Y144" s="340">
        <v>6.6586025539465465E-2</v>
      </c>
      <c r="Z144" s="340">
        <v>6.6586025539465465E-2</v>
      </c>
      <c r="AA144" s="340">
        <v>6.6586025539465465E-2</v>
      </c>
      <c r="AB144" s="340">
        <v>6.6586025539465465E-2</v>
      </c>
      <c r="AC144" s="340">
        <v>6.6586025539465465E-2</v>
      </c>
      <c r="AD144" s="340">
        <v>6.6586025539465465E-2</v>
      </c>
      <c r="AE144" s="340">
        <v>6.6586025539465465E-2</v>
      </c>
      <c r="AF144" s="340">
        <v>6.6586025539465465E-2</v>
      </c>
      <c r="AG144" s="340">
        <v>6.6586025539465465E-2</v>
      </c>
      <c r="AH144" s="340">
        <v>6.6586025539465465E-2</v>
      </c>
      <c r="AI144" s="340">
        <v>6.6586025539465465E-2</v>
      </c>
      <c r="AJ144" s="340">
        <v>6.6586025539465465E-2</v>
      </c>
      <c r="AK144" s="340">
        <v>6.6586025539465465E-2</v>
      </c>
      <c r="AL144" s="340">
        <v>6.6586025539465465E-2</v>
      </c>
      <c r="AM144" s="340">
        <v>6.6586025539465465E-2</v>
      </c>
      <c r="AN144" s="340">
        <v>6.6586025539465465E-2</v>
      </c>
      <c r="AO144" s="340">
        <v>6.6586025539465465E-2</v>
      </c>
      <c r="AP144" s="340">
        <v>6.6586025539465465E-2</v>
      </c>
      <c r="AQ144" s="340">
        <v>6.6586025539465465E-2</v>
      </c>
      <c r="AR144" s="340">
        <v>6.6586025539465465E-2</v>
      </c>
      <c r="AS144" s="340">
        <v>6.6586025539465465E-2</v>
      </c>
      <c r="AT144" s="340">
        <v>6.6586025539465465E-2</v>
      </c>
      <c r="AU144" s="340">
        <v>6.6586025539465465E-2</v>
      </c>
      <c r="AV144" s="340">
        <v>6.6586025539465465E-2</v>
      </c>
      <c r="AW144" s="340">
        <v>6.6586025539465465E-2</v>
      </c>
      <c r="AX144" s="340">
        <v>6.6586025539465465E-2</v>
      </c>
      <c r="AY144" s="340">
        <v>6.6586025539465465E-2</v>
      </c>
    </row>
    <row r="145" spans="1:51">
      <c r="A145" s="338" t="s">
        <v>2897</v>
      </c>
      <c r="B145" s="339">
        <v>85.398706896551715</v>
      </c>
      <c r="C145" s="340">
        <v>92.53232758620689</v>
      </c>
      <c r="D145" s="340">
        <v>99.234913793103431</v>
      </c>
      <c r="E145" s="340">
        <v>105.54956896551724</v>
      </c>
      <c r="F145" s="340">
        <v>111.48706896551724</v>
      </c>
      <c r="G145" s="340">
        <v>117.06896551724137</v>
      </c>
      <c r="H145" s="340">
        <v>122.32758620689654</v>
      </c>
      <c r="I145" s="340">
        <v>127.26293103448276</v>
      </c>
      <c r="J145" s="340">
        <v>131.90732758620689</v>
      </c>
      <c r="K145" s="340">
        <v>136.27155172413794</v>
      </c>
      <c r="L145" s="340">
        <v>140.36637931034483</v>
      </c>
      <c r="M145" s="340">
        <v>144.21336206896549</v>
      </c>
      <c r="N145" s="340">
        <v>144.21336206896549</v>
      </c>
      <c r="O145" s="340">
        <v>144.21336206896549</v>
      </c>
      <c r="P145" s="340">
        <v>144.21336206896549</v>
      </c>
      <c r="Q145" s="340">
        <v>144.21336206896549</v>
      </c>
      <c r="R145" s="340">
        <v>144.21336206896549</v>
      </c>
      <c r="S145" s="340">
        <v>144.21336206896549</v>
      </c>
      <c r="T145" s="340">
        <v>144.21336206896549</v>
      </c>
      <c r="U145" s="340">
        <v>144.21336206896549</v>
      </c>
      <c r="V145" s="340">
        <v>144.21336206896549</v>
      </c>
      <c r="W145" s="340">
        <v>144.21336206896549</v>
      </c>
      <c r="X145" s="340">
        <v>144.21336206896549</v>
      </c>
      <c r="Y145" s="340">
        <v>144.21336206896549</v>
      </c>
      <c r="Z145" s="340">
        <v>144.21336206896549</v>
      </c>
      <c r="AA145" s="340">
        <v>144.21336206896549</v>
      </c>
      <c r="AB145" s="340">
        <v>144.21336206896549</v>
      </c>
      <c r="AC145" s="340">
        <v>144.21336206896549</v>
      </c>
      <c r="AD145" s="340">
        <v>144.21336206896549</v>
      </c>
      <c r="AE145" s="340">
        <v>144.21336206896549</v>
      </c>
      <c r="AF145" s="340">
        <v>144.21336206896549</v>
      </c>
      <c r="AG145" s="340">
        <v>144.21336206896549</v>
      </c>
      <c r="AH145" s="340">
        <v>144.21336206896549</v>
      </c>
      <c r="AI145" s="340">
        <v>144.21336206896549</v>
      </c>
      <c r="AJ145" s="340">
        <v>144.21336206896549</v>
      </c>
      <c r="AK145" s="340">
        <v>144.21336206896549</v>
      </c>
      <c r="AL145" s="340">
        <v>144.21336206896549</v>
      </c>
      <c r="AM145" s="340">
        <v>144.21336206896549</v>
      </c>
      <c r="AN145" s="340">
        <v>144.21336206896549</v>
      </c>
      <c r="AO145" s="340">
        <v>144.21336206896549</v>
      </c>
      <c r="AP145" s="340">
        <v>144.21336206896549</v>
      </c>
      <c r="AQ145" s="340">
        <v>144.21336206896549</v>
      </c>
      <c r="AR145" s="340">
        <v>144.21336206896549</v>
      </c>
      <c r="AS145" s="340">
        <v>144.21336206896549</v>
      </c>
      <c r="AT145" s="340">
        <v>144.21336206896549</v>
      </c>
      <c r="AU145" s="340">
        <v>144.21336206896549</v>
      </c>
      <c r="AV145" s="340">
        <v>144.21336206896549</v>
      </c>
      <c r="AW145" s="340">
        <v>144.21336206896549</v>
      </c>
      <c r="AX145" s="340">
        <v>144.21336206896549</v>
      </c>
      <c r="AY145" s="340">
        <v>144.21336206896549</v>
      </c>
    </row>
    <row r="146" spans="1:51">
      <c r="A146" s="338" t="s">
        <v>2898</v>
      </c>
      <c r="B146" s="358">
        <v>10.24</v>
      </c>
      <c r="C146" s="359">
        <v>10.01</v>
      </c>
      <c r="D146" s="359">
        <v>9.7899999999999991</v>
      </c>
      <c r="E146" s="359">
        <v>9.7899999999999991</v>
      </c>
      <c r="F146" s="359">
        <v>9.7899999999999991</v>
      </c>
      <c r="G146" s="359">
        <v>9.7899999999999991</v>
      </c>
      <c r="H146" s="359">
        <v>9.8699999999999992</v>
      </c>
      <c r="I146" s="359">
        <v>9.94</v>
      </c>
      <c r="J146" s="359">
        <v>10.02</v>
      </c>
      <c r="K146" s="359">
        <v>10.02</v>
      </c>
      <c r="L146" s="359">
        <v>10.02</v>
      </c>
      <c r="M146" s="359">
        <v>10.02</v>
      </c>
      <c r="N146" s="359">
        <v>10.02</v>
      </c>
      <c r="O146" s="359">
        <v>10.02</v>
      </c>
      <c r="P146" s="359">
        <v>10.02</v>
      </c>
      <c r="Q146" s="359">
        <v>10.02</v>
      </c>
      <c r="R146" s="359">
        <v>10.02</v>
      </c>
      <c r="S146" s="359">
        <v>10.02</v>
      </c>
      <c r="T146" s="359">
        <v>10.02</v>
      </c>
      <c r="U146" s="359">
        <v>10.02</v>
      </c>
      <c r="V146" s="359">
        <v>10.02</v>
      </c>
      <c r="W146" s="359">
        <v>10.02</v>
      </c>
      <c r="X146" s="359">
        <v>10.02</v>
      </c>
      <c r="Y146" s="359">
        <v>10.02</v>
      </c>
      <c r="Z146" s="359">
        <v>10.02</v>
      </c>
      <c r="AA146" s="359">
        <v>10.02</v>
      </c>
      <c r="AB146" s="359">
        <v>10.02</v>
      </c>
      <c r="AC146" s="359">
        <v>10.02</v>
      </c>
      <c r="AD146" s="359">
        <v>10.02</v>
      </c>
      <c r="AE146" s="359">
        <v>10.02</v>
      </c>
      <c r="AF146" s="359">
        <v>10.02</v>
      </c>
      <c r="AG146" s="359">
        <v>10.02</v>
      </c>
      <c r="AH146" s="359">
        <v>10.02</v>
      </c>
      <c r="AI146" s="359">
        <v>10.02</v>
      </c>
      <c r="AJ146" s="359">
        <v>10.02</v>
      </c>
      <c r="AK146" s="359">
        <v>10.02</v>
      </c>
      <c r="AL146" s="359">
        <v>10.02</v>
      </c>
      <c r="AM146" s="359">
        <v>10.02</v>
      </c>
      <c r="AN146" s="359">
        <v>10.02</v>
      </c>
      <c r="AO146" s="359">
        <v>10.02</v>
      </c>
      <c r="AP146" s="359">
        <v>10.02</v>
      </c>
      <c r="AQ146" s="359">
        <v>10.02</v>
      </c>
      <c r="AR146" s="359">
        <v>10.02</v>
      </c>
      <c r="AS146" s="359">
        <v>10.02</v>
      </c>
      <c r="AT146" s="359">
        <v>10.02</v>
      </c>
      <c r="AU146" s="359">
        <v>10.02</v>
      </c>
      <c r="AV146" s="359">
        <v>10.02</v>
      </c>
      <c r="AW146" s="359">
        <v>10.02</v>
      </c>
      <c r="AX146" s="359">
        <v>10.02</v>
      </c>
      <c r="AY146" s="360">
        <v>10.02</v>
      </c>
    </row>
    <row r="147" spans="1:51">
      <c r="A147" s="338" t="s">
        <v>2899</v>
      </c>
      <c r="B147" s="358">
        <v>9.4525000000000006</v>
      </c>
      <c r="C147" s="359">
        <v>9.2341666666666669</v>
      </c>
      <c r="D147" s="359">
        <v>9.02</v>
      </c>
      <c r="E147" s="359">
        <v>9.02</v>
      </c>
      <c r="F147" s="359">
        <v>9.02</v>
      </c>
      <c r="G147" s="359">
        <v>9.02</v>
      </c>
      <c r="H147" s="359">
        <v>9.0941666666666663</v>
      </c>
      <c r="I147" s="359">
        <v>9.2441666666666666</v>
      </c>
      <c r="J147" s="359">
        <v>9.2441666666666666</v>
      </c>
      <c r="K147" s="359">
        <v>9.2441666666666666</v>
      </c>
      <c r="L147" s="359">
        <v>9.2441666666666666</v>
      </c>
      <c r="M147" s="359">
        <v>9.2441666666666666</v>
      </c>
      <c r="N147" s="359">
        <v>9.2441666666666666</v>
      </c>
      <c r="O147" s="359">
        <v>9.2441666666666666</v>
      </c>
      <c r="P147" s="359">
        <v>9.2441666666666666</v>
      </c>
      <c r="Q147" s="359">
        <v>9.2441666666666666</v>
      </c>
      <c r="R147" s="359">
        <v>9.2441666666666666</v>
      </c>
      <c r="S147" s="359">
        <v>9.2441666666666666</v>
      </c>
      <c r="T147" s="359">
        <v>9.2441666666666666</v>
      </c>
      <c r="U147" s="359">
        <v>9.2441666666666666</v>
      </c>
      <c r="V147" s="359">
        <v>9.2441666666666666</v>
      </c>
      <c r="W147" s="359">
        <v>9.2441666666666666</v>
      </c>
      <c r="X147" s="359">
        <v>9.2441666666666666</v>
      </c>
      <c r="Y147" s="359">
        <v>9.2441666666666666</v>
      </c>
      <c r="Z147" s="359">
        <v>9.2441666666666666</v>
      </c>
      <c r="AA147" s="359">
        <v>9.2441666666666666</v>
      </c>
      <c r="AB147" s="359">
        <v>9.2441666666666666</v>
      </c>
      <c r="AC147" s="359">
        <v>9.2441666666666666</v>
      </c>
      <c r="AD147" s="359">
        <v>9.2441666666666666</v>
      </c>
      <c r="AE147" s="359">
        <v>9.2441666666666666</v>
      </c>
      <c r="AF147" s="359">
        <v>9.2441666666666666</v>
      </c>
      <c r="AG147" s="359">
        <v>9.2441666666666666</v>
      </c>
      <c r="AH147" s="359">
        <v>9.2441666666666666</v>
      </c>
      <c r="AI147" s="359">
        <v>9.2441666666666666</v>
      </c>
      <c r="AJ147" s="359">
        <v>9.2441666666666666</v>
      </c>
      <c r="AK147" s="359">
        <v>9.2441666666666666</v>
      </c>
      <c r="AL147" s="359">
        <v>9.2441666666666666</v>
      </c>
      <c r="AM147" s="359">
        <v>9.2441666666666666</v>
      </c>
      <c r="AN147" s="359">
        <v>9.2441666666666666</v>
      </c>
      <c r="AO147" s="359">
        <v>9.2441666666666666</v>
      </c>
      <c r="AP147" s="359">
        <v>9.2441666666666666</v>
      </c>
      <c r="AQ147" s="359">
        <v>9.2441666666666666</v>
      </c>
      <c r="AR147" s="359">
        <v>9.2441666666666666</v>
      </c>
      <c r="AS147" s="359">
        <v>9.2441666666666666</v>
      </c>
      <c r="AT147" s="359">
        <v>9.2441666666666666</v>
      </c>
      <c r="AU147" s="359">
        <v>9.2441666666666666</v>
      </c>
      <c r="AV147" s="359">
        <v>9.2441666666666666</v>
      </c>
      <c r="AW147" s="359">
        <v>9.2441666666666666</v>
      </c>
      <c r="AX147" s="359">
        <v>9.2441666666666702</v>
      </c>
      <c r="AY147" s="360">
        <v>9.2441666666666702</v>
      </c>
    </row>
    <row r="148" spans="1:51">
      <c r="A148" s="338" t="s">
        <v>2887</v>
      </c>
      <c r="B148" s="342">
        <v>6.2842588284472054</v>
      </c>
      <c r="C148" s="343">
        <v>6.8383434812431512</v>
      </c>
      <c r="D148" s="343">
        <v>7.1275036881476561</v>
      </c>
      <c r="E148" s="343">
        <v>7.3517937696168021</v>
      </c>
      <c r="F148" s="343">
        <v>7.5350521097572987</v>
      </c>
      <c r="G148" s="343">
        <v>7.6899948286185555</v>
      </c>
      <c r="H148" s="343">
        <v>7.8242123166618027</v>
      </c>
      <c r="I148" s="343">
        <v>9.17</v>
      </c>
      <c r="J148" s="343">
        <v>8.3122147120447227</v>
      </c>
      <c r="K148" s="343">
        <v>8.3867034571327022</v>
      </c>
      <c r="L148" s="343">
        <v>8.4560508197405948</v>
      </c>
      <c r="M148" s="343">
        <v>8.5209209451759538</v>
      </c>
      <c r="N148" s="343">
        <v>8.5818570613494281</v>
      </c>
      <c r="O148" s="343">
        <v>8.6057375436489494</v>
      </c>
      <c r="P148" s="343">
        <v>8.6071420683686046</v>
      </c>
      <c r="Q148" s="343">
        <v>8.6071420683686046</v>
      </c>
      <c r="R148" s="343">
        <v>8.6814020669464895</v>
      </c>
      <c r="S148" s="343">
        <v>8.7410874140605106</v>
      </c>
      <c r="T148" s="343">
        <v>8.8007727611745192</v>
      </c>
      <c r="U148" s="343">
        <v>8.8007727611745192</v>
      </c>
      <c r="V148" s="343">
        <v>8.8007727611745192</v>
      </c>
      <c r="W148" s="343">
        <v>8.8007727611745192</v>
      </c>
      <c r="X148" s="343">
        <v>8.8007727611745192</v>
      </c>
      <c r="Y148" s="343">
        <v>8.8007727611745192</v>
      </c>
      <c r="Z148" s="343">
        <v>8.8007727611745192</v>
      </c>
      <c r="AA148" s="343">
        <v>8.8007727611745192</v>
      </c>
      <c r="AB148" s="343">
        <v>8.8007727611745192</v>
      </c>
      <c r="AC148" s="343">
        <v>8.8007727611745192</v>
      </c>
      <c r="AD148" s="343">
        <v>8.8007727611745192</v>
      </c>
      <c r="AE148" s="343">
        <v>8.8007727611745192</v>
      </c>
      <c r="AF148" s="343">
        <v>8.8007727611745192</v>
      </c>
      <c r="AG148" s="343">
        <v>8.8007727611745192</v>
      </c>
      <c r="AH148" s="343">
        <v>8.8007727611745192</v>
      </c>
      <c r="AI148" s="343">
        <v>8.8007727611745192</v>
      </c>
      <c r="AJ148" s="343">
        <v>8.8007727611745192</v>
      </c>
      <c r="AK148" s="343">
        <v>8.8007727611745192</v>
      </c>
      <c r="AL148" s="343">
        <v>8.8007727611745192</v>
      </c>
      <c r="AM148" s="343">
        <v>8.8007727611745192</v>
      </c>
      <c r="AN148" s="343">
        <v>8.8007727611745192</v>
      </c>
      <c r="AO148" s="343">
        <v>8.8007727611745192</v>
      </c>
      <c r="AP148" s="343">
        <v>8.8007727611745192</v>
      </c>
      <c r="AQ148" s="343">
        <v>8.8007727611745192</v>
      </c>
      <c r="AR148" s="343">
        <v>8.8007727611745192</v>
      </c>
      <c r="AS148" s="343">
        <v>8.8007727611745192</v>
      </c>
      <c r="AT148" s="343">
        <v>8.8007727611745192</v>
      </c>
      <c r="AU148" s="343">
        <v>8.8007727611745192</v>
      </c>
      <c r="AV148" s="343">
        <v>8.8007727611745192</v>
      </c>
      <c r="AW148" s="343">
        <v>8.8007727611745192</v>
      </c>
      <c r="AX148" s="343">
        <v>8.8007727611745192</v>
      </c>
      <c r="AY148" s="344">
        <v>8.8007727611745192</v>
      </c>
    </row>
    <row r="149" spans="1:51">
      <c r="A149" s="338" t="s">
        <v>2888</v>
      </c>
      <c r="B149" s="339">
        <v>6.28E-3</v>
      </c>
      <c r="C149" s="340">
        <v>6.1999999999999998E-3</v>
      </c>
      <c r="D149" s="340">
        <v>6.1200000000000004E-3</v>
      </c>
      <c r="E149" s="340">
        <v>6.0000000000000001E-3</v>
      </c>
      <c r="F149" s="340">
        <v>5.8799999999999998E-3</v>
      </c>
      <c r="G149" s="340">
        <v>5.77E-3</v>
      </c>
      <c r="H149" s="340">
        <v>5.77E-3</v>
      </c>
      <c r="I149" s="340">
        <v>5.7599999999999995E-3</v>
      </c>
      <c r="J149" s="340">
        <v>5.7599999999999995E-3</v>
      </c>
      <c r="K149" s="340">
        <v>5.7499999999999999E-3</v>
      </c>
      <c r="L149" s="340">
        <v>5.7499999999999999E-3</v>
      </c>
      <c r="M149" s="340">
        <v>5.7499999999999999E-3</v>
      </c>
      <c r="N149" s="340">
        <v>5.7400000000000003E-3</v>
      </c>
      <c r="O149" s="340">
        <v>5.7400000000000003E-3</v>
      </c>
      <c r="P149" s="340">
        <v>5.7300000000000007E-3</v>
      </c>
      <c r="Q149" s="340">
        <v>5.7300000000000007E-3</v>
      </c>
      <c r="R149" s="340">
        <v>5.7300000000000007E-3</v>
      </c>
      <c r="S149" s="340">
        <v>5.7300000000000007E-3</v>
      </c>
      <c r="T149" s="340">
        <v>5.7300000000000007E-3</v>
      </c>
      <c r="U149" s="340">
        <v>5.7300000000000007E-3</v>
      </c>
      <c r="V149" s="340">
        <v>5.7300000000000007E-3</v>
      </c>
      <c r="W149" s="340">
        <v>5.7300000000000007E-3</v>
      </c>
      <c r="X149" s="340">
        <v>5.7300000000000007E-3</v>
      </c>
      <c r="Y149" s="340">
        <v>5.7300000000000007E-3</v>
      </c>
      <c r="Z149" s="340">
        <v>5.7300000000000007E-3</v>
      </c>
      <c r="AA149" s="340">
        <v>5.7300000000000007E-3</v>
      </c>
      <c r="AB149" s="340">
        <v>5.7300000000000007E-3</v>
      </c>
      <c r="AC149" s="340">
        <v>5.7300000000000007E-3</v>
      </c>
      <c r="AD149" s="340">
        <v>5.7300000000000007E-3</v>
      </c>
      <c r="AE149" s="340">
        <v>5.7300000000000007E-3</v>
      </c>
      <c r="AF149" s="340">
        <v>5.7300000000000007E-3</v>
      </c>
      <c r="AG149" s="340">
        <v>5.7300000000000007E-3</v>
      </c>
      <c r="AH149" s="340">
        <v>5.7300000000000007E-3</v>
      </c>
      <c r="AI149" s="340">
        <v>5.7300000000000007E-3</v>
      </c>
      <c r="AJ149" s="340">
        <v>5.7300000000000007E-3</v>
      </c>
      <c r="AK149" s="340">
        <v>5.7300000000000007E-3</v>
      </c>
      <c r="AL149" s="340">
        <v>5.7300000000000007E-3</v>
      </c>
      <c r="AM149" s="340">
        <v>5.7300000000000007E-3</v>
      </c>
      <c r="AN149" s="340">
        <v>5.7300000000000007E-3</v>
      </c>
      <c r="AO149" s="340">
        <v>5.7300000000000007E-3</v>
      </c>
      <c r="AP149" s="340">
        <v>5.7300000000000007E-3</v>
      </c>
      <c r="AQ149" s="340">
        <v>5.7300000000000007E-3</v>
      </c>
      <c r="AR149" s="340">
        <v>5.7300000000000007E-3</v>
      </c>
      <c r="AS149" s="340">
        <v>5.7300000000000007E-3</v>
      </c>
      <c r="AT149" s="340">
        <v>5.7300000000000007E-3</v>
      </c>
      <c r="AU149" s="340">
        <v>5.7300000000000007E-3</v>
      </c>
      <c r="AV149" s="340">
        <v>5.7300000000000007E-3</v>
      </c>
      <c r="AW149" s="340">
        <v>5.7300000000000007E-3</v>
      </c>
      <c r="AX149" s="340">
        <v>5.7300000000000007E-3</v>
      </c>
      <c r="AY149" s="341">
        <v>5.7300000000000007E-3</v>
      </c>
    </row>
    <row r="150" spans="1:51">
      <c r="A150" s="338" t="s">
        <v>2889</v>
      </c>
      <c r="B150" s="342">
        <f>(58.5/1000)*15</f>
        <v>0.87750000000000006</v>
      </c>
      <c r="C150" s="343">
        <f t="shared" ref="C150:AD151" si="61">(58.5/1000)*15</f>
        <v>0.87750000000000006</v>
      </c>
      <c r="D150" s="343">
        <f t="shared" si="61"/>
        <v>0.87750000000000006</v>
      </c>
      <c r="E150" s="343">
        <f t="shared" si="61"/>
        <v>0.87750000000000006</v>
      </c>
      <c r="F150" s="343">
        <f t="shared" si="61"/>
        <v>0.87750000000000006</v>
      </c>
      <c r="G150" s="343">
        <f t="shared" si="61"/>
        <v>0.87750000000000006</v>
      </c>
      <c r="H150" s="343">
        <f t="shared" si="61"/>
        <v>0.87750000000000006</v>
      </c>
      <c r="I150" s="343">
        <f t="shared" si="61"/>
        <v>0.87750000000000006</v>
      </c>
      <c r="J150" s="343">
        <f t="shared" si="61"/>
        <v>0.87750000000000006</v>
      </c>
      <c r="K150" s="343">
        <f t="shared" si="61"/>
        <v>0.87750000000000006</v>
      </c>
      <c r="L150" s="343">
        <f t="shared" si="61"/>
        <v>0.87750000000000006</v>
      </c>
      <c r="M150" s="343">
        <f t="shared" si="61"/>
        <v>0.87750000000000006</v>
      </c>
      <c r="N150" s="343">
        <f t="shared" si="61"/>
        <v>0.87750000000000006</v>
      </c>
      <c r="O150" s="343">
        <f t="shared" si="61"/>
        <v>0.87750000000000006</v>
      </c>
      <c r="P150" s="343">
        <f t="shared" si="61"/>
        <v>0.87750000000000006</v>
      </c>
      <c r="Q150" s="343">
        <f t="shared" si="61"/>
        <v>0.87750000000000006</v>
      </c>
      <c r="R150" s="343">
        <f t="shared" si="61"/>
        <v>0.87750000000000006</v>
      </c>
      <c r="S150" s="343">
        <f t="shared" si="61"/>
        <v>0.87750000000000006</v>
      </c>
      <c r="T150" s="343">
        <f t="shared" si="61"/>
        <v>0.87750000000000006</v>
      </c>
      <c r="U150" s="343">
        <f t="shared" si="61"/>
        <v>0.87750000000000006</v>
      </c>
      <c r="V150" s="343">
        <f t="shared" si="61"/>
        <v>0.87750000000000006</v>
      </c>
      <c r="W150" s="343">
        <f t="shared" si="61"/>
        <v>0.87750000000000006</v>
      </c>
      <c r="X150" s="343">
        <f t="shared" si="61"/>
        <v>0.87750000000000006</v>
      </c>
      <c r="Y150" s="343">
        <f t="shared" si="61"/>
        <v>0.87750000000000006</v>
      </c>
      <c r="Z150" s="343">
        <f t="shared" si="61"/>
        <v>0.87750000000000006</v>
      </c>
      <c r="AA150" s="343">
        <f t="shared" si="61"/>
        <v>0.87750000000000006</v>
      </c>
      <c r="AB150" s="343">
        <f t="shared" si="61"/>
        <v>0.87750000000000006</v>
      </c>
      <c r="AC150" s="343">
        <f t="shared" si="61"/>
        <v>0.87750000000000006</v>
      </c>
      <c r="AD150" s="343">
        <f t="shared" si="61"/>
        <v>0.87750000000000006</v>
      </c>
      <c r="AE150" s="343">
        <f>(58.5/1000)*15</f>
        <v>0.87750000000000006</v>
      </c>
      <c r="AF150" s="343">
        <f t="shared" ref="AF150:AY151" si="62">(58.5/1000)*15</f>
        <v>0.87750000000000006</v>
      </c>
      <c r="AG150" s="343">
        <f t="shared" si="62"/>
        <v>0.87750000000000006</v>
      </c>
      <c r="AH150" s="343">
        <f t="shared" si="62"/>
        <v>0.87750000000000006</v>
      </c>
      <c r="AI150" s="343">
        <f t="shared" si="62"/>
        <v>0.87750000000000006</v>
      </c>
      <c r="AJ150" s="343">
        <f t="shared" si="62"/>
        <v>0.87750000000000006</v>
      </c>
      <c r="AK150" s="343">
        <f t="shared" si="62"/>
        <v>0.87750000000000006</v>
      </c>
      <c r="AL150" s="343">
        <f t="shared" si="62"/>
        <v>0.87750000000000006</v>
      </c>
      <c r="AM150" s="343">
        <f t="shared" si="62"/>
        <v>0.87750000000000006</v>
      </c>
      <c r="AN150" s="343">
        <f t="shared" si="62"/>
        <v>0.87750000000000006</v>
      </c>
      <c r="AO150" s="343">
        <f t="shared" si="62"/>
        <v>0.87750000000000006</v>
      </c>
      <c r="AP150" s="343">
        <f t="shared" si="62"/>
        <v>0.87750000000000006</v>
      </c>
      <c r="AQ150" s="343">
        <f t="shared" si="62"/>
        <v>0.87750000000000006</v>
      </c>
      <c r="AR150" s="343">
        <f t="shared" si="62"/>
        <v>0.87750000000000006</v>
      </c>
      <c r="AS150" s="343">
        <f t="shared" si="62"/>
        <v>0.87750000000000006</v>
      </c>
      <c r="AT150" s="343">
        <f t="shared" si="62"/>
        <v>0.87750000000000006</v>
      </c>
      <c r="AU150" s="343">
        <f t="shared" si="62"/>
        <v>0.87750000000000006</v>
      </c>
      <c r="AV150" s="343">
        <f t="shared" si="62"/>
        <v>0.87750000000000006</v>
      </c>
      <c r="AW150" s="343">
        <f t="shared" si="62"/>
        <v>0.87750000000000006</v>
      </c>
      <c r="AX150" s="343">
        <f t="shared" si="62"/>
        <v>0.87750000000000006</v>
      </c>
      <c r="AY150" s="344">
        <f t="shared" si="62"/>
        <v>0.87750000000000006</v>
      </c>
    </row>
    <row r="151" spans="1:51" ht="12.75" thickBot="1">
      <c r="A151" s="345" t="s">
        <v>2890</v>
      </c>
      <c r="B151" s="346">
        <f>(58.5/1000)*15</f>
        <v>0.87750000000000006</v>
      </c>
      <c r="C151" s="347">
        <f t="shared" si="61"/>
        <v>0.87750000000000006</v>
      </c>
      <c r="D151" s="347">
        <f t="shared" si="61"/>
        <v>0.87750000000000006</v>
      </c>
      <c r="E151" s="347">
        <f t="shared" si="61"/>
        <v>0.87750000000000006</v>
      </c>
      <c r="F151" s="347">
        <f t="shared" si="61"/>
        <v>0.87750000000000006</v>
      </c>
      <c r="G151" s="347">
        <f t="shared" si="61"/>
        <v>0.87750000000000006</v>
      </c>
      <c r="H151" s="347">
        <f t="shared" si="61"/>
        <v>0.87750000000000006</v>
      </c>
      <c r="I151" s="347">
        <f t="shared" si="61"/>
        <v>0.87750000000000006</v>
      </c>
      <c r="J151" s="347">
        <f t="shared" si="61"/>
        <v>0.87750000000000006</v>
      </c>
      <c r="K151" s="347">
        <f t="shared" si="61"/>
        <v>0.87750000000000006</v>
      </c>
      <c r="L151" s="347">
        <f t="shared" si="61"/>
        <v>0.87750000000000006</v>
      </c>
      <c r="M151" s="347">
        <f t="shared" si="61"/>
        <v>0.87750000000000006</v>
      </c>
      <c r="N151" s="347">
        <f t="shared" si="61"/>
        <v>0.87750000000000006</v>
      </c>
      <c r="O151" s="347">
        <f t="shared" si="61"/>
        <v>0.87750000000000006</v>
      </c>
      <c r="P151" s="347">
        <f t="shared" si="61"/>
        <v>0.87750000000000006</v>
      </c>
      <c r="Q151" s="347">
        <f t="shared" si="61"/>
        <v>0.87750000000000006</v>
      </c>
      <c r="R151" s="347">
        <f t="shared" si="61"/>
        <v>0.87750000000000006</v>
      </c>
      <c r="S151" s="347">
        <f t="shared" si="61"/>
        <v>0.87750000000000006</v>
      </c>
      <c r="T151" s="347">
        <f t="shared" si="61"/>
        <v>0.87750000000000006</v>
      </c>
      <c r="U151" s="347">
        <f t="shared" si="61"/>
        <v>0.87750000000000006</v>
      </c>
      <c r="V151" s="347">
        <f t="shared" si="61"/>
        <v>0.87750000000000006</v>
      </c>
      <c r="W151" s="347">
        <f t="shared" si="61"/>
        <v>0.87750000000000006</v>
      </c>
      <c r="X151" s="347">
        <f t="shared" si="61"/>
        <v>0.87750000000000006</v>
      </c>
      <c r="Y151" s="347">
        <f t="shared" si="61"/>
        <v>0.87750000000000006</v>
      </c>
      <c r="Z151" s="347">
        <f t="shared" si="61"/>
        <v>0.87750000000000006</v>
      </c>
      <c r="AA151" s="347">
        <f t="shared" si="61"/>
        <v>0.87750000000000006</v>
      </c>
      <c r="AB151" s="347">
        <f t="shared" si="61"/>
        <v>0.87750000000000006</v>
      </c>
      <c r="AC151" s="347">
        <f t="shared" si="61"/>
        <v>0.87750000000000006</v>
      </c>
      <c r="AD151" s="347">
        <f t="shared" si="61"/>
        <v>0.87750000000000006</v>
      </c>
      <c r="AE151" s="347">
        <f>(58.5/1000)*15</f>
        <v>0.87750000000000006</v>
      </c>
      <c r="AF151" s="347">
        <f t="shared" si="62"/>
        <v>0.87750000000000006</v>
      </c>
      <c r="AG151" s="347">
        <f t="shared" si="62"/>
        <v>0.87750000000000006</v>
      </c>
      <c r="AH151" s="347">
        <f t="shared" si="62"/>
        <v>0.87750000000000006</v>
      </c>
      <c r="AI151" s="347">
        <f t="shared" si="62"/>
        <v>0.87750000000000006</v>
      </c>
      <c r="AJ151" s="347">
        <f t="shared" si="62"/>
        <v>0.87750000000000006</v>
      </c>
      <c r="AK151" s="347">
        <f t="shared" si="62"/>
        <v>0.87750000000000006</v>
      </c>
      <c r="AL151" s="347">
        <f t="shared" si="62"/>
        <v>0.87750000000000006</v>
      </c>
      <c r="AM151" s="347">
        <f t="shared" si="62"/>
        <v>0.87750000000000006</v>
      </c>
      <c r="AN151" s="347">
        <f t="shared" si="62"/>
        <v>0.87750000000000006</v>
      </c>
      <c r="AO151" s="347">
        <f t="shared" si="62"/>
        <v>0.87750000000000006</v>
      </c>
      <c r="AP151" s="347">
        <f t="shared" si="62"/>
        <v>0.87750000000000006</v>
      </c>
      <c r="AQ151" s="347">
        <f t="shared" si="62"/>
        <v>0.87750000000000006</v>
      </c>
      <c r="AR151" s="347">
        <f t="shared" si="62"/>
        <v>0.87750000000000006</v>
      </c>
      <c r="AS151" s="347">
        <f t="shared" si="62"/>
        <v>0.87750000000000006</v>
      </c>
      <c r="AT151" s="347">
        <f t="shared" si="62"/>
        <v>0.87750000000000006</v>
      </c>
      <c r="AU151" s="347">
        <f t="shared" si="62"/>
        <v>0.87750000000000006</v>
      </c>
      <c r="AV151" s="347">
        <f t="shared" si="62"/>
        <v>0.87750000000000006</v>
      </c>
      <c r="AW151" s="347">
        <f t="shared" si="62"/>
        <v>0.87750000000000006</v>
      </c>
      <c r="AX151" s="347">
        <f t="shared" si="62"/>
        <v>0.87750000000000006</v>
      </c>
      <c r="AY151" s="348">
        <f t="shared" si="62"/>
        <v>0.87750000000000006</v>
      </c>
    </row>
    <row r="152" spans="1:51">
      <c r="B152" s="325"/>
      <c r="C152" s="325"/>
      <c r="D152" s="325"/>
      <c r="E152" s="325"/>
      <c r="F152" s="325"/>
      <c r="G152" s="325"/>
      <c r="H152" s="325"/>
      <c r="I152" s="325"/>
      <c r="J152" s="325"/>
      <c r="K152" s="325"/>
      <c r="L152" s="325"/>
      <c r="M152" s="325"/>
      <c r="N152" s="325"/>
      <c r="O152" s="325"/>
      <c r="P152" s="325"/>
      <c r="Q152" s="325"/>
      <c r="R152" s="325"/>
      <c r="S152" s="325"/>
      <c r="T152" s="325"/>
      <c r="U152" s="325"/>
      <c r="V152" s="325"/>
      <c r="W152" s="325"/>
      <c r="X152" s="325"/>
      <c r="Y152" s="325"/>
      <c r="Z152" s="325"/>
      <c r="AA152" s="325"/>
      <c r="AB152" s="325"/>
      <c r="AC152" s="325"/>
      <c r="AD152" s="325"/>
      <c r="AE152" s="325"/>
    </row>
    <row r="153" spans="1:51" ht="15.75" thickBot="1">
      <c r="A153" s="329" t="s">
        <v>2891</v>
      </c>
      <c r="B153" s="325"/>
      <c r="C153" s="325"/>
      <c r="D153" s="325"/>
      <c r="E153" s="325"/>
      <c r="F153" s="325"/>
      <c r="G153" s="325"/>
      <c r="H153" s="325"/>
      <c r="I153" s="325"/>
      <c r="J153" s="325"/>
      <c r="K153" s="325"/>
      <c r="L153" s="325"/>
      <c r="M153" s="325"/>
      <c r="N153" s="325"/>
      <c r="O153" s="325"/>
      <c r="P153" s="325"/>
      <c r="Q153" s="325"/>
      <c r="R153" s="325"/>
      <c r="S153" s="325"/>
      <c r="T153" s="325"/>
      <c r="U153" s="325"/>
      <c r="V153" s="325"/>
      <c r="W153" s="325"/>
      <c r="X153" s="325"/>
      <c r="Y153" s="325"/>
      <c r="Z153" s="325"/>
      <c r="AA153" s="325"/>
      <c r="AB153" s="325"/>
      <c r="AC153" s="325"/>
      <c r="AD153" s="325"/>
      <c r="AE153" s="325"/>
    </row>
    <row r="154" spans="1:51" ht="12.75" thickBot="1">
      <c r="A154" s="330" t="s">
        <v>2886</v>
      </c>
      <c r="B154" s="331">
        <v>1</v>
      </c>
      <c r="C154" s="332">
        <v>2</v>
      </c>
      <c r="D154" s="332">
        <v>3</v>
      </c>
      <c r="E154" s="332">
        <v>4</v>
      </c>
      <c r="F154" s="332">
        <v>5</v>
      </c>
      <c r="G154" s="332">
        <v>6</v>
      </c>
      <c r="H154" s="332">
        <v>7</v>
      </c>
      <c r="I154" s="332">
        <v>8</v>
      </c>
      <c r="J154" s="332">
        <v>9</v>
      </c>
      <c r="K154" s="332">
        <v>10</v>
      </c>
      <c r="L154" s="332">
        <v>11</v>
      </c>
      <c r="M154" s="332">
        <v>12</v>
      </c>
      <c r="N154" s="332">
        <v>13</v>
      </c>
      <c r="O154" s="332">
        <v>14</v>
      </c>
      <c r="P154" s="332">
        <v>15</v>
      </c>
      <c r="Q154" s="332">
        <v>16</v>
      </c>
      <c r="R154" s="332">
        <v>17</v>
      </c>
      <c r="S154" s="332">
        <v>18</v>
      </c>
      <c r="T154" s="332">
        <v>19</v>
      </c>
      <c r="U154" s="332">
        <v>20</v>
      </c>
      <c r="V154" s="332">
        <v>21</v>
      </c>
      <c r="W154" s="332">
        <v>22</v>
      </c>
      <c r="X154" s="332">
        <v>23</v>
      </c>
      <c r="Y154" s="332">
        <v>24</v>
      </c>
      <c r="Z154" s="332">
        <v>25</v>
      </c>
      <c r="AA154" s="332">
        <v>26</v>
      </c>
      <c r="AB154" s="332">
        <v>27</v>
      </c>
      <c r="AC154" s="332">
        <v>28</v>
      </c>
      <c r="AD154" s="332">
        <v>29</v>
      </c>
      <c r="AE154" s="332">
        <v>30</v>
      </c>
      <c r="AF154" s="332">
        <f t="shared" ref="AF154:AY154" si="63">AE154+1</f>
        <v>31</v>
      </c>
      <c r="AG154" s="332">
        <f t="shared" si="63"/>
        <v>32</v>
      </c>
      <c r="AH154" s="332">
        <f t="shared" si="63"/>
        <v>33</v>
      </c>
      <c r="AI154" s="332">
        <f t="shared" si="63"/>
        <v>34</v>
      </c>
      <c r="AJ154" s="332">
        <f t="shared" si="63"/>
        <v>35</v>
      </c>
      <c r="AK154" s="332">
        <f t="shared" si="63"/>
        <v>36</v>
      </c>
      <c r="AL154" s="332">
        <f t="shared" si="63"/>
        <v>37</v>
      </c>
      <c r="AM154" s="332">
        <f t="shared" si="63"/>
        <v>38</v>
      </c>
      <c r="AN154" s="332">
        <f t="shared" si="63"/>
        <v>39</v>
      </c>
      <c r="AO154" s="332">
        <f t="shared" si="63"/>
        <v>40</v>
      </c>
      <c r="AP154" s="332">
        <f t="shared" si="63"/>
        <v>41</v>
      </c>
      <c r="AQ154" s="332">
        <f t="shared" si="63"/>
        <v>42</v>
      </c>
      <c r="AR154" s="332">
        <f t="shared" si="63"/>
        <v>43</v>
      </c>
      <c r="AS154" s="332">
        <f t="shared" si="63"/>
        <v>44</v>
      </c>
      <c r="AT154" s="332">
        <f t="shared" si="63"/>
        <v>45</v>
      </c>
      <c r="AU154" s="332">
        <f t="shared" si="63"/>
        <v>46</v>
      </c>
      <c r="AV154" s="332">
        <f t="shared" si="63"/>
        <v>47</v>
      </c>
      <c r="AW154" s="332">
        <f t="shared" si="63"/>
        <v>48</v>
      </c>
      <c r="AX154" s="332">
        <f t="shared" si="63"/>
        <v>49</v>
      </c>
      <c r="AY154" s="333">
        <f t="shared" si="63"/>
        <v>50</v>
      </c>
    </row>
    <row r="155" spans="1:51">
      <c r="A155" s="334" t="s">
        <v>2908</v>
      </c>
      <c r="B155" s="335">
        <f t="shared" ref="B155:B162" si="64">B144/(1+$C$3)^(B$16-0.5)</f>
        <v>6.6506021841986604E-2</v>
      </c>
      <c r="C155" s="336">
        <f t="shared" ref="C155:AY160" si="65">(C144/(1+$C$3)^(C$16-0.5)+B155)</f>
        <v>0.12827490399744898</v>
      </c>
      <c r="D155" s="336">
        <f t="shared" si="65"/>
        <v>0.18564973740670915</v>
      </c>
      <c r="E155" s="336">
        <f t="shared" si="65"/>
        <v>0.23990370587347698</v>
      </c>
      <c r="F155" s="336">
        <f t="shared" si="65"/>
        <v>0.29120627325122672</v>
      </c>
      <c r="G155" s="336">
        <f t="shared" si="65"/>
        <v>0.33972434249937733</v>
      </c>
      <c r="H155" s="336">
        <f t="shared" si="65"/>
        <v>0.38582353901948346</v>
      </c>
      <c r="I155" s="336">
        <f t="shared" si="65"/>
        <v>0.42962889916558616</v>
      </c>
      <c r="J155" s="336">
        <f t="shared" si="65"/>
        <v>0.47124865834523672</v>
      </c>
      <c r="K155" s="336">
        <f t="shared" si="65"/>
        <v>0.51079812378440359</v>
      </c>
      <c r="L155" s="336">
        <f t="shared" si="65"/>
        <v>0.54837896873154479</v>
      </c>
      <c r="M155" s="336">
        <f t="shared" si="65"/>
        <v>0.584085174103256</v>
      </c>
      <c r="N155" s="336">
        <f t="shared" si="65"/>
        <v>0.61801365427958765</v>
      </c>
      <c r="O155" s="336">
        <f t="shared" si="65"/>
        <v>0.65025363427340055</v>
      </c>
      <c r="P155" s="336">
        <f t="shared" si="65"/>
        <v>0.6808889547833743</v>
      </c>
      <c r="Q155" s="336">
        <f t="shared" si="65"/>
        <v>0.70992717327624033</v>
      </c>
      <c r="R155" s="336">
        <f t="shared" si="65"/>
        <v>0.73745155099459681</v>
      </c>
      <c r="S155" s="336">
        <f t="shared" si="65"/>
        <v>0.76354100854754137</v>
      </c>
      <c r="T155" s="336">
        <f t="shared" si="65"/>
        <v>0.78827035219962149</v>
      </c>
      <c r="U155" s="336">
        <f t="shared" si="65"/>
        <v>0.81171048836273063</v>
      </c>
      <c r="V155" s="336">
        <f t="shared" si="65"/>
        <v>0.83392862690596203</v>
      </c>
      <c r="W155" s="336">
        <f t="shared" si="65"/>
        <v>0.85498847386637089</v>
      </c>
      <c r="X155" s="336">
        <f t="shared" si="65"/>
        <v>0.87495041411320396</v>
      </c>
      <c r="Y155" s="336">
        <f t="shared" si="65"/>
        <v>0.89387168448934906</v>
      </c>
      <c r="Z155" s="336">
        <f t="shared" si="65"/>
        <v>0.91180653792645339</v>
      </c>
      <c r="AA155" s="336">
        <f t="shared" si="65"/>
        <v>0.92880639900427742</v>
      </c>
      <c r="AB155" s="336">
        <f t="shared" si="65"/>
        <v>0.94492001140031912</v>
      </c>
      <c r="AC155" s="336">
        <f t="shared" si="65"/>
        <v>0.96019357765249136</v>
      </c>
      <c r="AD155" s="336">
        <f t="shared" si="65"/>
        <v>0.97467089163559306</v>
      </c>
      <c r="AE155" s="336">
        <f t="shared" si="65"/>
        <v>0.98839346413142404</v>
      </c>
      <c r="AF155" s="336">
        <f t="shared" si="65"/>
        <v>1.0014006418525909</v>
      </c>
      <c r="AG155" s="336">
        <f t="shared" si="65"/>
        <v>1.0137297202612798</v>
      </c>
      <c r="AH155" s="336">
        <f t="shared" si="65"/>
        <v>1.0254160505064827</v>
      </c>
      <c r="AI155" s="336">
        <f t="shared" si="65"/>
        <v>1.0364931407862956</v>
      </c>
      <c r="AJ155" s="336">
        <f t="shared" si="65"/>
        <v>1.0469927524259288</v>
      </c>
      <c r="AK155" s="336">
        <f t="shared" si="65"/>
        <v>1.0569449909469082</v>
      </c>
      <c r="AL155" s="336">
        <f t="shared" si="65"/>
        <v>1.0663783923885948</v>
      </c>
      <c r="AM155" s="336">
        <f t="shared" si="65"/>
        <v>1.07532000512953</v>
      </c>
      <c r="AN155" s="336">
        <f t="shared" si="65"/>
        <v>1.0837954674432126</v>
      </c>
      <c r="AO155" s="336">
        <f t="shared" si="65"/>
        <v>1.0918290810106843</v>
      </c>
      <c r="AP155" s="336">
        <f t="shared" si="65"/>
        <v>1.099443880600705</v>
      </c>
      <c r="AQ155" s="336">
        <f t="shared" si="65"/>
        <v>1.106661700117312</v>
      </c>
      <c r="AR155" s="336">
        <f t="shared" si="65"/>
        <v>1.1135032352041434</v>
      </c>
      <c r="AS155" s="336">
        <f t="shared" si="65"/>
        <v>1.1199881025850262</v>
      </c>
      <c r="AT155" s="336">
        <f t="shared" si="65"/>
        <v>1.1261348963109816</v>
      </c>
      <c r="AU155" s="336">
        <f t="shared" si="65"/>
        <v>1.1319612410749202</v>
      </c>
      <c r="AV155" s="336">
        <f t="shared" si="65"/>
        <v>1.1374838427469001</v>
      </c>
      <c r="AW155" s="336">
        <f t="shared" si="65"/>
        <v>1.1427185362748431</v>
      </c>
      <c r="AX155" s="336">
        <f t="shared" si="65"/>
        <v>1.1476803310880592</v>
      </c>
      <c r="AY155" s="337">
        <f t="shared" si="65"/>
        <v>1.1523834541337616</v>
      </c>
    </row>
    <row r="156" spans="1:51">
      <c r="A156" s="338" t="s">
        <v>2909</v>
      </c>
      <c r="B156" s="342">
        <f t="shared" si="64"/>
        <v>83.142880157899583</v>
      </c>
      <c r="C156" s="343">
        <f t="shared" si="65"/>
        <v>168.53441057976141</v>
      </c>
      <c r="D156" s="343">
        <f t="shared" si="65"/>
        <v>255.33713327310039</v>
      </c>
      <c r="E156" s="343">
        <f t="shared" si="65"/>
        <v>342.85019038251738</v>
      </c>
      <c r="F156" s="343">
        <f t="shared" si="65"/>
        <v>430.46720059461694</v>
      </c>
      <c r="G156" s="343">
        <f t="shared" si="65"/>
        <v>517.67458334521405</v>
      </c>
      <c r="H156" s="343">
        <f t="shared" si="65"/>
        <v>604.04866016790231</v>
      </c>
      <c r="I156" s="343">
        <f t="shared" si="65"/>
        <v>689.22294077369145</v>
      </c>
      <c r="J156" s="343">
        <f t="shared" si="65"/>
        <v>772.90319960289992</v>
      </c>
      <c r="K156" s="343">
        <f t="shared" si="65"/>
        <v>854.84525147923114</v>
      </c>
      <c r="L156" s="343">
        <f t="shared" si="65"/>
        <v>934.84935653622915</v>
      </c>
      <c r="M156" s="343">
        <f t="shared" si="65"/>
        <v>1012.7609731846534</v>
      </c>
      <c r="N156" s="343">
        <f t="shared" si="65"/>
        <v>1086.6108467850554</v>
      </c>
      <c r="O156" s="343">
        <f t="shared" si="65"/>
        <v>1156.61072697501</v>
      </c>
      <c r="P156" s="343">
        <f t="shared" si="65"/>
        <v>1222.96132431146</v>
      </c>
      <c r="Q156" s="343">
        <f t="shared" si="65"/>
        <v>1285.8528857678107</v>
      </c>
      <c r="R156" s="343">
        <f t="shared" si="65"/>
        <v>1345.4657402288065</v>
      </c>
      <c r="S156" s="343">
        <f t="shared" si="65"/>
        <v>1401.9708155472858</v>
      </c>
      <c r="T156" s="343">
        <f t="shared" si="65"/>
        <v>1455.5301286453707</v>
      </c>
      <c r="U156" s="343">
        <f t="shared" si="65"/>
        <v>1506.2972500653564</v>
      </c>
      <c r="V156" s="343">
        <f t="shared" si="65"/>
        <v>1554.4177443023095</v>
      </c>
      <c r="W156" s="343">
        <f t="shared" si="65"/>
        <v>1600.0295871809381</v>
      </c>
      <c r="X156" s="343">
        <f t="shared" si="65"/>
        <v>1643.263561473477</v>
      </c>
      <c r="Y156" s="343">
        <f t="shared" si="65"/>
        <v>1684.2436318929451</v>
      </c>
      <c r="Z156" s="343">
        <f t="shared" si="65"/>
        <v>1723.0873005369908</v>
      </c>
      <c r="AA156" s="343">
        <f t="shared" si="65"/>
        <v>1759.9059438014892</v>
      </c>
      <c r="AB156" s="343">
        <f t="shared" si="65"/>
        <v>1794.8051317299237</v>
      </c>
      <c r="AC156" s="343">
        <f t="shared" si="65"/>
        <v>1827.8849307142218</v>
      </c>
      <c r="AD156" s="343">
        <f t="shared" si="65"/>
        <v>1859.2401904149783</v>
      </c>
      <c r="AE156" s="343">
        <f t="shared" si="65"/>
        <v>1888.9608157237521</v>
      </c>
      <c r="AF156" s="343">
        <f t="shared" si="65"/>
        <v>1917.1320245472346</v>
      </c>
      <c r="AG156" s="343">
        <f t="shared" si="65"/>
        <v>1943.834592152431</v>
      </c>
      <c r="AH156" s="343">
        <f t="shared" si="65"/>
        <v>1969.1450827734704</v>
      </c>
      <c r="AI156" s="343">
        <f t="shared" si="65"/>
        <v>1993.1360691441239</v>
      </c>
      <c r="AJ156" s="343">
        <f t="shared" si="65"/>
        <v>2015.8763405855016</v>
      </c>
      <c r="AK156" s="343">
        <f t="shared" si="65"/>
        <v>2037.4311002455752</v>
      </c>
      <c r="AL156" s="343">
        <f t="shared" si="65"/>
        <v>2057.8621520560714</v>
      </c>
      <c r="AM156" s="343">
        <f t="shared" si="65"/>
        <v>2077.2280779427979</v>
      </c>
      <c r="AN156" s="343">
        <f t="shared" si="65"/>
        <v>2095.5844057975146</v>
      </c>
      <c r="AO156" s="343">
        <f t="shared" si="65"/>
        <v>2112.9837686929809</v>
      </c>
      <c r="AP156" s="343">
        <f t="shared" si="65"/>
        <v>2129.4760557976883</v>
      </c>
      <c r="AQ156" s="343">
        <f t="shared" si="65"/>
        <v>2145.1085554230035</v>
      </c>
      <c r="AR156" s="343">
        <f t="shared" si="65"/>
        <v>2159.9260906128757</v>
      </c>
      <c r="AS156" s="343">
        <f t="shared" si="65"/>
        <v>2173.9711476648872</v>
      </c>
      <c r="AT156" s="343">
        <f t="shared" si="65"/>
        <v>2187.2839979511541</v>
      </c>
      <c r="AU156" s="343">
        <f t="shared" si="65"/>
        <v>2199.9028133883739</v>
      </c>
      <c r="AV156" s="343">
        <f t="shared" si="65"/>
        <v>2211.8637758881082</v>
      </c>
      <c r="AW156" s="343">
        <f t="shared" si="65"/>
        <v>2223.2011811011266</v>
      </c>
      <c r="AX156" s="343">
        <f t="shared" si="65"/>
        <v>2233.9475367532768</v>
      </c>
      <c r="AY156" s="344">
        <f t="shared" si="65"/>
        <v>2244.133655854841</v>
      </c>
    </row>
    <row r="157" spans="1:51">
      <c r="A157" s="338" t="s">
        <v>2910</v>
      </c>
      <c r="B157" s="342">
        <f t="shared" si="64"/>
        <v>9.9695080143101027</v>
      </c>
      <c r="C157" s="343">
        <f t="shared" si="65"/>
        <v>19.207027936485396</v>
      </c>
      <c r="D157" s="343">
        <f t="shared" si="65"/>
        <v>27.770532681796588</v>
      </c>
      <c r="E157" s="343">
        <f t="shared" si="65"/>
        <v>35.887598791096295</v>
      </c>
      <c r="F157" s="343">
        <f t="shared" si="65"/>
        <v>43.581500316498861</v>
      </c>
      <c r="G157" s="343">
        <f t="shared" si="65"/>
        <v>50.874297970908877</v>
      </c>
      <c r="H157" s="343">
        <f t="shared" si="65"/>
        <v>57.843389446302268</v>
      </c>
      <c r="I157" s="343">
        <f t="shared" si="65"/>
        <v>64.496012816984674</v>
      </c>
      <c r="J157" s="343">
        <f t="shared" si="65"/>
        <v>70.852567898586869</v>
      </c>
      <c r="K157" s="343">
        <f t="shared" si="65"/>
        <v>76.877738592048672</v>
      </c>
      <c r="L157" s="343">
        <f t="shared" si="65"/>
        <v>82.588800860732846</v>
      </c>
      <c r="M157" s="343">
        <f t="shared" si="65"/>
        <v>88.002130025362391</v>
      </c>
      <c r="N157" s="343">
        <f t="shared" si="65"/>
        <v>93.133247716954372</v>
      </c>
      <c r="O157" s="343">
        <f t="shared" si="65"/>
        <v>97.996866381970477</v>
      </c>
      <c r="P157" s="343">
        <f t="shared" si="65"/>
        <v>102.60693146729379</v>
      </c>
      <c r="Q157" s="343">
        <f t="shared" si="65"/>
        <v>106.97666140598888</v>
      </c>
      <c r="R157" s="343">
        <f t="shared" si="65"/>
        <v>111.11858551849608</v>
      </c>
      <c r="S157" s="343">
        <f t="shared" si="65"/>
        <v>115.04457993793417</v>
      </c>
      <c r="T157" s="343">
        <f t="shared" si="65"/>
        <v>118.76590166252005</v>
      </c>
      <c r="U157" s="343">
        <f t="shared" si="65"/>
        <v>122.29322083274363</v>
      </c>
      <c r="V157" s="343">
        <f t="shared" si="65"/>
        <v>125.63665132584654</v>
      </c>
      <c r="W157" s="343">
        <f t="shared" si="65"/>
        <v>128.80577975532799</v>
      </c>
      <c r="X157" s="343">
        <f t="shared" si="65"/>
        <v>131.80969295862792</v>
      </c>
      <c r="Y157" s="343">
        <f t="shared" si="65"/>
        <v>134.65700405180323</v>
      </c>
      <c r="Z157" s="343">
        <f t="shared" si="65"/>
        <v>137.35587712590305</v>
      </c>
      <c r="AA157" s="343">
        <f t="shared" si="65"/>
        <v>139.91405065585548</v>
      </c>
      <c r="AB157" s="343">
        <f t="shared" si="65"/>
        <v>142.33885968898574</v>
      </c>
      <c r="AC157" s="343">
        <f t="shared" si="65"/>
        <v>144.63725687678692</v>
      </c>
      <c r="AD157" s="343">
        <f t="shared" si="65"/>
        <v>146.81583241024776</v>
      </c>
      <c r="AE157" s="343">
        <f t="shared" si="65"/>
        <v>148.88083291589786</v>
      </c>
      <c r="AF157" s="343">
        <f t="shared" si="65"/>
        <v>150.83817936675104</v>
      </c>
      <c r="AG157" s="343">
        <f t="shared" si="65"/>
        <v>152.69348405950285</v>
      </c>
      <c r="AH157" s="343">
        <f t="shared" si="65"/>
        <v>154.45206670666099</v>
      </c>
      <c r="AI157" s="343">
        <f t="shared" si="65"/>
        <v>156.11896968974926</v>
      </c>
      <c r="AJ157" s="343">
        <f t="shared" si="65"/>
        <v>157.6989725173211</v>
      </c>
      <c r="AK157" s="343">
        <f t="shared" si="65"/>
        <v>159.1966055292375</v>
      </c>
      <c r="AL157" s="343">
        <f t="shared" si="65"/>
        <v>160.61616288650424</v>
      </c>
      <c r="AM157" s="343">
        <f t="shared" si="65"/>
        <v>161.96171488391349</v>
      </c>
      <c r="AN157" s="343">
        <f t="shared" si="65"/>
        <v>163.23711962079429</v>
      </c>
      <c r="AO157" s="343">
        <f t="shared" si="65"/>
        <v>164.44603406333533</v>
      </c>
      <c r="AP157" s="343">
        <f t="shared" si="65"/>
        <v>165.59192453019887</v>
      </c>
      <c r="AQ157" s="343">
        <f t="shared" si="65"/>
        <v>166.67807663149134</v>
      </c>
      <c r="AR157" s="343">
        <f t="shared" si="65"/>
        <v>167.70760468958846</v>
      </c>
      <c r="AS157" s="343">
        <f t="shared" si="65"/>
        <v>168.68346066882745</v>
      </c>
      <c r="AT157" s="343">
        <f t="shared" si="65"/>
        <v>169.60844263967007</v>
      </c>
      <c r="AU157" s="343">
        <f t="shared" si="65"/>
        <v>170.48520280160622</v>
      </c>
      <c r="AV157" s="343">
        <f t="shared" si="65"/>
        <v>171.31625508780161</v>
      </c>
      <c r="AW157" s="343">
        <f t="shared" si="65"/>
        <v>172.10398237329488</v>
      </c>
      <c r="AX157" s="343">
        <f t="shared" si="65"/>
        <v>172.85064330741173</v>
      </c>
      <c r="AY157" s="344">
        <f t="shared" si="65"/>
        <v>173.55837878998693</v>
      </c>
    </row>
    <row r="158" spans="1:51">
      <c r="A158" s="338" t="s">
        <v>2911</v>
      </c>
      <c r="B158" s="342">
        <f t="shared" si="64"/>
        <v>9.2028100102799062</v>
      </c>
      <c r="C158" s="343">
        <f t="shared" si="65"/>
        <v>17.724368306785436</v>
      </c>
      <c r="D158" s="343">
        <f t="shared" si="65"/>
        <v>25.614338971004738</v>
      </c>
      <c r="E158" s="343">
        <f t="shared" si="65"/>
        <v>33.092984150359527</v>
      </c>
      <c r="F158" s="343">
        <f t="shared" si="65"/>
        <v>40.181747353539421</v>
      </c>
      <c r="G158" s="343">
        <f t="shared" si="65"/>
        <v>46.900954181198088</v>
      </c>
      <c r="H158" s="343">
        <f t="shared" si="65"/>
        <v>53.322238820759729</v>
      </c>
      <c r="I158" s="343">
        <f t="shared" si="65"/>
        <v>59.509156246227533</v>
      </c>
      <c r="J158" s="343">
        <f t="shared" si="65"/>
        <v>65.373532952832093</v>
      </c>
      <c r="K158" s="343">
        <f t="shared" si="65"/>
        <v>70.932183859566265</v>
      </c>
      <c r="L158" s="343">
        <f t="shared" si="65"/>
        <v>76.201047278271645</v>
      </c>
      <c r="M158" s="343">
        <f t="shared" si="65"/>
        <v>81.195230613537404</v>
      </c>
      <c r="N158" s="343">
        <f t="shared" si="65"/>
        <v>85.929053680140029</v>
      </c>
      <c r="O158" s="343">
        <f t="shared" si="65"/>
        <v>90.416089762227827</v>
      </c>
      <c r="P158" s="343">
        <f t="shared" si="65"/>
        <v>94.66920453197929</v>
      </c>
      <c r="Q158" s="343">
        <f t="shared" si="65"/>
        <v>98.70059293932664</v>
      </c>
      <c r="R158" s="343">
        <f t="shared" si="65"/>
        <v>102.52181417851845</v>
      </c>
      <c r="S158" s="343">
        <f t="shared" si="65"/>
        <v>106.14382483178083</v>
      </c>
      <c r="T158" s="343">
        <f t="shared" si="65"/>
        <v>109.57701028511011</v>
      </c>
      <c r="U158" s="343">
        <f t="shared" si="65"/>
        <v>112.83121450627529</v>
      </c>
      <c r="V158" s="343">
        <f t="shared" si="65"/>
        <v>115.9157682704129</v>
      </c>
      <c r="W158" s="343">
        <f t="shared" si="65"/>
        <v>118.83951591414524</v>
      </c>
      <c r="X158" s="343">
        <f t="shared" si="65"/>
        <v>121.61084069493418</v>
      </c>
      <c r="Y158" s="343">
        <f t="shared" si="65"/>
        <v>124.23768882838341</v>
      </c>
      <c r="Z158" s="343">
        <f t="shared" si="65"/>
        <v>126.72759227241113</v>
      </c>
      <c r="AA158" s="343">
        <f t="shared" si="65"/>
        <v>129.08769032362224</v>
      </c>
      <c r="AB158" s="343">
        <f t="shared" si="65"/>
        <v>131.32475008780338</v>
      </c>
      <c r="AC158" s="343">
        <f t="shared" si="65"/>
        <v>133.44518588323575</v>
      </c>
      <c r="AD158" s="343">
        <f t="shared" si="65"/>
        <v>135.45507763246073</v>
      </c>
      <c r="AE158" s="343">
        <f t="shared" si="65"/>
        <v>137.36018829523323</v>
      </c>
      <c r="AF158" s="343">
        <f t="shared" si="65"/>
        <v>139.16598039264792</v>
      </c>
      <c r="AG158" s="343">
        <f t="shared" si="65"/>
        <v>140.87763166981824</v>
      </c>
      <c r="AH158" s="343">
        <f t="shared" si="65"/>
        <v>142.5000499420176</v>
      </c>
      <c r="AI158" s="343">
        <f t="shared" si="65"/>
        <v>144.03788716685111</v>
      </c>
      <c r="AJ158" s="343">
        <f t="shared" si="65"/>
        <v>145.49555278280704</v>
      </c>
      <c r="AK158" s="343">
        <f t="shared" si="65"/>
        <v>146.87722635243352</v>
      </c>
      <c r="AL158" s="343">
        <f t="shared" si="65"/>
        <v>148.18686954639227</v>
      </c>
      <c r="AM158" s="343">
        <f t="shared" si="65"/>
        <v>149.42823750275127</v>
      </c>
      <c r="AN158" s="343">
        <f t="shared" si="65"/>
        <v>150.60488959408681</v>
      </c>
      <c r="AO158" s="343">
        <f t="shared" si="65"/>
        <v>151.72019963326744</v>
      </c>
      <c r="AP158" s="343">
        <f t="shared" si="65"/>
        <v>152.77736554718271</v>
      </c>
      <c r="AQ158" s="343">
        <f t="shared" si="65"/>
        <v>153.77941854615455</v>
      </c>
      <c r="AR158" s="343">
        <f t="shared" si="65"/>
        <v>154.72923181532215</v>
      </c>
      <c r="AS158" s="343">
        <f t="shared" si="65"/>
        <v>155.62952875292177</v>
      </c>
      <c r="AT158" s="343">
        <f t="shared" si="65"/>
        <v>156.48289077908257</v>
      </c>
      <c r="AU158" s="343">
        <f t="shared" si="65"/>
        <v>157.29176473752881</v>
      </c>
      <c r="AV158" s="343">
        <f t="shared" si="65"/>
        <v>158.05846991141149</v>
      </c>
      <c r="AW158" s="343">
        <f t="shared" si="65"/>
        <v>158.78520467338561</v>
      </c>
      <c r="AX158" s="343">
        <f t="shared" si="65"/>
        <v>159.47405278900089</v>
      </c>
      <c r="AY158" s="344">
        <f t="shared" si="65"/>
        <v>160.12698939147984</v>
      </c>
    </row>
    <row r="159" spans="1:51">
      <c r="A159" s="338" t="s">
        <v>2912</v>
      </c>
      <c r="B159" s="342">
        <f t="shared" si="64"/>
        <v>6.1182586674026789</v>
      </c>
      <c r="C159" s="343">
        <f t="shared" si="65"/>
        <v>12.428881458877321</v>
      </c>
      <c r="D159" s="343">
        <f t="shared" si="65"/>
        <v>18.663448533001478</v>
      </c>
      <c r="E159" s="343">
        <f t="shared" si="65"/>
        <v>24.758953747497628</v>
      </c>
      <c r="F159" s="343">
        <f t="shared" si="65"/>
        <v>30.680705424846916</v>
      </c>
      <c r="G159" s="343">
        <f t="shared" si="65"/>
        <v>36.409160608562402</v>
      </c>
      <c r="H159" s="343">
        <f t="shared" si="65"/>
        <v>41.933745345919618</v>
      </c>
      <c r="I159" s="343">
        <f t="shared" si="65"/>
        <v>48.071024652675924</v>
      </c>
      <c r="J159" s="343">
        <f t="shared" si="65"/>
        <v>53.344183401899116</v>
      </c>
      <c r="K159" s="343">
        <f t="shared" si="65"/>
        <v>58.387229298572841</v>
      </c>
      <c r="L159" s="343">
        <f t="shared" si="65"/>
        <v>63.206893248542535</v>
      </c>
      <c r="M159" s="343">
        <f t="shared" si="65"/>
        <v>67.810341338564868</v>
      </c>
      <c r="N159" s="343">
        <f t="shared" si="65"/>
        <v>72.205003872916535</v>
      </c>
      <c r="O159" s="343">
        <f t="shared" si="65"/>
        <v>76.382152150713026</v>
      </c>
      <c r="P159" s="343">
        <f t="shared" si="65"/>
        <v>80.342180607180453</v>
      </c>
      <c r="Q159" s="343">
        <f t="shared" si="65"/>
        <v>84.095762082505033</v>
      </c>
      <c r="R159" s="343">
        <f t="shared" si="65"/>
        <v>87.684355750314964</v>
      </c>
      <c r="S159" s="343">
        <f t="shared" si="65"/>
        <v>91.109251998560694</v>
      </c>
      <c r="T159" s="343">
        <f t="shared" si="65"/>
        <v>94.377765658171711</v>
      </c>
      <c r="U159" s="343">
        <f t="shared" si="65"/>
        <v>97.475882871073139</v>
      </c>
      <c r="V159" s="343">
        <f t="shared" si="65"/>
        <v>100.41248686434464</v>
      </c>
      <c r="W159" s="343">
        <f t="shared" si="65"/>
        <v>103.19599775844085</v>
      </c>
      <c r="X159" s="343">
        <f t="shared" si="65"/>
        <v>105.83439671019082</v>
      </c>
      <c r="Y159" s="343">
        <f t="shared" si="65"/>
        <v>108.3352487971576</v>
      </c>
      <c r="Z159" s="343">
        <f t="shared" si="65"/>
        <v>110.70572470897447</v>
      </c>
      <c r="AA159" s="343">
        <f t="shared" si="65"/>
        <v>112.95262130785301</v>
      </c>
      <c r="AB159" s="343">
        <f t="shared" si="65"/>
        <v>115.08238111721656</v>
      </c>
      <c r="AC159" s="343">
        <f t="shared" si="65"/>
        <v>117.1011107943384</v>
      </c>
      <c r="AD159" s="343">
        <f t="shared" si="65"/>
        <v>119.01459863995152</v>
      </c>
      <c r="AE159" s="343">
        <f t="shared" si="65"/>
        <v>120.82833119503505</v>
      </c>
      <c r="AF159" s="343">
        <f t="shared" si="65"/>
        <v>122.54750897236541</v>
      </c>
      <c r="AG159" s="343">
        <f t="shared" si="65"/>
        <v>124.1770613679392</v>
      </c>
      <c r="AH159" s="343">
        <f t="shared" si="65"/>
        <v>125.72166079502338</v>
      </c>
      <c r="AI159" s="343">
        <f t="shared" si="65"/>
        <v>127.1857360813591</v>
      </c>
      <c r="AJ159" s="343">
        <f t="shared" si="65"/>
        <v>128.57348516793323</v>
      </c>
      <c r="AK159" s="343">
        <f t="shared" si="65"/>
        <v>129.8888871457286</v>
      </c>
      <c r="AL159" s="343">
        <f t="shared" si="65"/>
        <v>131.13571366496595</v>
      </c>
      <c r="AM159" s="343">
        <f t="shared" si="65"/>
        <v>132.31753974955109</v>
      </c>
      <c r="AN159" s="343">
        <f t="shared" si="65"/>
        <v>133.43775404773606</v>
      </c>
      <c r="AO159" s="343">
        <f t="shared" si="65"/>
        <v>134.49956854838533</v>
      </c>
      <c r="AP159" s="343">
        <f t="shared" si="65"/>
        <v>135.5060277907069</v>
      </c>
      <c r="AQ159" s="343">
        <f t="shared" si="65"/>
        <v>136.4600175938553</v>
      </c>
      <c r="AR159" s="343">
        <f t="shared" si="65"/>
        <v>137.36427333143675</v>
      </c>
      <c r="AS159" s="343">
        <f t="shared" si="65"/>
        <v>138.2213877746419</v>
      </c>
      <c r="AT159" s="343">
        <f t="shared" si="65"/>
        <v>139.03381852649511</v>
      </c>
      <c r="AU159" s="343">
        <f t="shared" si="65"/>
        <v>139.80389506853609</v>
      </c>
      <c r="AV159" s="343">
        <f t="shared" si="65"/>
        <v>140.53382544013891</v>
      </c>
      <c r="AW159" s="343">
        <f t="shared" si="65"/>
        <v>141.22570256962027</v>
      </c>
      <c r="AX159" s="343">
        <f t="shared" si="65"/>
        <v>141.8815102752898</v>
      </c>
      <c r="AY159" s="344">
        <f t="shared" si="65"/>
        <v>142.50312895364954</v>
      </c>
    </row>
    <row r="160" spans="1:51">
      <c r="A160" s="338" t="s">
        <v>2892</v>
      </c>
      <c r="B160" s="339">
        <f t="shared" si="64"/>
        <v>6.1141123369011178E-3</v>
      </c>
      <c r="C160" s="340">
        <f t="shared" si="65"/>
        <v>1.1835653147838862E-2</v>
      </c>
      <c r="D160" s="340">
        <f t="shared" si="65"/>
        <v>1.718893701314065E-2</v>
      </c>
      <c r="E160" s="340">
        <f t="shared" si="65"/>
        <v>2.2163645558166009E-2</v>
      </c>
      <c r="F160" s="340">
        <f t="shared" si="65"/>
        <v>2.6784701836957338E-2</v>
      </c>
      <c r="G160" s="340">
        <f t="shared" si="65"/>
        <v>3.1082908421834338E-2</v>
      </c>
      <c r="H160" s="340">
        <f t="shared" si="65"/>
        <v>3.5157037886172721E-2</v>
      </c>
      <c r="I160" s="340">
        <f t="shared" si="65"/>
        <v>3.9012079195542004E-2</v>
      </c>
      <c r="J160" s="340">
        <f t="shared" si="65"/>
        <v>4.2666146787361234E-2</v>
      </c>
      <c r="K160" s="340">
        <f t="shared" si="65"/>
        <v>4.6123704820036415E-2</v>
      </c>
      <c r="L160" s="340">
        <f t="shared" si="65"/>
        <v>4.9401011012145592E-2</v>
      </c>
      <c r="M160" s="340">
        <f t="shared" ref="M160:AY162" si="66">(M149/(1+$C$3)^(M$16-0.5)+L160)</f>
        <v>5.2507462379073722E-2</v>
      </c>
      <c r="N160" s="340">
        <f t="shared" si="66"/>
        <v>5.5446845168468734E-2</v>
      </c>
      <c r="O160" s="340">
        <f t="shared" si="66"/>
        <v>5.8232989992539834E-2</v>
      </c>
      <c r="P160" s="340">
        <f t="shared" si="66"/>
        <v>6.0869284697021131E-2</v>
      </c>
      <c r="Q160" s="340">
        <f t="shared" si="66"/>
        <v>6.3368142236813835E-2</v>
      </c>
      <c r="R160" s="340">
        <f t="shared" si="66"/>
        <v>6.5736727582588902E-2</v>
      </c>
      <c r="S160" s="340">
        <f t="shared" si="66"/>
        <v>6.7981832175740636E-2</v>
      </c>
      <c r="T160" s="340">
        <f t="shared" si="66"/>
        <v>7.0109893401476872E-2</v>
      </c>
      <c r="U160" s="340">
        <f t="shared" si="66"/>
        <v>7.2127013046724489E-2</v>
      </c>
      <c r="V160" s="340">
        <f t="shared" si="66"/>
        <v>7.4038974795774357E-2</v>
      </c>
      <c r="W160" s="340">
        <f t="shared" si="66"/>
        <v>7.5851260813831103E-2</v>
      </c>
      <c r="X160" s="340">
        <f t="shared" si="66"/>
        <v>7.7569067466017591E-2</v>
      </c>
      <c r="Y160" s="340">
        <f t="shared" si="66"/>
        <v>7.9197320216905259E-2</v>
      </c>
      <c r="Z160" s="340">
        <f t="shared" si="66"/>
        <v>8.0740687753291684E-2</v>
      </c>
      <c r="AA160" s="340">
        <f t="shared" si="66"/>
        <v>8.220359537071957E-2</v>
      </c>
      <c r="AB160" s="340">
        <f t="shared" si="66"/>
        <v>8.3590237662120412E-2</v>
      </c>
      <c r="AC160" s="340">
        <f t="shared" si="66"/>
        <v>8.4904590544964811E-2</v>
      </c>
      <c r="AD160" s="340">
        <f t="shared" si="66"/>
        <v>8.6150422661405004E-2</v>
      </c>
      <c r="AE160" s="340">
        <f t="shared" si="66"/>
        <v>8.7331306184097124E-2</v>
      </c>
      <c r="AF160" s="340">
        <f t="shared" si="66"/>
        <v>8.8450627058686809E-2</v>
      </c>
      <c r="AG160" s="340">
        <f t="shared" si="66"/>
        <v>8.9511594712326323E-2</v>
      </c>
      <c r="AH160" s="340">
        <f t="shared" si="66"/>
        <v>9.0517251256060458E-2</v>
      </c>
      <c r="AI160" s="340">
        <f t="shared" si="66"/>
        <v>9.1470480207467217E-2</v>
      </c>
      <c r="AJ160" s="340">
        <f t="shared" si="66"/>
        <v>9.2374014758563674E-2</v>
      </c>
      <c r="AK160" s="340">
        <f t="shared" si="66"/>
        <v>9.3230445612683538E-2</v>
      </c>
      <c r="AL160" s="340">
        <f t="shared" si="66"/>
        <v>9.4042228412797163E-2</v>
      </c>
      <c r="AM160" s="340">
        <f t="shared" si="66"/>
        <v>9.4811690782573108E-2</v>
      </c>
      <c r="AN160" s="340">
        <f t="shared" si="66"/>
        <v>9.5541039000370212E-2</v>
      </c>
      <c r="AO160" s="340">
        <f t="shared" si="66"/>
        <v>9.6232364325296374E-2</v>
      </c>
      <c r="AP160" s="340">
        <f t="shared" si="66"/>
        <v>9.6887648993472825E-2</v>
      </c>
      <c r="AQ160" s="340">
        <f t="shared" si="66"/>
        <v>9.7508771901696961E-2</v>
      </c>
      <c r="AR160" s="340">
        <f t="shared" si="66"/>
        <v>9.8097513994800406E-2</v>
      </c>
      <c r="AS160" s="340">
        <f t="shared" si="66"/>
        <v>9.8655563372149632E-2</v>
      </c>
      <c r="AT160" s="340">
        <f t="shared" si="66"/>
        <v>9.91845201279309E-2</v>
      </c>
      <c r="AU160" s="340">
        <f t="shared" si="66"/>
        <v>9.9685900939097974E-2</v>
      </c>
      <c r="AV160" s="340">
        <f t="shared" si="66"/>
        <v>0.10016114341413786</v>
      </c>
      <c r="AW160" s="340">
        <f t="shared" si="66"/>
        <v>0.10061161021512352</v>
      </c>
      <c r="AX160" s="340">
        <f t="shared" si="66"/>
        <v>0.10103859296487297</v>
      </c>
      <c r="AY160" s="341">
        <f t="shared" si="66"/>
        <v>0.10144331595041747</v>
      </c>
    </row>
    <row r="161" spans="1:51">
      <c r="A161" s="338" t="s">
        <v>2893</v>
      </c>
      <c r="B161" s="342">
        <f t="shared" si="64"/>
        <v>0.85432063306221828</v>
      </c>
      <c r="C161" s="343">
        <f t="shared" ref="C161:AH162" si="67">(C150/(1+$C$3)^(C$16-0.5)+B161)</f>
        <v>1.6641032236425202</v>
      </c>
      <c r="D161" s="343">
        <f t="shared" si="67"/>
        <v>2.4316696602115266</v>
      </c>
      <c r="E161" s="343">
        <f t="shared" si="67"/>
        <v>3.1592207849214855</v>
      </c>
      <c r="F161" s="343">
        <f t="shared" si="67"/>
        <v>3.8488427040778443</v>
      </c>
      <c r="G161" s="343">
        <f t="shared" si="67"/>
        <v>4.502512769628896</v>
      </c>
      <c r="H161" s="343">
        <f t="shared" si="67"/>
        <v>5.1221052488242051</v>
      </c>
      <c r="I161" s="343">
        <f t="shared" si="67"/>
        <v>5.7093966982984323</v>
      </c>
      <c r="J161" s="343">
        <f t="shared" si="67"/>
        <v>6.2660710579896426</v>
      </c>
      <c r="K161" s="343">
        <f t="shared" si="67"/>
        <v>6.7937244794978984</v>
      </c>
      <c r="L161" s="343">
        <f t="shared" si="67"/>
        <v>7.2938699027284732</v>
      </c>
      <c r="M161" s="343">
        <f t="shared" si="67"/>
        <v>7.7679413939422881</v>
      </c>
      <c r="N161" s="343">
        <f t="shared" si="67"/>
        <v>8.2172982576520646</v>
      </c>
      <c r="O161" s="343">
        <f t="shared" si="67"/>
        <v>8.643228934154223</v>
      </c>
      <c r="P161" s="343">
        <f t="shared" si="67"/>
        <v>9.0469546938719088</v>
      </c>
      <c r="Q161" s="343">
        <f t="shared" si="67"/>
        <v>9.4296331391019432</v>
      </c>
      <c r="R161" s="343">
        <f t="shared" si="67"/>
        <v>9.7923615232062406</v>
      </c>
      <c r="S161" s="343">
        <f t="shared" si="67"/>
        <v>10.136179896764817</v>
      </c>
      <c r="T161" s="343">
        <f t="shared" si="67"/>
        <v>10.462074089711335</v>
      </c>
      <c r="U161" s="343">
        <f t="shared" si="67"/>
        <v>10.770978538001872</v>
      </c>
      <c r="V161" s="343">
        <f t="shared" si="67"/>
        <v>11.063778962921813</v>
      </c>
      <c r="W161" s="343">
        <f t="shared" si="67"/>
        <v>11.341314910713226</v>
      </c>
      <c r="X161" s="343">
        <f t="shared" si="67"/>
        <v>11.604382159804613</v>
      </c>
      <c r="Y161" s="343">
        <f t="shared" si="67"/>
        <v>11.853735002545264</v>
      </c>
      <c r="Z161" s="343">
        <f t="shared" si="67"/>
        <v>12.09008840798664</v>
      </c>
      <c r="AA161" s="343">
        <f t="shared" si="67"/>
        <v>12.314120071912114</v>
      </c>
      <c r="AB161" s="343">
        <f t="shared" si="67"/>
        <v>12.526472359993132</v>
      </c>
      <c r="AC161" s="343">
        <f t="shared" si="67"/>
        <v>12.727754149643387</v>
      </c>
      <c r="AD161" s="343">
        <f t="shared" si="67"/>
        <v>12.918542575852159</v>
      </c>
      <c r="AE161" s="343">
        <f t="shared" si="67"/>
        <v>13.099384686002654</v>
      </c>
      <c r="AF161" s="343">
        <f t="shared" si="67"/>
        <v>13.270799008420186</v>
      </c>
      <c r="AG161" s="343">
        <f t="shared" si="67"/>
        <v>13.433277039147702</v>
      </c>
      <c r="AH161" s="343">
        <f t="shared" si="67"/>
        <v>13.5872846512117</v>
      </c>
      <c r="AI161" s="343">
        <f t="shared" si="66"/>
        <v>13.73326343041928</v>
      </c>
      <c r="AJ161" s="343">
        <f t="shared" si="66"/>
        <v>13.871631941516512</v>
      </c>
      <c r="AK161" s="343">
        <f t="shared" si="66"/>
        <v>14.002786928338534</v>
      </c>
      <c r="AL161" s="343">
        <f t="shared" si="66"/>
        <v>14.127104451392583</v>
      </c>
      <c r="AM161" s="343">
        <f t="shared" si="66"/>
        <v>14.244940966135758</v>
      </c>
      <c r="AN161" s="343">
        <f t="shared" si="66"/>
        <v>14.356634345039241</v>
      </c>
      <c r="AO161" s="343">
        <f t="shared" si="66"/>
        <v>14.462504846369557</v>
      </c>
      <c r="AP161" s="343">
        <f t="shared" si="66"/>
        <v>14.562856032464643</v>
      </c>
      <c r="AQ161" s="343">
        <f t="shared" si="66"/>
        <v>14.65797564013771</v>
      </c>
      <c r="AR161" s="343">
        <f t="shared" si="66"/>
        <v>14.748136405704599</v>
      </c>
      <c r="AS161" s="343">
        <f t="shared" si="66"/>
        <v>14.833596847000228</v>
      </c>
      <c r="AT161" s="343">
        <f t="shared" si="66"/>
        <v>14.914602004626417</v>
      </c>
      <c r="AU161" s="343">
        <f t="shared" si="66"/>
        <v>14.991384144556454</v>
      </c>
      <c r="AV161" s="343">
        <f t="shared" si="66"/>
        <v>15.064163424110991</v>
      </c>
      <c r="AW161" s="343">
        <f t="shared" si="66"/>
        <v>15.133148523214818</v>
      </c>
      <c r="AX161" s="343">
        <f t="shared" si="66"/>
        <v>15.198537242744511</v>
      </c>
      <c r="AY161" s="344">
        <f t="shared" si="66"/>
        <v>15.260517071682608</v>
      </c>
    </row>
    <row r="162" spans="1:51" ht="12.75" thickBot="1">
      <c r="A162" s="345" t="s">
        <v>2894</v>
      </c>
      <c r="B162" s="346">
        <f t="shared" si="64"/>
        <v>0.85432063306221828</v>
      </c>
      <c r="C162" s="347">
        <f t="shared" si="67"/>
        <v>1.6641032236425202</v>
      </c>
      <c r="D162" s="347">
        <f t="shared" si="67"/>
        <v>2.4316696602115266</v>
      </c>
      <c r="E162" s="347">
        <f t="shared" si="67"/>
        <v>3.1592207849214855</v>
      </c>
      <c r="F162" s="347">
        <f t="shared" si="67"/>
        <v>3.8488427040778443</v>
      </c>
      <c r="G162" s="347">
        <f t="shared" si="67"/>
        <v>4.502512769628896</v>
      </c>
      <c r="H162" s="347">
        <f t="shared" si="67"/>
        <v>5.1221052488242051</v>
      </c>
      <c r="I162" s="347">
        <f t="shared" si="67"/>
        <v>5.7093966982984323</v>
      </c>
      <c r="J162" s="347">
        <f t="shared" si="67"/>
        <v>6.2660710579896426</v>
      </c>
      <c r="K162" s="347">
        <f t="shared" si="67"/>
        <v>6.7937244794978984</v>
      </c>
      <c r="L162" s="347">
        <f t="shared" si="67"/>
        <v>7.2938699027284732</v>
      </c>
      <c r="M162" s="347">
        <f t="shared" si="67"/>
        <v>7.7679413939422881</v>
      </c>
      <c r="N162" s="347">
        <f t="shared" si="67"/>
        <v>8.2172982576520646</v>
      </c>
      <c r="O162" s="347">
        <f t="shared" si="67"/>
        <v>8.643228934154223</v>
      </c>
      <c r="P162" s="347">
        <f t="shared" si="67"/>
        <v>9.0469546938719088</v>
      </c>
      <c r="Q162" s="347">
        <f t="shared" si="67"/>
        <v>9.4296331391019432</v>
      </c>
      <c r="R162" s="347">
        <f t="shared" si="67"/>
        <v>9.7923615232062406</v>
      </c>
      <c r="S162" s="347">
        <f t="shared" si="67"/>
        <v>10.136179896764817</v>
      </c>
      <c r="T162" s="347">
        <f t="shared" si="67"/>
        <v>10.462074089711335</v>
      </c>
      <c r="U162" s="347">
        <f t="shared" si="67"/>
        <v>10.770978538001872</v>
      </c>
      <c r="V162" s="347">
        <f t="shared" si="67"/>
        <v>11.063778962921813</v>
      </c>
      <c r="W162" s="347">
        <f t="shared" si="67"/>
        <v>11.341314910713226</v>
      </c>
      <c r="X162" s="347">
        <f t="shared" si="67"/>
        <v>11.604382159804613</v>
      </c>
      <c r="Y162" s="347">
        <f t="shared" si="67"/>
        <v>11.853735002545264</v>
      </c>
      <c r="Z162" s="347">
        <f t="shared" si="67"/>
        <v>12.09008840798664</v>
      </c>
      <c r="AA162" s="347">
        <f t="shared" si="67"/>
        <v>12.314120071912114</v>
      </c>
      <c r="AB162" s="347">
        <f t="shared" si="67"/>
        <v>12.526472359993132</v>
      </c>
      <c r="AC162" s="347">
        <f t="shared" si="67"/>
        <v>12.727754149643387</v>
      </c>
      <c r="AD162" s="347">
        <f t="shared" si="67"/>
        <v>12.918542575852159</v>
      </c>
      <c r="AE162" s="347">
        <f t="shared" si="67"/>
        <v>13.099384686002654</v>
      </c>
      <c r="AF162" s="347">
        <f t="shared" si="67"/>
        <v>13.270799008420186</v>
      </c>
      <c r="AG162" s="347">
        <f t="shared" si="67"/>
        <v>13.433277039147702</v>
      </c>
      <c r="AH162" s="347">
        <f t="shared" si="67"/>
        <v>13.5872846512117</v>
      </c>
      <c r="AI162" s="347">
        <f t="shared" si="66"/>
        <v>13.73326343041928</v>
      </c>
      <c r="AJ162" s="347">
        <f t="shared" si="66"/>
        <v>13.871631941516512</v>
      </c>
      <c r="AK162" s="347">
        <f t="shared" si="66"/>
        <v>14.002786928338534</v>
      </c>
      <c r="AL162" s="347">
        <f t="shared" si="66"/>
        <v>14.127104451392583</v>
      </c>
      <c r="AM162" s="347">
        <f t="shared" si="66"/>
        <v>14.244940966135758</v>
      </c>
      <c r="AN162" s="347">
        <f t="shared" si="66"/>
        <v>14.356634345039241</v>
      </c>
      <c r="AO162" s="347">
        <f t="shared" si="66"/>
        <v>14.462504846369557</v>
      </c>
      <c r="AP162" s="347">
        <f t="shared" si="66"/>
        <v>14.562856032464643</v>
      </c>
      <c r="AQ162" s="347">
        <f t="shared" si="66"/>
        <v>14.65797564013771</v>
      </c>
      <c r="AR162" s="347">
        <f t="shared" si="66"/>
        <v>14.748136405704599</v>
      </c>
      <c r="AS162" s="347">
        <f t="shared" si="66"/>
        <v>14.833596847000228</v>
      </c>
      <c r="AT162" s="347">
        <f t="shared" si="66"/>
        <v>14.914602004626417</v>
      </c>
      <c r="AU162" s="347">
        <f t="shared" si="66"/>
        <v>14.991384144556454</v>
      </c>
      <c r="AV162" s="347">
        <f t="shared" si="66"/>
        <v>15.064163424110991</v>
      </c>
      <c r="AW162" s="347">
        <f t="shared" si="66"/>
        <v>15.133148523214818</v>
      </c>
      <c r="AX162" s="347">
        <f t="shared" si="66"/>
        <v>15.198537242744511</v>
      </c>
      <c r="AY162" s="348">
        <f t="shared" si="66"/>
        <v>15.260517071682608</v>
      </c>
    </row>
    <row r="164" spans="1:51" ht="15.75">
      <c r="A164" s="350" t="s">
        <v>2924</v>
      </c>
      <c r="B164" s="349"/>
      <c r="C164" s="349"/>
      <c r="D164" s="349"/>
      <c r="E164" s="349"/>
      <c r="F164" s="349"/>
      <c r="G164" s="349"/>
      <c r="H164" s="349"/>
      <c r="I164" s="349"/>
      <c r="J164" s="349"/>
      <c r="K164" s="349"/>
      <c r="L164" s="349"/>
      <c r="M164" s="349"/>
      <c r="N164" s="349"/>
      <c r="O164" s="349"/>
      <c r="P164" s="349"/>
      <c r="Q164" s="349"/>
      <c r="R164" s="349"/>
      <c r="S164" s="349"/>
      <c r="T164" s="349"/>
      <c r="U164" s="349"/>
      <c r="V164" s="349"/>
      <c r="W164" s="349"/>
      <c r="X164" s="349"/>
      <c r="Y164" s="349"/>
      <c r="Z164" s="349"/>
      <c r="AA164" s="349"/>
      <c r="AB164" s="349"/>
      <c r="AC164" s="349"/>
      <c r="AD164" s="349"/>
      <c r="AE164" s="349"/>
      <c r="AF164" s="349"/>
      <c r="AG164" s="349"/>
      <c r="AH164" s="349"/>
      <c r="AI164" s="349"/>
      <c r="AJ164" s="349"/>
      <c r="AK164" s="349"/>
      <c r="AL164" s="349"/>
      <c r="AM164" s="349"/>
      <c r="AN164" s="349"/>
      <c r="AO164" s="349"/>
      <c r="AP164" s="349"/>
      <c r="AQ164" s="349"/>
      <c r="AR164" s="349"/>
      <c r="AS164" s="349"/>
      <c r="AT164" s="349"/>
      <c r="AU164" s="349"/>
      <c r="AV164" s="349"/>
      <c r="AW164" s="349"/>
      <c r="AX164" s="349"/>
      <c r="AY164" s="349"/>
    </row>
    <row r="165" spans="1:51" ht="15.75" thickBot="1">
      <c r="A165" s="329" t="s">
        <v>2885</v>
      </c>
    </row>
    <row r="166" spans="1:51" ht="12.75" thickBot="1">
      <c r="A166" s="330" t="s">
        <v>2886</v>
      </c>
      <c r="B166" s="331">
        <v>2010</v>
      </c>
      <c r="C166" s="332">
        <v>2011</v>
      </c>
      <c r="D166" s="332">
        <v>2012</v>
      </c>
      <c r="E166" s="332">
        <v>2013</v>
      </c>
      <c r="F166" s="332">
        <v>2014</v>
      </c>
      <c r="G166" s="332">
        <v>2015</v>
      </c>
      <c r="H166" s="332">
        <v>2016</v>
      </c>
      <c r="I166" s="332">
        <v>2017</v>
      </c>
      <c r="J166" s="332">
        <v>2018</v>
      </c>
      <c r="K166" s="332">
        <v>2019</v>
      </c>
      <c r="L166" s="332">
        <v>2020</v>
      </c>
      <c r="M166" s="332">
        <v>2021</v>
      </c>
      <c r="N166" s="332">
        <v>2022</v>
      </c>
      <c r="O166" s="332">
        <v>2023</v>
      </c>
      <c r="P166" s="332">
        <v>2024</v>
      </c>
      <c r="Q166" s="332">
        <v>2025</v>
      </c>
      <c r="R166" s="332">
        <v>2026</v>
      </c>
      <c r="S166" s="332">
        <v>2027</v>
      </c>
      <c r="T166" s="332">
        <v>2028</v>
      </c>
      <c r="U166" s="332">
        <v>2029</v>
      </c>
      <c r="V166" s="332">
        <v>2030</v>
      </c>
      <c r="W166" s="332">
        <v>2031</v>
      </c>
      <c r="X166" s="332">
        <v>2032</v>
      </c>
      <c r="Y166" s="332">
        <v>2033</v>
      </c>
      <c r="Z166" s="332">
        <v>2034</v>
      </c>
      <c r="AA166" s="332">
        <v>2035</v>
      </c>
      <c r="AB166" s="332">
        <v>2036</v>
      </c>
      <c r="AC166" s="332">
        <v>2037</v>
      </c>
      <c r="AD166" s="332">
        <v>2038</v>
      </c>
      <c r="AE166" s="332">
        <v>2039</v>
      </c>
      <c r="AF166" s="332">
        <v>2040</v>
      </c>
      <c r="AG166" s="332">
        <v>2041</v>
      </c>
      <c r="AH166" s="332">
        <v>2042</v>
      </c>
      <c r="AI166" s="332">
        <v>2043</v>
      </c>
      <c r="AJ166" s="332">
        <v>2044</v>
      </c>
      <c r="AK166" s="332">
        <v>2045</v>
      </c>
      <c r="AL166" s="332">
        <v>2046</v>
      </c>
      <c r="AM166" s="332">
        <v>2047</v>
      </c>
      <c r="AN166" s="332">
        <v>2048</v>
      </c>
      <c r="AO166" s="332">
        <v>2049</v>
      </c>
      <c r="AP166" s="332">
        <v>2050</v>
      </c>
      <c r="AQ166" s="332">
        <v>2051</v>
      </c>
      <c r="AR166" s="332">
        <v>2052</v>
      </c>
      <c r="AS166" s="332">
        <v>2053</v>
      </c>
      <c r="AT166" s="332">
        <v>2054</v>
      </c>
      <c r="AU166" s="332">
        <v>2055</v>
      </c>
      <c r="AV166" s="332">
        <v>2056</v>
      </c>
      <c r="AW166" s="332">
        <v>2057</v>
      </c>
      <c r="AX166" s="332">
        <v>2058</v>
      </c>
      <c r="AY166" s="333">
        <v>2059</v>
      </c>
    </row>
    <row r="167" spans="1:51">
      <c r="A167" s="334" t="s">
        <v>2896</v>
      </c>
      <c r="B167" s="339">
        <v>6.8310458518556105E-2</v>
      </c>
      <c r="C167" s="340">
        <v>6.6934254603542631E-2</v>
      </c>
      <c r="D167" s="340">
        <v>6.5592258751792754E-2</v>
      </c>
      <c r="E167" s="340">
        <v>6.5435755251657166E-2</v>
      </c>
      <c r="F167" s="340">
        <v>6.5279251751521564E-2</v>
      </c>
      <c r="G167" s="340">
        <v>6.5131643636398229E-2</v>
      </c>
      <c r="H167" s="340">
        <v>6.5288147136533831E-2</v>
      </c>
      <c r="I167" s="340">
        <v>6.5451665544625004E-2</v>
      </c>
      <c r="J167" s="340">
        <v>6.560628856770391E-2</v>
      </c>
      <c r="K167" s="340">
        <v>6.5771687452851779E-2</v>
      </c>
      <c r="L167" s="340">
        <v>6.5935205860942953E-2</v>
      </c>
      <c r="M167" s="340">
        <v>6.6091709361078541E-2</v>
      </c>
      <c r="N167" s="340">
        <v>6.6255227769169728E-2</v>
      </c>
      <c r="O167" s="340">
        <v>6.642062665431761E-2</v>
      </c>
      <c r="P167" s="340">
        <v>6.6586025539465465E-2</v>
      </c>
      <c r="Q167" s="340">
        <v>6.6586025539465465E-2</v>
      </c>
      <c r="R167" s="340">
        <v>6.6586025539465465E-2</v>
      </c>
      <c r="S167" s="340">
        <v>6.6586025539465465E-2</v>
      </c>
      <c r="T167" s="340">
        <v>6.6586025539465465E-2</v>
      </c>
      <c r="U167" s="340">
        <v>6.6586025539465465E-2</v>
      </c>
      <c r="V167" s="340">
        <v>6.6586025539465465E-2</v>
      </c>
      <c r="W167" s="340">
        <v>6.6586025539465465E-2</v>
      </c>
      <c r="X167" s="340">
        <v>6.6586025539465465E-2</v>
      </c>
      <c r="Y167" s="340">
        <v>6.6586025539465465E-2</v>
      </c>
      <c r="Z167" s="340">
        <v>6.6586025539465465E-2</v>
      </c>
      <c r="AA167" s="340">
        <v>6.6586025539465465E-2</v>
      </c>
      <c r="AB167" s="340">
        <v>6.6586025539465465E-2</v>
      </c>
      <c r="AC167" s="340">
        <v>6.6586025539465465E-2</v>
      </c>
      <c r="AD167" s="340">
        <v>6.6586025539465465E-2</v>
      </c>
      <c r="AE167" s="340">
        <v>6.6586025539465465E-2</v>
      </c>
      <c r="AF167" s="340">
        <v>6.6586025539465465E-2</v>
      </c>
      <c r="AG167" s="340">
        <v>6.6586025539465465E-2</v>
      </c>
      <c r="AH167" s="340">
        <v>6.6586025539465465E-2</v>
      </c>
      <c r="AI167" s="340">
        <v>6.6586025539465465E-2</v>
      </c>
      <c r="AJ167" s="340">
        <v>6.6586025539465465E-2</v>
      </c>
      <c r="AK167" s="340">
        <v>6.6586025539465465E-2</v>
      </c>
      <c r="AL167" s="340">
        <v>6.6586025539465465E-2</v>
      </c>
      <c r="AM167" s="340">
        <v>6.6586025539465465E-2</v>
      </c>
      <c r="AN167" s="340">
        <v>6.6586025539465465E-2</v>
      </c>
      <c r="AO167" s="340">
        <v>6.6586025539465465E-2</v>
      </c>
      <c r="AP167" s="340">
        <v>6.6586025539465465E-2</v>
      </c>
      <c r="AQ167" s="340">
        <v>6.6586025539465465E-2</v>
      </c>
      <c r="AR167" s="340">
        <v>6.6586025539465465E-2</v>
      </c>
      <c r="AS167" s="340">
        <v>6.6586025539465465E-2</v>
      </c>
      <c r="AT167" s="340">
        <v>6.6586025539465465E-2</v>
      </c>
      <c r="AU167" s="340">
        <v>6.6586025539465465E-2</v>
      </c>
      <c r="AV167" s="340">
        <v>6.6586025539465465E-2</v>
      </c>
      <c r="AW167" s="340">
        <v>6.6586025539465465E-2</v>
      </c>
      <c r="AX167" s="340">
        <v>6.6586025539465465E-2</v>
      </c>
      <c r="AY167" s="340">
        <v>6.6586025539465465E-2</v>
      </c>
    </row>
    <row r="168" spans="1:51">
      <c r="A168" s="338" t="s">
        <v>2897</v>
      </c>
      <c r="B168" s="339">
        <v>85.398706896551715</v>
      </c>
      <c r="C168" s="340">
        <v>92.53232758620689</v>
      </c>
      <c r="D168" s="340">
        <v>99.234913793103431</v>
      </c>
      <c r="E168" s="340">
        <v>105.54956896551724</v>
      </c>
      <c r="F168" s="340">
        <v>111.48706896551724</v>
      </c>
      <c r="G168" s="340">
        <v>117.06896551724137</v>
      </c>
      <c r="H168" s="340">
        <v>122.32758620689654</v>
      </c>
      <c r="I168" s="340">
        <v>127.26293103448276</v>
      </c>
      <c r="J168" s="340">
        <v>131.90732758620689</v>
      </c>
      <c r="K168" s="340">
        <v>136.27155172413794</v>
      </c>
      <c r="L168" s="340">
        <v>140.36637931034483</v>
      </c>
      <c r="M168" s="340">
        <v>144.21336206896549</v>
      </c>
      <c r="N168" s="340">
        <v>144.21336206896549</v>
      </c>
      <c r="O168" s="340">
        <v>144.21336206896549</v>
      </c>
      <c r="P168" s="340">
        <v>144.21336206896549</v>
      </c>
      <c r="Q168" s="340">
        <v>144.21336206896549</v>
      </c>
      <c r="R168" s="340">
        <v>144.21336206896549</v>
      </c>
      <c r="S168" s="340">
        <v>144.21336206896549</v>
      </c>
      <c r="T168" s="340">
        <v>144.21336206896549</v>
      </c>
      <c r="U168" s="340">
        <v>144.21336206896549</v>
      </c>
      <c r="V168" s="340">
        <v>144.21336206896549</v>
      </c>
      <c r="W168" s="340">
        <v>144.21336206896549</v>
      </c>
      <c r="X168" s="340">
        <v>144.21336206896549</v>
      </c>
      <c r="Y168" s="340">
        <v>144.21336206896549</v>
      </c>
      <c r="Z168" s="340">
        <v>144.21336206896549</v>
      </c>
      <c r="AA168" s="340">
        <v>144.21336206896549</v>
      </c>
      <c r="AB168" s="340">
        <v>144.21336206896549</v>
      </c>
      <c r="AC168" s="340">
        <v>144.21336206896549</v>
      </c>
      <c r="AD168" s="340">
        <v>144.21336206896549</v>
      </c>
      <c r="AE168" s="340">
        <v>144.21336206896549</v>
      </c>
      <c r="AF168" s="340">
        <v>144.21336206896549</v>
      </c>
      <c r="AG168" s="340">
        <v>144.21336206896549</v>
      </c>
      <c r="AH168" s="340">
        <v>144.21336206896549</v>
      </c>
      <c r="AI168" s="340">
        <v>144.21336206896549</v>
      </c>
      <c r="AJ168" s="340">
        <v>144.21336206896549</v>
      </c>
      <c r="AK168" s="340">
        <v>144.21336206896549</v>
      </c>
      <c r="AL168" s="340">
        <v>144.21336206896549</v>
      </c>
      <c r="AM168" s="340">
        <v>144.21336206896549</v>
      </c>
      <c r="AN168" s="340">
        <v>144.21336206896549</v>
      </c>
      <c r="AO168" s="340">
        <v>144.21336206896549</v>
      </c>
      <c r="AP168" s="340">
        <v>144.21336206896549</v>
      </c>
      <c r="AQ168" s="340">
        <v>144.21336206896549</v>
      </c>
      <c r="AR168" s="340">
        <v>144.21336206896549</v>
      </c>
      <c r="AS168" s="340">
        <v>144.21336206896549</v>
      </c>
      <c r="AT168" s="340">
        <v>144.21336206896549</v>
      </c>
      <c r="AU168" s="340">
        <v>144.21336206896549</v>
      </c>
      <c r="AV168" s="340">
        <v>144.21336206896549</v>
      </c>
      <c r="AW168" s="340">
        <v>144.21336206896549</v>
      </c>
      <c r="AX168" s="340">
        <v>144.21336206896549</v>
      </c>
      <c r="AY168" s="340">
        <v>144.21336206896549</v>
      </c>
    </row>
    <row r="169" spans="1:51">
      <c r="A169" s="338" t="s">
        <v>2898</v>
      </c>
      <c r="B169" s="342">
        <v>13.64</v>
      </c>
      <c r="C169" s="343">
        <v>13.41</v>
      </c>
      <c r="D169" s="343">
        <v>13.19</v>
      </c>
      <c r="E169" s="343">
        <v>13.19</v>
      </c>
      <c r="F169" s="343">
        <v>13.19</v>
      </c>
      <c r="G169" s="343">
        <v>13.19</v>
      </c>
      <c r="H169" s="343">
        <v>13.27</v>
      </c>
      <c r="I169" s="343">
        <v>13.34</v>
      </c>
      <c r="J169" s="343">
        <v>13.42</v>
      </c>
      <c r="K169" s="343">
        <v>13.42</v>
      </c>
      <c r="L169" s="343">
        <v>13.42</v>
      </c>
      <c r="M169" s="343">
        <v>13.42</v>
      </c>
      <c r="N169" s="343">
        <v>13.42</v>
      </c>
      <c r="O169" s="343">
        <v>13.42</v>
      </c>
      <c r="P169" s="343">
        <v>13.42</v>
      </c>
      <c r="Q169" s="343">
        <v>13.42</v>
      </c>
      <c r="R169" s="343">
        <v>13.42</v>
      </c>
      <c r="S169" s="343">
        <v>13.42</v>
      </c>
      <c r="T169" s="343">
        <v>13.42</v>
      </c>
      <c r="U169" s="343">
        <v>13.42</v>
      </c>
      <c r="V169" s="343">
        <v>13.42</v>
      </c>
      <c r="W169" s="343">
        <v>13.42</v>
      </c>
      <c r="X169" s="343">
        <v>13.42</v>
      </c>
      <c r="Y169" s="343">
        <v>13.42</v>
      </c>
      <c r="Z169" s="343">
        <v>13.42</v>
      </c>
      <c r="AA169" s="343">
        <v>13.42</v>
      </c>
      <c r="AB169" s="343">
        <v>13.42</v>
      </c>
      <c r="AC169" s="343">
        <v>13.42</v>
      </c>
      <c r="AD169" s="343">
        <v>13.42</v>
      </c>
      <c r="AE169" s="343">
        <v>13.42</v>
      </c>
      <c r="AF169" s="343">
        <v>13.42</v>
      </c>
      <c r="AG169" s="343">
        <v>13.42</v>
      </c>
      <c r="AH169" s="343">
        <v>13.42</v>
      </c>
      <c r="AI169" s="343">
        <v>13.42</v>
      </c>
      <c r="AJ169" s="343">
        <v>13.42</v>
      </c>
      <c r="AK169" s="343">
        <v>13.42</v>
      </c>
      <c r="AL169" s="343">
        <v>13.42</v>
      </c>
      <c r="AM169" s="343">
        <v>13.42</v>
      </c>
      <c r="AN169" s="343">
        <v>13.42</v>
      </c>
      <c r="AO169" s="343">
        <v>13.42</v>
      </c>
      <c r="AP169" s="343">
        <v>13.42</v>
      </c>
      <c r="AQ169" s="343">
        <v>13.42</v>
      </c>
      <c r="AR169" s="343">
        <v>13.42</v>
      </c>
      <c r="AS169" s="343">
        <v>13.42</v>
      </c>
      <c r="AT169" s="343">
        <v>13.42</v>
      </c>
      <c r="AU169" s="343">
        <v>13.42</v>
      </c>
      <c r="AV169" s="343">
        <v>13.42</v>
      </c>
      <c r="AW169" s="343">
        <v>13.42</v>
      </c>
      <c r="AX169" s="343">
        <v>13.42</v>
      </c>
      <c r="AY169" s="344">
        <v>13.42</v>
      </c>
    </row>
    <row r="170" spans="1:51">
      <c r="A170" s="338" t="s">
        <v>2899</v>
      </c>
      <c r="B170" s="342">
        <v>12.012499999999999</v>
      </c>
      <c r="C170" s="343">
        <v>11.794166666666667</v>
      </c>
      <c r="D170" s="343">
        <v>11.585833333333333</v>
      </c>
      <c r="E170" s="343">
        <v>11.585833333333333</v>
      </c>
      <c r="F170" s="343">
        <v>11.585833333333333</v>
      </c>
      <c r="G170" s="343">
        <v>11.585833333333333</v>
      </c>
      <c r="H170" s="343">
        <v>11.66</v>
      </c>
      <c r="I170" s="343">
        <v>11.73</v>
      </c>
      <c r="J170" s="343">
        <v>11.804166666666667</v>
      </c>
      <c r="K170" s="343">
        <v>11.804166666666667</v>
      </c>
      <c r="L170" s="343">
        <v>11.804166666666667</v>
      </c>
      <c r="M170" s="343">
        <v>11.804166666666667</v>
      </c>
      <c r="N170" s="343">
        <v>11.804166666666667</v>
      </c>
      <c r="O170" s="343">
        <v>11.804166666666667</v>
      </c>
      <c r="P170" s="343">
        <v>11.804166666666667</v>
      </c>
      <c r="Q170" s="343">
        <v>11.804166666666667</v>
      </c>
      <c r="R170" s="343">
        <v>11.804166666666667</v>
      </c>
      <c r="S170" s="343">
        <v>11.804166666666667</v>
      </c>
      <c r="T170" s="343">
        <v>11.804166666666667</v>
      </c>
      <c r="U170" s="343">
        <v>11.804166666666667</v>
      </c>
      <c r="V170" s="343">
        <v>11.804166666666667</v>
      </c>
      <c r="W170" s="343">
        <v>11.804166666666667</v>
      </c>
      <c r="X170" s="343">
        <v>11.804166666666667</v>
      </c>
      <c r="Y170" s="343">
        <v>11.804166666666667</v>
      </c>
      <c r="Z170" s="343">
        <v>11.804166666666667</v>
      </c>
      <c r="AA170" s="343">
        <v>11.804166666666667</v>
      </c>
      <c r="AB170" s="343">
        <v>11.804166666666667</v>
      </c>
      <c r="AC170" s="343">
        <v>11.804166666666667</v>
      </c>
      <c r="AD170" s="343">
        <v>11.804166666666667</v>
      </c>
      <c r="AE170" s="343">
        <v>11.804166666666667</v>
      </c>
      <c r="AF170" s="343">
        <v>11.804166666666667</v>
      </c>
      <c r="AG170" s="343">
        <v>11.804166666666667</v>
      </c>
      <c r="AH170" s="343">
        <v>11.804166666666667</v>
      </c>
      <c r="AI170" s="343">
        <v>11.804166666666667</v>
      </c>
      <c r="AJ170" s="343">
        <v>11.804166666666667</v>
      </c>
      <c r="AK170" s="343">
        <v>11.804166666666667</v>
      </c>
      <c r="AL170" s="343">
        <v>11.804166666666667</v>
      </c>
      <c r="AM170" s="343">
        <v>11.804166666666667</v>
      </c>
      <c r="AN170" s="343">
        <v>11.804166666666667</v>
      </c>
      <c r="AO170" s="343">
        <v>11.804166666666667</v>
      </c>
      <c r="AP170" s="343">
        <v>11.804166666666667</v>
      </c>
      <c r="AQ170" s="343">
        <v>11.804166666666667</v>
      </c>
      <c r="AR170" s="343">
        <v>11.804166666666667</v>
      </c>
      <c r="AS170" s="343">
        <v>11.804166666666667</v>
      </c>
      <c r="AT170" s="343">
        <v>11.804166666666667</v>
      </c>
      <c r="AU170" s="343">
        <v>11.804166666666667</v>
      </c>
      <c r="AV170" s="343">
        <v>11.804166666666667</v>
      </c>
      <c r="AW170" s="343">
        <v>11.804166666666667</v>
      </c>
      <c r="AX170" s="343">
        <v>11.804166666666699</v>
      </c>
      <c r="AY170" s="344">
        <v>11.804166666666699</v>
      </c>
    </row>
    <row r="171" spans="1:51">
      <c r="A171" s="338" t="s">
        <v>2887</v>
      </c>
      <c r="B171" s="342">
        <v>6.2842588284472054</v>
      </c>
      <c r="C171" s="343">
        <v>6.8383434812431512</v>
      </c>
      <c r="D171" s="343">
        <v>7.1275036881476561</v>
      </c>
      <c r="E171" s="343">
        <v>7.3517937696168021</v>
      </c>
      <c r="F171" s="343">
        <v>7.5350521097572987</v>
      </c>
      <c r="G171" s="343">
        <v>7.6899948286185555</v>
      </c>
      <c r="H171" s="343">
        <v>7.8242123166618027</v>
      </c>
      <c r="I171" s="343">
        <v>9.17</v>
      </c>
      <c r="J171" s="343">
        <v>8.3122147120447227</v>
      </c>
      <c r="K171" s="343">
        <v>8.3867034571327022</v>
      </c>
      <c r="L171" s="343">
        <v>8.4560508197405948</v>
      </c>
      <c r="M171" s="343">
        <v>8.5209209451759538</v>
      </c>
      <c r="N171" s="343">
        <v>8.5818570613494281</v>
      </c>
      <c r="O171" s="343">
        <v>8.6057375436489494</v>
      </c>
      <c r="P171" s="343">
        <v>8.6071420683686046</v>
      </c>
      <c r="Q171" s="343">
        <v>8.6071420683686046</v>
      </c>
      <c r="R171" s="343">
        <v>8.6814020669464895</v>
      </c>
      <c r="S171" s="343">
        <v>8.7410874140605106</v>
      </c>
      <c r="T171" s="343">
        <v>8.8007727611745192</v>
      </c>
      <c r="U171" s="343">
        <v>8.8007727611745192</v>
      </c>
      <c r="V171" s="343">
        <v>8.8007727611745192</v>
      </c>
      <c r="W171" s="343">
        <v>8.8007727611745192</v>
      </c>
      <c r="X171" s="343">
        <v>8.8007727611745192</v>
      </c>
      <c r="Y171" s="343">
        <v>8.8007727611745192</v>
      </c>
      <c r="Z171" s="343">
        <v>8.8007727611745192</v>
      </c>
      <c r="AA171" s="343">
        <v>8.8007727611745192</v>
      </c>
      <c r="AB171" s="343">
        <v>8.8007727611745192</v>
      </c>
      <c r="AC171" s="343">
        <v>8.8007727611745192</v>
      </c>
      <c r="AD171" s="343">
        <v>8.8007727611745192</v>
      </c>
      <c r="AE171" s="343">
        <v>8.8007727611745192</v>
      </c>
      <c r="AF171" s="343">
        <v>8.8007727611745192</v>
      </c>
      <c r="AG171" s="343">
        <v>8.8007727611745192</v>
      </c>
      <c r="AH171" s="343">
        <v>8.8007727611745192</v>
      </c>
      <c r="AI171" s="343">
        <v>8.8007727611745192</v>
      </c>
      <c r="AJ171" s="343">
        <v>8.8007727611745192</v>
      </c>
      <c r="AK171" s="343">
        <v>8.8007727611745192</v>
      </c>
      <c r="AL171" s="343">
        <v>8.8007727611745192</v>
      </c>
      <c r="AM171" s="343">
        <v>8.8007727611745192</v>
      </c>
      <c r="AN171" s="343">
        <v>8.8007727611745192</v>
      </c>
      <c r="AO171" s="343">
        <v>8.8007727611745192</v>
      </c>
      <c r="AP171" s="343">
        <v>8.8007727611745192</v>
      </c>
      <c r="AQ171" s="343">
        <v>8.8007727611745192</v>
      </c>
      <c r="AR171" s="343">
        <v>8.8007727611745192</v>
      </c>
      <c r="AS171" s="343">
        <v>8.8007727611745192</v>
      </c>
      <c r="AT171" s="343">
        <v>8.8007727611745192</v>
      </c>
      <c r="AU171" s="343">
        <v>8.8007727611745192</v>
      </c>
      <c r="AV171" s="343">
        <v>8.8007727611745192</v>
      </c>
      <c r="AW171" s="343">
        <v>8.8007727611745192</v>
      </c>
      <c r="AX171" s="343">
        <v>8.8007727611745192</v>
      </c>
      <c r="AY171" s="344">
        <v>8.8007727611745192</v>
      </c>
    </row>
    <row r="172" spans="1:51">
      <c r="A172" s="338" t="s">
        <v>2888</v>
      </c>
      <c r="B172" s="339">
        <v>6.28E-3</v>
      </c>
      <c r="C172" s="340">
        <v>6.1999999999999998E-3</v>
      </c>
      <c r="D172" s="340">
        <v>6.1200000000000004E-3</v>
      </c>
      <c r="E172" s="340">
        <v>6.0000000000000001E-3</v>
      </c>
      <c r="F172" s="340">
        <v>5.8799999999999998E-3</v>
      </c>
      <c r="G172" s="340">
        <v>5.77E-3</v>
      </c>
      <c r="H172" s="340">
        <v>5.77E-3</v>
      </c>
      <c r="I172" s="340">
        <v>5.7599999999999995E-3</v>
      </c>
      <c r="J172" s="340">
        <v>5.7599999999999995E-3</v>
      </c>
      <c r="K172" s="340">
        <v>5.7499999999999999E-3</v>
      </c>
      <c r="L172" s="340">
        <v>5.7499999999999999E-3</v>
      </c>
      <c r="M172" s="340">
        <v>5.7499999999999999E-3</v>
      </c>
      <c r="N172" s="340">
        <v>5.7400000000000003E-3</v>
      </c>
      <c r="O172" s="340">
        <v>5.7400000000000003E-3</v>
      </c>
      <c r="P172" s="340">
        <v>5.7300000000000007E-3</v>
      </c>
      <c r="Q172" s="340">
        <v>5.7300000000000007E-3</v>
      </c>
      <c r="R172" s="340">
        <v>5.7300000000000007E-3</v>
      </c>
      <c r="S172" s="340">
        <v>5.7300000000000007E-3</v>
      </c>
      <c r="T172" s="340">
        <v>5.7300000000000007E-3</v>
      </c>
      <c r="U172" s="340">
        <v>5.7300000000000007E-3</v>
      </c>
      <c r="V172" s="340">
        <v>5.7300000000000007E-3</v>
      </c>
      <c r="W172" s="340">
        <v>5.7300000000000007E-3</v>
      </c>
      <c r="X172" s="340">
        <v>5.7300000000000007E-3</v>
      </c>
      <c r="Y172" s="340">
        <v>5.7300000000000007E-3</v>
      </c>
      <c r="Z172" s="340">
        <v>5.7300000000000007E-3</v>
      </c>
      <c r="AA172" s="340">
        <v>5.7300000000000007E-3</v>
      </c>
      <c r="AB172" s="340">
        <v>5.7300000000000007E-3</v>
      </c>
      <c r="AC172" s="340">
        <v>5.7300000000000007E-3</v>
      </c>
      <c r="AD172" s="340">
        <v>5.7300000000000007E-3</v>
      </c>
      <c r="AE172" s="340">
        <v>5.7300000000000007E-3</v>
      </c>
      <c r="AF172" s="340">
        <v>5.7300000000000007E-3</v>
      </c>
      <c r="AG172" s="340">
        <v>5.7300000000000007E-3</v>
      </c>
      <c r="AH172" s="340">
        <v>5.7300000000000007E-3</v>
      </c>
      <c r="AI172" s="340">
        <v>5.7300000000000007E-3</v>
      </c>
      <c r="AJ172" s="340">
        <v>5.7300000000000007E-3</v>
      </c>
      <c r="AK172" s="340">
        <v>5.7300000000000007E-3</v>
      </c>
      <c r="AL172" s="340">
        <v>5.7300000000000007E-3</v>
      </c>
      <c r="AM172" s="340">
        <v>5.7300000000000007E-3</v>
      </c>
      <c r="AN172" s="340">
        <v>5.7300000000000007E-3</v>
      </c>
      <c r="AO172" s="340">
        <v>5.7300000000000007E-3</v>
      </c>
      <c r="AP172" s="340">
        <v>5.7300000000000007E-3</v>
      </c>
      <c r="AQ172" s="340">
        <v>5.7300000000000007E-3</v>
      </c>
      <c r="AR172" s="340">
        <v>5.7300000000000007E-3</v>
      </c>
      <c r="AS172" s="340">
        <v>5.7300000000000007E-3</v>
      </c>
      <c r="AT172" s="340">
        <v>5.7300000000000007E-3</v>
      </c>
      <c r="AU172" s="340">
        <v>5.7300000000000007E-3</v>
      </c>
      <c r="AV172" s="340">
        <v>5.7300000000000007E-3</v>
      </c>
      <c r="AW172" s="340">
        <v>5.7300000000000007E-3</v>
      </c>
      <c r="AX172" s="340">
        <v>5.7300000000000007E-3</v>
      </c>
      <c r="AY172" s="341">
        <v>5.7300000000000007E-3</v>
      </c>
    </row>
    <row r="173" spans="1:51">
      <c r="A173" s="338" t="s">
        <v>2889</v>
      </c>
      <c r="B173" s="342">
        <f>(58.5/1000)*15</f>
        <v>0.87750000000000006</v>
      </c>
      <c r="C173" s="343">
        <f t="shared" ref="C173:AD174" si="68">(58.5/1000)*15</f>
        <v>0.87750000000000006</v>
      </c>
      <c r="D173" s="343">
        <f t="shared" si="68"/>
        <v>0.87750000000000006</v>
      </c>
      <c r="E173" s="343">
        <f t="shared" si="68"/>
        <v>0.87750000000000006</v>
      </c>
      <c r="F173" s="343">
        <f t="shared" si="68"/>
        <v>0.87750000000000006</v>
      </c>
      <c r="G173" s="343">
        <f t="shared" si="68"/>
        <v>0.87750000000000006</v>
      </c>
      <c r="H173" s="343">
        <f t="shared" si="68"/>
        <v>0.87750000000000006</v>
      </c>
      <c r="I173" s="343">
        <f t="shared" si="68"/>
        <v>0.87750000000000006</v>
      </c>
      <c r="J173" s="343">
        <f t="shared" si="68"/>
        <v>0.87750000000000006</v>
      </c>
      <c r="K173" s="343">
        <f t="shared" si="68"/>
        <v>0.87750000000000006</v>
      </c>
      <c r="L173" s="343">
        <f t="shared" si="68"/>
        <v>0.87750000000000006</v>
      </c>
      <c r="M173" s="343">
        <f t="shared" si="68"/>
        <v>0.87750000000000006</v>
      </c>
      <c r="N173" s="343">
        <f t="shared" si="68"/>
        <v>0.87750000000000006</v>
      </c>
      <c r="O173" s="343">
        <f t="shared" si="68"/>
        <v>0.87750000000000006</v>
      </c>
      <c r="P173" s="343">
        <f t="shared" si="68"/>
        <v>0.87750000000000006</v>
      </c>
      <c r="Q173" s="343">
        <f t="shared" si="68"/>
        <v>0.87750000000000006</v>
      </c>
      <c r="R173" s="343">
        <f t="shared" si="68"/>
        <v>0.87750000000000006</v>
      </c>
      <c r="S173" s="343">
        <f t="shared" si="68"/>
        <v>0.87750000000000006</v>
      </c>
      <c r="T173" s="343">
        <f t="shared" si="68"/>
        <v>0.87750000000000006</v>
      </c>
      <c r="U173" s="343">
        <f t="shared" si="68"/>
        <v>0.87750000000000006</v>
      </c>
      <c r="V173" s="343">
        <f t="shared" si="68"/>
        <v>0.87750000000000006</v>
      </c>
      <c r="W173" s="343">
        <f t="shared" si="68"/>
        <v>0.87750000000000006</v>
      </c>
      <c r="X173" s="343">
        <f t="shared" si="68"/>
        <v>0.87750000000000006</v>
      </c>
      <c r="Y173" s="343">
        <f t="shared" si="68"/>
        <v>0.87750000000000006</v>
      </c>
      <c r="Z173" s="343">
        <f t="shared" si="68"/>
        <v>0.87750000000000006</v>
      </c>
      <c r="AA173" s="343">
        <f t="shared" si="68"/>
        <v>0.87750000000000006</v>
      </c>
      <c r="AB173" s="343">
        <f t="shared" si="68"/>
        <v>0.87750000000000006</v>
      </c>
      <c r="AC173" s="343">
        <f t="shared" si="68"/>
        <v>0.87750000000000006</v>
      </c>
      <c r="AD173" s="343">
        <f t="shared" si="68"/>
        <v>0.87750000000000006</v>
      </c>
      <c r="AE173" s="343">
        <f>(58.5/1000)*15</f>
        <v>0.87750000000000006</v>
      </c>
      <c r="AF173" s="343">
        <f t="shared" ref="AF173:AY174" si="69">(58.5/1000)*15</f>
        <v>0.87750000000000006</v>
      </c>
      <c r="AG173" s="343">
        <f t="shared" si="69"/>
        <v>0.87750000000000006</v>
      </c>
      <c r="AH173" s="343">
        <f t="shared" si="69"/>
        <v>0.87750000000000006</v>
      </c>
      <c r="AI173" s="343">
        <f t="shared" si="69"/>
        <v>0.87750000000000006</v>
      </c>
      <c r="AJ173" s="343">
        <f t="shared" si="69"/>
        <v>0.87750000000000006</v>
      </c>
      <c r="AK173" s="343">
        <f t="shared" si="69"/>
        <v>0.87750000000000006</v>
      </c>
      <c r="AL173" s="343">
        <f t="shared" si="69"/>
        <v>0.87750000000000006</v>
      </c>
      <c r="AM173" s="343">
        <f t="shared" si="69"/>
        <v>0.87750000000000006</v>
      </c>
      <c r="AN173" s="343">
        <f t="shared" si="69"/>
        <v>0.87750000000000006</v>
      </c>
      <c r="AO173" s="343">
        <f t="shared" si="69"/>
        <v>0.87750000000000006</v>
      </c>
      <c r="AP173" s="343">
        <f t="shared" si="69"/>
        <v>0.87750000000000006</v>
      </c>
      <c r="AQ173" s="343">
        <f t="shared" si="69"/>
        <v>0.87750000000000006</v>
      </c>
      <c r="AR173" s="343">
        <f t="shared" si="69"/>
        <v>0.87750000000000006</v>
      </c>
      <c r="AS173" s="343">
        <f t="shared" si="69"/>
        <v>0.87750000000000006</v>
      </c>
      <c r="AT173" s="343">
        <f t="shared" si="69"/>
        <v>0.87750000000000006</v>
      </c>
      <c r="AU173" s="343">
        <f t="shared" si="69"/>
        <v>0.87750000000000006</v>
      </c>
      <c r="AV173" s="343">
        <f t="shared" si="69"/>
        <v>0.87750000000000006</v>
      </c>
      <c r="AW173" s="343">
        <f t="shared" si="69"/>
        <v>0.87750000000000006</v>
      </c>
      <c r="AX173" s="343">
        <f t="shared" si="69"/>
        <v>0.87750000000000006</v>
      </c>
      <c r="AY173" s="344">
        <f t="shared" si="69"/>
        <v>0.87750000000000006</v>
      </c>
    </row>
    <row r="174" spans="1:51" ht="12.75" thickBot="1">
      <c r="A174" s="345" t="s">
        <v>2890</v>
      </c>
      <c r="B174" s="346">
        <f>(58.5/1000)*15</f>
        <v>0.87750000000000006</v>
      </c>
      <c r="C174" s="347">
        <f t="shared" si="68"/>
        <v>0.87750000000000006</v>
      </c>
      <c r="D174" s="347">
        <f t="shared" si="68"/>
        <v>0.87750000000000006</v>
      </c>
      <c r="E174" s="347">
        <f t="shared" si="68"/>
        <v>0.87750000000000006</v>
      </c>
      <c r="F174" s="347">
        <f t="shared" si="68"/>
        <v>0.87750000000000006</v>
      </c>
      <c r="G174" s="347">
        <f t="shared" si="68"/>
        <v>0.87750000000000006</v>
      </c>
      <c r="H174" s="347">
        <f t="shared" si="68"/>
        <v>0.87750000000000006</v>
      </c>
      <c r="I174" s="347">
        <f t="shared" si="68"/>
        <v>0.87750000000000006</v>
      </c>
      <c r="J174" s="347">
        <f t="shared" si="68"/>
        <v>0.87750000000000006</v>
      </c>
      <c r="K174" s="347">
        <f t="shared" si="68"/>
        <v>0.87750000000000006</v>
      </c>
      <c r="L174" s="347">
        <f t="shared" si="68"/>
        <v>0.87750000000000006</v>
      </c>
      <c r="M174" s="347">
        <f t="shared" si="68"/>
        <v>0.87750000000000006</v>
      </c>
      <c r="N174" s="347">
        <f t="shared" si="68"/>
        <v>0.87750000000000006</v>
      </c>
      <c r="O174" s="347">
        <f t="shared" si="68"/>
        <v>0.87750000000000006</v>
      </c>
      <c r="P174" s="347">
        <f t="shared" si="68"/>
        <v>0.87750000000000006</v>
      </c>
      <c r="Q174" s="347">
        <f t="shared" si="68"/>
        <v>0.87750000000000006</v>
      </c>
      <c r="R174" s="347">
        <f t="shared" si="68"/>
        <v>0.87750000000000006</v>
      </c>
      <c r="S174" s="347">
        <f t="shared" si="68"/>
        <v>0.87750000000000006</v>
      </c>
      <c r="T174" s="347">
        <f t="shared" si="68"/>
        <v>0.87750000000000006</v>
      </c>
      <c r="U174" s="347">
        <f t="shared" si="68"/>
        <v>0.87750000000000006</v>
      </c>
      <c r="V174" s="347">
        <f t="shared" si="68"/>
        <v>0.87750000000000006</v>
      </c>
      <c r="W174" s="347">
        <f t="shared" si="68"/>
        <v>0.87750000000000006</v>
      </c>
      <c r="X174" s="347">
        <f t="shared" si="68"/>
        <v>0.87750000000000006</v>
      </c>
      <c r="Y174" s="347">
        <f t="shared" si="68"/>
        <v>0.87750000000000006</v>
      </c>
      <c r="Z174" s="347">
        <f t="shared" si="68"/>
        <v>0.87750000000000006</v>
      </c>
      <c r="AA174" s="347">
        <f t="shared" si="68"/>
        <v>0.87750000000000006</v>
      </c>
      <c r="AB174" s="347">
        <f t="shared" si="68"/>
        <v>0.87750000000000006</v>
      </c>
      <c r="AC174" s="347">
        <f t="shared" si="68"/>
        <v>0.87750000000000006</v>
      </c>
      <c r="AD174" s="347">
        <f t="shared" si="68"/>
        <v>0.87750000000000006</v>
      </c>
      <c r="AE174" s="347">
        <f>(58.5/1000)*15</f>
        <v>0.87750000000000006</v>
      </c>
      <c r="AF174" s="347">
        <f t="shared" si="69"/>
        <v>0.87750000000000006</v>
      </c>
      <c r="AG174" s="347">
        <f t="shared" si="69"/>
        <v>0.87750000000000006</v>
      </c>
      <c r="AH174" s="347">
        <f t="shared" si="69"/>
        <v>0.87750000000000006</v>
      </c>
      <c r="AI174" s="347">
        <f t="shared" si="69"/>
        <v>0.87750000000000006</v>
      </c>
      <c r="AJ174" s="347">
        <f t="shared" si="69"/>
        <v>0.87750000000000006</v>
      </c>
      <c r="AK174" s="347">
        <f t="shared" si="69"/>
        <v>0.87750000000000006</v>
      </c>
      <c r="AL174" s="347">
        <f t="shared" si="69"/>
        <v>0.87750000000000006</v>
      </c>
      <c r="AM174" s="347">
        <f t="shared" si="69"/>
        <v>0.87750000000000006</v>
      </c>
      <c r="AN174" s="347">
        <f t="shared" si="69"/>
        <v>0.87750000000000006</v>
      </c>
      <c r="AO174" s="347">
        <f t="shared" si="69"/>
        <v>0.87750000000000006</v>
      </c>
      <c r="AP174" s="347">
        <f t="shared" si="69"/>
        <v>0.87750000000000006</v>
      </c>
      <c r="AQ174" s="347">
        <f t="shared" si="69"/>
        <v>0.87750000000000006</v>
      </c>
      <c r="AR174" s="347">
        <f t="shared" si="69"/>
        <v>0.87750000000000006</v>
      </c>
      <c r="AS174" s="347">
        <f t="shared" si="69"/>
        <v>0.87750000000000006</v>
      </c>
      <c r="AT174" s="347">
        <f t="shared" si="69"/>
        <v>0.87750000000000006</v>
      </c>
      <c r="AU174" s="347">
        <f t="shared" si="69"/>
        <v>0.87750000000000006</v>
      </c>
      <c r="AV174" s="347">
        <f t="shared" si="69"/>
        <v>0.87750000000000006</v>
      </c>
      <c r="AW174" s="347">
        <f t="shared" si="69"/>
        <v>0.87750000000000006</v>
      </c>
      <c r="AX174" s="347">
        <f t="shared" si="69"/>
        <v>0.87750000000000006</v>
      </c>
      <c r="AY174" s="348">
        <f t="shared" si="69"/>
        <v>0.87750000000000006</v>
      </c>
    </row>
    <row r="175" spans="1:51">
      <c r="B175" s="325"/>
      <c r="C175" s="325"/>
      <c r="D175" s="325"/>
      <c r="E175" s="325"/>
      <c r="F175" s="325"/>
      <c r="G175" s="325"/>
      <c r="H175" s="325"/>
      <c r="I175" s="325"/>
      <c r="J175" s="325"/>
      <c r="K175" s="325"/>
      <c r="L175" s="325"/>
      <c r="M175" s="325"/>
      <c r="N175" s="325"/>
      <c r="O175" s="325"/>
      <c r="P175" s="325"/>
      <c r="Q175" s="325"/>
      <c r="R175" s="325"/>
      <c r="S175" s="325"/>
      <c r="T175" s="325"/>
      <c r="U175" s="325"/>
      <c r="V175" s="325"/>
      <c r="W175" s="325"/>
      <c r="X175" s="325"/>
      <c r="Y175" s="325"/>
      <c r="Z175" s="325"/>
      <c r="AA175" s="325"/>
      <c r="AB175" s="325"/>
      <c r="AC175" s="325"/>
      <c r="AD175" s="325"/>
      <c r="AE175" s="325"/>
    </row>
    <row r="176" spans="1:51" ht="15.75" thickBot="1">
      <c r="A176" s="329" t="s">
        <v>2891</v>
      </c>
      <c r="B176" s="325"/>
      <c r="C176" s="325"/>
      <c r="D176" s="325"/>
      <c r="E176" s="325"/>
      <c r="F176" s="325"/>
      <c r="G176" s="325"/>
      <c r="H176" s="325"/>
      <c r="I176" s="325"/>
      <c r="J176" s="325"/>
      <c r="K176" s="325"/>
      <c r="L176" s="325"/>
      <c r="M176" s="325"/>
      <c r="N176" s="325"/>
      <c r="O176" s="325"/>
      <c r="P176" s="325"/>
      <c r="Q176" s="325"/>
      <c r="R176" s="325"/>
      <c r="S176" s="325"/>
      <c r="T176" s="325"/>
      <c r="U176" s="325"/>
      <c r="V176" s="325"/>
      <c r="W176" s="325"/>
      <c r="X176" s="325"/>
      <c r="Y176" s="325"/>
      <c r="Z176" s="325"/>
      <c r="AA176" s="325"/>
      <c r="AB176" s="325"/>
      <c r="AC176" s="325"/>
      <c r="AD176" s="325"/>
      <c r="AE176" s="325"/>
    </row>
    <row r="177" spans="1:51" ht="12.75" thickBot="1">
      <c r="A177" s="330" t="s">
        <v>2886</v>
      </c>
      <c r="B177" s="331">
        <v>1</v>
      </c>
      <c r="C177" s="332">
        <v>2</v>
      </c>
      <c r="D177" s="332">
        <v>3</v>
      </c>
      <c r="E177" s="332">
        <v>4</v>
      </c>
      <c r="F177" s="332">
        <v>5</v>
      </c>
      <c r="G177" s="332">
        <v>6</v>
      </c>
      <c r="H177" s="332">
        <v>7</v>
      </c>
      <c r="I177" s="332">
        <v>8</v>
      </c>
      <c r="J177" s="332">
        <v>9</v>
      </c>
      <c r="K177" s="332">
        <v>10</v>
      </c>
      <c r="L177" s="332">
        <v>11</v>
      </c>
      <c r="M177" s="332">
        <v>12</v>
      </c>
      <c r="N177" s="332">
        <v>13</v>
      </c>
      <c r="O177" s="332">
        <v>14</v>
      </c>
      <c r="P177" s="332">
        <v>15</v>
      </c>
      <c r="Q177" s="332">
        <v>16</v>
      </c>
      <c r="R177" s="332">
        <v>17</v>
      </c>
      <c r="S177" s="332">
        <v>18</v>
      </c>
      <c r="T177" s="332">
        <v>19</v>
      </c>
      <c r="U177" s="332">
        <v>20</v>
      </c>
      <c r="V177" s="332">
        <v>21</v>
      </c>
      <c r="W177" s="332">
        <v>22</v>
      </c>
      <c r="X177" s="332">
        <v>23</v>
      </c>
      <c r="Y177" s="332">
        <v>24</v>
      </c>
      <c r="Z177" s="332">
        <v>25</v>
      </c>
      <c r="AA177" s="332">
        <v>26</v>
      </c>
      <c r="AB177" s="332">
        <v>27</v>
      </c>
      <c r="AC177" s="332">
        <v>28</v>
      </c>
      <c r="AD177" s="332">
        <v>29</v>
      </c>
      <c r="AE177" s="332">
        <v>30</v>
      </c>
      <c r="AF177" s="332">
        <f t="shared" ref="AF177:AY177" si="70">AE177+1</f>
        <v>31</v>
      </c>
      <c r="AG177" s="332">
        <f t="shared" si="70"/>
        <v>32</v>
      </c>
      <c r="AH177" s="332">
        <f t="shared" si="70"/>
        <v>33</v>
      </c>
      <c r="AI177" s="332">
        <f t="shared" si="70"/>
        <v>34</v>
      </c>
      <c r="AJ177" s="332">
        <f t="shared" si="70"/>
        <v>35</v>
      </c>
      <c r="AK177" s="332">
        <f t="shared" si="70"/>
        <v>36</v>
      </c>
      <c r="AL177" s="332">
        <f t="shared" si="70"/>
        <v>37</v>
      </c>
      <c r="AM177" s="332">
        <f t="shared" si="70"/>
        <v>38</v>
      </c>
      <c r="AN177" s="332">
        <f t="shared" si="70"/>
        <v>39</v>
      </c>
      <c r="AO177" s="332">
        <f t="shared" si="70"/>
        <v>40</v>
      </c>
      <c r="AP177" s="332">
        <f t="shared" si="70"/>
        <v>41</v>
      </c>
      <c r="AQ177" s="332">
        <f t="shared" si="70"/>
        <v>42</v>
      </c>
      <c r="AR177" s="332">
        <f t="shared" si="70"/>
        <v>43</v>
      </c>
      <c r="AS177" s="332">
        <f t="shared" si="70"/>
        <v>44</v>
      </c>
      <c r="AT177" s="332">
        <f t="shared" si="70"/>
        <v>45</v>
      </c>
      <c r="AU177" s="332">
        <f t="shared" si="70"/>
        <v>46</v>
      </c>
      <c r="AV177" s="332">
        <f t="shared" si="70"/>
        <v>47</v>
      </c>
      <c r="AW177" s="332">
        <f t="shared" si="70"/>
        <v>48</v>
      </c>
      <c r="AX177" s="332">
        <f t="shared" si="70"/>
        <v>49</v>
      </c>
      <c r="AY177" s="333">
        <f t="shared" si="70"/>
        <v>50</v>
      </c>
    </row>
    <row r="178" spans="1:51">
      <c r="A178" s="334" t="s">
        <v>2908</v>
      </c>
      <c r="B178" s="335">
        <f t="shared" ref="B178:B185" si="71">B167/(1+$C$3)^(B$16-0.5)</f>
        <v>6.6506021841986604E-2</v>
      </c>
      <c r="C178" s="336">
        <f t="shared" ref="C178:AY183" si="72">(C167/(1+$C$3)^(C$16-0.5)+B178)</f>
        <v>0.12827490399744898</v>
      </c>
      <c r="D178" s="336">
        <f t="shared" si="72"/>
        <v>0.18564973740670915</v>
      </c>
      <c r="E178" s="336">
        <f t="shared" si="72"/>
        <v>0.23990370587347698</v>
      </c>
      <c r="F178" s="336">
        <f t="shared" si="72"/>
        <v>0.29120627325122672</v>
      </c>
      <c r="G178" s="336">
        <f t="shared" si="72"/>
        <v>0.33972434249937733</v>
      </c>
      <c r="H178" s="336">
        <f t="shared" si="72"/>
        <v>0.38582353901948346</v>
      </c>
      <c r="I178" s="336">
        <f t="shared" si="72"/>
        <v>0.42962889916558616</v>
      </c>
      <c r="J178" s="336">
        <f t="shared" si="72"/>
        <v>0.47124865834523672</v>
      </c>
      <c r="K178" s="336">
        <f t="shared" si="72"/>
        <v>0.51079812378440359</v>
      </c>
      <c r="L178" s="336">
        <f t="shared" si="72"/>
        <v>0.54837896873154479</v>
      </c>
      <c r="M178" s="336">
        <f t="shared" si="72"/>
        <v>0.584085174103256</v>
      </c>
      <c r="N178" s="336">
        <f t="shared" si="72"/>
        <v>0.61801365427958765</v>
      </c>
      <c r="O178" s="336">
        <f t="shared" si="72"/>
        <v>0.65025363427340055</v>
      </c>
      <c r="P178" s="336">
        <f t="shared" si="72"/>
        <v>0.6808889547833743</v>
      </c>
      <c r="Q178" s="336">
        <f t="shared" si="72"/>
        <v>0.70992717327624033</v>
      </c>
      <c r="R178" s="336">
        <f t="shared" si="72"/>
        <v>0.73745155099459681</v>
      </c>
      <c r="S178" s="336">
        <f t="shared" si="72"/>
        <v>0.76354100854754137</v>
      </c>
      <c r="T178" s="336">
        <f t="shared" si="72"/>
        <v>0.78827035219962149</v>
      </c>
      <c r="U178" s="336">
        <f t="shared" si="72"/>
        <v>0.81171048836273063</v>
      </c>
      <c r="V178" s="336">
        <f t="shared" si="72"/>
        <v>0.83392862690596203</v>
      </c>
      <c r="W178" s="336">
        <f t="shared" si="72"/>
        <v>0.85498847386637089</v>
      </c>
      <c r="X178" s="336">
        <f t="shared" si="72"/>
        <v>0.87495041411320396</v>
      </c>
      <c r="Y178" s="336">
        <f t="shared" si="72"/>
        <v>0.89387168448934906</v>
      </c>
      <c r="Z178" s="336">
        <f t="shared" si="72"/>
        <v>0.91180653792645339</v>
      </c>
      <c r="AA178" s="336">
        <f t="shared" si="72"/>
        <v>0.92880639900427742</v>
      </c>
      <c r="AB178" s="336">
        <f t="shared" si="72"/>
        <v>0.94492001140031912</v>
      </c>
      <c r="AC178" s="336">
        <f t="shared" si="72"/>
        <v>0.96019357765249136</v>
      </c>
      <c r="AD178" s="336">
        <f t="shared" si="72"/>
        <v>0.97467089163559306</v>
      </c>
      <c r="AE178" s="336">
        <f t="shared" si="72"/>
        <v>0.98839346413142404</v>
      </c>
      <c r="AF178" s="336">
        <f t="shared" si="72"/>
        <v>1.0014006418525909</v>
      </c>
      <c r="AG178" s="336">
        <f t="shared" si="72"/>
        <v>1.0137297202612798</v>
      </c>
      <c r="AH178" s="336">
        <f t="shared" si="72"/>
        <v>1.0254160505064827</v>
      </c>
      <c r="AI178" s="336">
        <f t="shared" si="72"/>
        <v>1.0364931407862956</v>
      </c>
      <c r="AJ178" s="336">
        <f t="shared" si="72"/>
        <v>1.0469927524259288</v>
      </c>
      <c r="AK178" s="336">
        <f t="shared" si="72"/>
        <v>1.0569449909469082</v>
      </c>
      <c r="AL178" s="336">
        <f t="shared" si="72"/>
        <v>1.0663783923885948</v>
      </c>
      <c r="AM178" s="336">
        <f t="shared" si="72"/>
        <v>1.07532000512953</v>
      </c>
      <c r="AN178" s="336">
        <f t="shared" si="72"/>
        <v>1.0837954674432126</v>
      </c>
      <c r="AO178" s="336">
        <f t="shared" si="72"/>
        <v>1.0918290810106843</v>
      </c>
      <c r="AP178" s="336">
        <f t="shared" si="72"/>
        <v>1.099443880600705</v>
      </c>
      <c r="AQ178" s="336">
        <f t="shared" si="72"/>
        <v>1.106661700117312</v>
      </c>
      <c r="AR178" s="336">
        <f t="shared" si="72"/>
        <v>1.1135032352041434</v>
      </c>
      <c r="AS178" s="336">
        <f t="shared" si="72"/>
        <v>1.1199881025850262</v>
      </c>
      <c r="AT178" s="336">
        <f t="shared" si="72"/>
        <v>1.1261348963109816</v>
      </c>
      <c r="AU178" s="336">
        <f t="shared" si="72"/>
        <v>1.1319612410749202</v>
      </c>
      <c r="AV178" s="336">
        <f t="shared" si="72"/>
        <v>1.1374838427469001</v>
      </c>
      <c r="AW178" s="336">
        <f t="shared" si="72"/>
        <v>1.1427185362748431</v>
      </c>
      <c r="AX178" s="336">
        <f t="shared" si="72"/>
        <v>1.1476803310880592</v>
      </c>
      <c r="AY178" s="337">
        <f t="shared" si="72"/>
        <v>1.1523834541337616</v>
      </c>
    </row>
    <row r="179" spans="1:51">
      <c r="A179" s="338" t="s">
        <v>2909</v>
      </c>
      <c r="B179" s="342">
        <f t="shared" si="71"/>
        <v>83.142880157899583</v>
      </c>
      <c r="C179" s="343">
        <f t="shared" si="72"/>
        <v>168.53441057976141</v>
      </c>
      <c r="D179" s="343">
        <f t="shared" si="72"/>
        <v>255.33713327310039</v>
      </c>
      <c r="E179" s="343">
        <f t="shared" si="72"/>
        <v>342.85019038251738</v>
      </c>
      <c r="F179" s="343">
        <f t="shared" si="72"/>
        <v>430.46720059461694</v>
      </c>
      <c r="G179" s="343">
        <f t="shared" si="72"/>
        <v>517.67458334521405</v>
      </c>
      <c r="H179" s="343">
        <f t="shared" si="72"/>
        <v>604.04866016790231</v>
      </c>
      <c r="I179" s="343">
        <f t="shared" si="72"/>
        <v>689.22294077369145</v>
      </c>
      <c r="J179" s="343">
        <f t="shared" si="72"/>
        <v>772.90319960289992</v>
      </c>
      <c r="K179" s="343">
        <f t="shared" si="72"/>
        <v>854.84525147923114</v>
      </c>
      <c r="L179" s="343">
        <f t="shared" si="72"/>
        <v>934.84935653622915</v>
      </c>
      <c r="M179" s="343">
        <f t="shared" si="72"/>
        <v>1012.7609731846534</v>
      </c>
      <c r="N179" s="343">
        <f t="shared" si="72"/>
        <v>1086.6108467850554</v>
      </c>
      <c r="O179" s="343">
        <f t="shared" si="72"/>
        <v>1156.61072697501</v>
      </c>
      <c r="P179" s="343">
        <f t="shared" si="72"/>
        <v>1222.96132431146</v>
      </c>
      <c r="Q179" s="343">
        <f t="shared" si="72"/>
        <v>1285.8528857678107</v>
      </c>
      <c r="R179" s="343">
        <f t="shared" si="72"/>
        <v>1345.4657402288065</v>
      </c>
      <c r="S179" s="343">
        <f t="shared" si="72"/>
        <v>1401.9708155472858</v>
      </c>
      <c r="T179" s="343">
        <f t="shared" si="72"/>
        <v>1455.5301286453707</v>
      </c>
      <c r="U179" s="343">
        <f t="shared" si="72"/>
        <v>1506.2972500653564</v>
      </c>
      <c r="V179" s="343">
        <f t="shared" si="72"/>
        <v>1554.4177443023095</v>
      </c>
      <c r="W179" s="343">
        <f t="shared" si="72"/>
        <v>1600.0295871809381</v>
      </c>
      <c r="X179" s="343">
        <f t="shared" si="72"/>
        <v>1643.263561473477</v>
      </c>
      <c r="Y179" s="343">
        <f t="shared" si="72"/>
        <v>1684.2436318929451</v>
      </c>
      <c r="Z179" s="343">
        <f t="shared" si="72"/>
        <v>1723.0873005369908</v>
      </c>
      <c r="AA179" s="343">
        <f t="shared" si="72"/>
        <v>1759.9059438014892</v>
      </c>
      <c r="AB179" s="343">
        <f t="shared" si="72"/>
        <v>1794.8051317299237</v>
      </c>
      <c r="AC179" s="343">
        <f t="shared" si="72"/>
        <v>1827.8849307142218</v>
      </c>
      <c r="AD179" s="343">
        <f t="shared" si="72"/>
        <v>1859.2401904149783</v>
      </c>
      <c r="AE179" s="343">
        <f t="shared" si="72"/>
        <v>1888.9608157237521</v>
      </c>
      <c r="AF179" s="343">
        <f t="shared" si="72"/>
        <v>1917.1320245472346</v>
      </c>
      <c r="AG179" s="343">
        <f t="shared" si="72"/>
        <v>1943.834592152431</v>
      </c>
      <c r="AH179" s="343">
        <f t="shared" si="72"/>
        <v>1969.1450827734704</v>
      </c>
      <c r="AI179" s="343">
        <f t="shared" si="72"/>
        <v>1993.1360691441239</v>
      </c>
      <c r="AJ179" s="343">
        <f t="shared" si="72"/>
        <v>2015.8763405855016</v>
      </c>
      <c r="AK179" s="343">
        <f t="shared" si="72"/>
        <v>2037.4311002455752</v>
      </c>
      <c r="AL179" s="343">
        <f t="shared" si="72"/>
        <v>2057.8621520560714</v>
      </c>
      <c r="AM179" s="343">
        <f t="shared" si="72"/>
        <v>2077.2280779427979</v>
      </c>
      <c r="AN179" s="343">
        <f t="shared" si="72"/>
        <v>2095.5844057975146</v>
      </c>
      <c r="AO179" s="343">
        <f t="shared" si="72"/>
        <v>2112.9837686929809</v>
      </c>
      <c r="AP179" s="343">
        <f t="shared" si="72"/>
        <v>2129.4760557976883</v>
      </c>
      <c r="AQ179" s="343">
        <f t="shared" si="72"/>
        <v>2145.1085554230035</v>
      </c>
      <c r="AR179" s="343">
        <f t="shared" si="72"/>
        <v>2159.9260906128757</v>
      </c>
      <c r="AS179" s="343">
        <f t="shared" si="72"/>
        <v>2173.9711476648872</v>
      </c>
      <c r="AT179" s="343">
        <f t="shared" si="72"/>
        <v>2187.2839979511541</v>
      </c>
      <c r="AU179" s="343">
        <f t="shared" si="72"/>
        <v>2199.9028133883739</v>
      </c>
      <c r="AV179" s="343">
        <f t="shared" si="72"/>
        <v>2211.8637758881082</v>
      </c>
      <c r="AW179" s="343">
        <f t="shared" si="72"/>
        <v>2223.2011811011266</v>
      </c>
      <c r="AX179" s="343">
        <f t="shared" si="72"/>
        <v>2233.9475367532768</v>
      </c>
      <c r="AY179" s="344">
        <f t="shared" si="72"/>
        <v>2244.133655854841</v>
      </c>
    </row>
    <row r="180" spans="1:51">
      <c r="A180" s="338" t="s">
        <v>2910</v>
      </c>
      <c r="B180" s="342">
        <f t="shared" si="71"/>
        <v>13.279696222186503</v>
      </c>
      <c r="C180" s="343">
        <f t="shared" si="72"/>
        <v>25.654835298747013</v>
      </c>
      <c r="D180" s="343">
        <f t="shared" si="72"/>
        <v>37.192386635892532</v>
      </c>
      <c r="E180" s="343">
        <f t="shared" si="72"/>
        <v>48.128454254039944</v>
      </c>
      <c r="F180" s="343">
        <f t="shared" si="72"/>
        <v>58.494395124321855</v>
      </c>
      <c r="G180" s="343">
        <f t="shared" si="72"/>
        <v>68.319931494257318</v>
      </c>
      <c r="H180" s="343">
        <f t="shared" si="72"/>
        <v>77.689723173940223</v>
      </c>
      <c r="I180" s="343">
        <f t="shared" si="72"/>
        <v>86.617891761958674</v>
      </c>
      <c r="J180" s="343">
        <f t="shared" si="72"/>
        <v>95.131361741509721</v>
      </c>
      <c r="K180" s="343">
        <f t="shared" si="72"/>
        <v>103.20100153255336</v>
      </c>
      <c r="L180" s="343">
        <f t="shared" si="72"/>
        <v>110.84994920178904</v>
      </c>
      <c r="M180" s="343">
        <f t="shared" si="72"/>
        <v>118.10013656599348</v>
      </c>
      <c r="N180" s="343">
        <f t="shared" si="72"/>
        <v>124.97235207708773</v>
      </c>
      <c r="O180" s="343">
        <f t="shared" si="72"/>
        <v>131.48630042883585</v>
      </c>
      <c r="P180" s="343">
        <f t="shared" si="72"/>
        <v>137.66065905608525</v>
      </c>
      <c r="Q180" s="343">
        <f t="shared" si="72"/>
        <v>143.51313168854912</v>
      </c>
      <c r="R180" s="343">
        <f t="shared" si="72"/>
        <v>149.06049911268551</v>
      </c>
      <c r="S180" s="343">
        <f t="shared" si="72"/>
        <v>154.31866728722235</v>
      </c>
      <c r="T180" s="343">
        <f t="shared" si="72"/>
        <v>159.30271295029047</v>
      </c>
      <c r="U180" s="343">
        <f t="shared" si="72"/>
        <v>164.02692684893321</v>
      </c>
      <c r="V180" s="343">
        <f t="shared" si="72"/>
        <v>168.50485471494531</v>
      </c>
      <c r="W180" s="343">
        <f t="shared" si="72"/>
        <v>172.74933610453024</v>
      </c>
      <c r="X180" s="343">
        <f t="shared" si="72"/>
        <v>176.77254121314155</v>
      </c>
      <c r="Y180" s="343">
        <f t="shared" si="72"/>
        <v>180.58600577106697</v>
      </c>
      <c r="Z180" s="343">
        <f t="shared" si="72"/>
        <v>184.20066411981142</v>
      </c>
      <c r="AA180" s="343">
        <f t="shared" si="72"/>
        <v>187.62688056411898</v>
      </c>
      <c r="AB180" s="343">
        <f t="shared" si="72"/>
        <v>190.87447908952896</v>
      </c>
      <c r="AC180" s="343">
        <f t="shared" si="72"/>
        <v>193.95277153067588</v>
      </c>
      <c r="AD180" s="343">
        <f t="shared" si="72"/>
        <v>196.87058427109949</v>
      </c>
      <c r="AE180" s="343">
        <f t="shared" si="72"/>
        <v>199.63628355112186</v>
      </c>
      <c r="AF180" s="343">
        <f t="shared" si="72"/>
        <v>202.25779945635634</v>
      </c>
      <c r="AG180" s="343">
        <f t="shared" si="72"/>
        <v>204.74264865563075</v>
      </c>
      <c r="AH180" s="343">
        <f t="shared" si="72"/>
        <v>207.09795595352116</v>
      </c>
      <c r="AI180" s="343">
        <f t="shared" si="72"/>
        <v>209.33047471929407</v>
      </c>
      <c r="AJ180" s="343">
        <f t="shared" si="72"/>
        <v>211.44660625083239</v>
      </c>
      <c r="AK180" s="343">
        <f t="shared" si="72"/>
        <v>213.45241812906775</v>
      </c>
      <c r="AL180" s="343">
        <f t="shared" si="72"/>
        <v>215.35366161554677</v>
      </c>
      <c r="AM180" s="343">
        <f t="shared" si="72"/>
        <v>217.15578814301503</v>
      </c>
      <c r="AN180" s="343">
        <f t="shared" si="72"/>
        <v>218.86396494630247</v>
      </c>
      <c r="AO180" s="343">
        <f t="shared" si="72"/>
        <v>220.48308987832849</v>
      </c>
      <c r="AP180" s="343">
        <f t="shared" si="72"/>
        <v>222.0178054537086</v>
      </c>
      <c r="AQ180" s="343">
        <f t="shared" si="72"/>
        <v>223.47251216023005</v>
      </c>
      <c r="AR180" s="343">
        <f t="shared" si="72"/>
        <v>224.85138107636411</v>
      </c>
      <c r="AS180" s="343">
        <f t="shared" si="72"/>
        <v>226.15836583099355</v>
      </c>
      <c r="AT180" s="343">
        <f t="shared" si="72"/>
        <v>227.39721393964706</v>
      </c>
      <c r="AU180" s="343">
        <f t="shared" si="72"/>
        <v>228.57147754974517</v>
      </c>
      <c r="AV180" s="343">
        <f t="shared" si="72"/>
        <v>229.68452362566754</v>
      </c>
      <c r="AW180" s="343">
        <f t="shared" si="72"/>
        <v>230.73954360284515</v>
      </c>
      <c r="AX180" s="343">
        <f t="shared" si="72"/>
        <v>231.73956253855852</v>
      </c>
      <c r="AY180" s="344">
        <f t="shared" si="72"/>
        <v>232.68744778568021</v>
      </c>
    </row>
    <row r="181" spans="1:51">
      <c r="A181" s="338" t="s">
        <v>2911</v>
      </c>
      <c r="B181" s="342">
        <f t="shared" si="71"/>
        <v>11.695187013857431</v>
      </c>
      <c r="C181" s="343">
        <f t="shared" si="72"/>
        <v>22.579187967782417</v>
      </c>
      <c r="D181" s="343">
        <f t="shared" si="72"/>
        <v>32.713543302653164</v>
      </c>
      <c r="E181" s="343">
        <f t="shared" si="72"/>
        <v>42.31956731674866</v>
      </c>
      <c r="F181" s="343">
        <f t="shared" si="72"/>
        <v>51.424803349066664</v>
      </c>
      <c r="G181" s="343">
        <f t="shared" si="72"/>
        <v>60.055358829936814</v>
      </c>
      <c r="H181" s="343">
        <f t="shared" si="72"/>
        <v>68.288348354059096</v>
      </c>
      <c r="I181" s="343">
        <f t="shared" si="72"/>
        <v>76.138979353868422</v>
      </c>
      <c r="J181" s="343">
        <f t="shared" si="72"/>
        <v>83.627386101281516</v>
      </c>
      <c r="K181" s="343">
        <f t="shared" si="72"/>
        <v>90.725401975606729</v>
      </c>
      <c r="L181" s="343">
        <f t="shared" si="72"/>
        <v>97.453379107668539</v>
      </c>
      <c r="M181" s="343">
        <f t="shared" si="72"/>
        <v>103.83060861673187</v>
      </c>
      <c r="N181" s="343">
        <f t="shared" si="72"/>
        <v>109.8753759239009</v>
      </c>
      <c r="O181" s="343">
        <f t="shared" si="72"/>
        <v>115.60501318188103</v>
      </c>
      <c r="P181" s="343">
        <f t="shared" si="72"/>
        <v>121.03594897143566</v>
      </c>
      <c r="Q181" s="343">
        <f t="shared" si="72"/>
        <v>126.18375540703246</v>
      </c>
      <c r="R181" s="343">
        <f t="shared" si="72"/>
        <v>131.06319278674508</v>
      </c>
      <c r="S181" s="343">
        <f t="shared" si="72"/>
        <v>135.68825191443474</v>
      </c>
      <c r="T181" s="343">
        <f t="shared" si="72"/>
        <v>140.0721942155624</v>
      </c>
      <c r="U181" s="343">
        <f t="shared" si="72"/>
        <v>144.22758976165497</v>
      </c>
      <c r="V181" s="343">
        <f t="shared" si="72"/>
        <v>148.16635331245359</v>
      </c>
      <c r="W181" s="343">
        <f t="shared" si="72"/>
        <v>151.89977847908739</v>
      </c>
      <c r="X181" s="343">
        <f t="shared" si="72"/>
        <v>155.43857010622841</v>
      </c>
      <c r="Y181" s="343">
        <f t="shared" si="72"/>
        <v>158.79287496607773</v>
      </c>
      <c r="Z181" s="343">
        <f t="shared" si="72"/>
        <v>161.97231085219082</v>
      </c>
      <c r="AA181" s="343">
        <f t="shared" si="72"/>
        <v>164.98599415656341</v>
      </c>
      <c r="AB181" s="343">
        <f t="shared" si="72"/>
        <v>167.84256600904928</v>
      </c>
      <c r="AC181" s="343">
        <f t="shared" si="72"/>
        <v>170.5502170540596</v>
      </c>
      <c r="AD181" s="343">
        <f t="shared" si="72"/>
        <v>173.11671093558596</v>
      </c>
      <c r="AE181" s="343">
        <f t="shared" si="72"/>
        <v>175.54940655788582</v>
      </c>
      <c r="AF181" s="343">
        <f t="shared" si="72"/>
        <v>177.85527918565819</v>
      </c>
      <c r="AG181" s="343">
        <f t="shared" si="72"/>
        <v>180.04094044421021</v>
      </c>
      <c r="AH181" s="343">
        <f t="shared" si="72"/>
        <v>182.11265727696093</v>
      </c>
      <c r="AI181" s="343">
        <f t="shared" si="72"/>
        <v>184.07636991463934</v>
      </c>
      <c r="AJ181" s="343">
        <f t="shared" si="72"/>
        <v>185.93770890769946</v>
      </c>
      <c r="AK181" s="343">
        <f t="shared" si="72"/>
        <v>187.70201127078963</v>
      </c>
      <c r="AL181" s="343">
        <f t="shared" si="72"/>
        <v>189.37433578556704</v>
      </c>
      <c r="AM181" s="343">
        <f t="shared" si="72"/>
        <v>190.95947750573518</v>
      </c>
      <c r="AN181" s="343">
        <f t="shared" si="72"/>
        <v>192.46198150589456</v>
      </c>
      <c r="AO181" s="343">
        <f t="shared" si="72"/>
        <v>193.88615591362858</v>
      </c>
      <c r="AP181" s="343">
        <f t="shared" si="72"/>
        <v>195.23608426219164</v>
      </c>
      <c r="AQ181" s="343">
        <f t="shared" si="72"/>
        <v>196.51563719921822</v>
      </c>
      <c r="AR181" s="343">
        <f t="shared" si="72"/>
        <v>197.7284835850254</v>
      </c>
      <c r="AS181" s="343">
        <f t="shared" si="72"/>
        <v>198.8781010123308</v>
      </c>
      <c r="AT181" s="343">
        <f t="shared" si="72"/>
        <v>199.96778577754918</v>
      </c>
      <c r="AU181" s="343">
        <f t="shared" si="72"/>
        <v>201.00066233225854</v>
      </c>
      <c r="AV181" s="343">
        <f t="shared" si="72"/>
        <v>201.97969224193568</v>
      </c>
      <c r="AW181" s="343">
        <f t="shared" si="72"/>
        <v>202.90768267764861</v>
      </c>
      <c r="AX181" s="343">
        <f t="shared" si="72"/>
        <v>203.78729446505423</v>
      </c>
      <c r="AY181" s="344">
        <f t="shared" si="72"/>
        <v>204.62104971377994</v>
      </c>
    </row>
    <row r="182" spans="1:51">
      <c r="A182" s="338" t="s">
        <v>2912</v>
      </c>
      <c r="B182" s="342">
        <f t="shared" si="71"/>
        <v>6.1182586674026789</v>
      </c>
      <c r="C182" s="343">
        <f t="shared" si="72"/>
        <v>12.428881458877321</v>
      </c>
      <c r="D182" s="343">
        <f t="shared" si="72"/>
        <v>18.663448533001478</v>
      </c>
      <c r="E182" s="343">
        <f t="shared" si="72"/>
        <v>24.758953747497628</v>
      </c>
      <c r="F182" s="343">
        <f t="shared" si="72"/>
        <v>30.680705424846916</v>
      </c>
      <c r="G182" s="343">
        <f t="shared" si="72"/>
        <v>36.409160608562402</v>
      </c>
      <c r="H182" s="343">
        <f t="shared" si="72"/>
        <v>41.933745345919618</v>
      </c>
      <c r="I182" s="343">
        <f t="shared" si="72"/>
        <v>48.071024652675924</v>
      </c>
      <c r="J182" s="343">
        <f t="shared" si="72"/>
        <v>53.344183401899116</v>
      </c>
      <c r="K182" s="343">
        <f t="shared" si="72"/>
        <v>58.387229298572841</v>
      </c>
      <c r="L182" s="343">
        <f t="shared" si="72"/>
        <v>63.206893248542535</v>
      </c>
      <c r="M182" s="343">
        <f t="shared" si="72"/>
        <v>67.810341338564868</v>
      </c>
      <c r="N182" s="343">
        <f t="shared" si="72"/>
        <v>72.205003872916535</v>
      </c>
      <c r="O182" s="343">
        <f t="shared" si="72"/>
        <v>76.382152150713026</v>
      </c>
      <c r="P182" s="343">
        <f t="shared" si="72"/>
        <v>80.342180607180453</v>
      </c>
      <c r="Q182" s="343">
        <f t="shared" si="72"/>
        <v>84.095762082505033</v>
      </c>
      <c r="R182" s="343">
        <f t="shared" si="72"/>
        <v>87.684355750314964</v>
      </c>
      <c r="S182" s="343">
        <f t="shared" si="72"/>
        <v>91.109251998560694</v>
      </c>
      <c r="T182" s="343">
        <f t="shared" si="72"/>
        <v>94.377765658171711</v>
      </c>
      <c r="U182" s="343">
        <f t="shared" si="72"/>
        <v>97.475882871073139</v>
      </c>
      <c r="V182" s="343">
        <f t="shared" si="72"/>
        <v>100.41248686434464</v>
      </c>
      <c r="W182" s="343">
        <f t="shared" si="72"/>
        <v>103.19599775844085</v>
      </c>
      <c r="X182" s="343">
        <f t="shared" si="72"/>
        <v>105.83439671019082</v>
      </c>
      <c r="Y182" s="343">
        <f t="shared" si="72"/>
        <v>108.3352487971576</v>
      </c>
      <c r="Z182" s="343">
        <f t="shared" si="72"/>
        <v>110.70572470897447</v>
      </c>
      <c r="AA182" s="343">
        <f t="shared" si="72"/>
        <v>112.95262130785301</v>
      </c>
      <c r="AB182" s="343">
        <f t="shared" si="72"/>
        <v>115.08238111721656</v>
      </c>
      <c r="AC182" s="343">
        <f t="shared" si="72"/>
        <v>117.1011107943384</v>
      </c>
      <c r="AD182" s="343">
        <f t="shared" si="72"/>
        <v>119.01459863995152</v>
      </c>
      <c r="AE182" s="343">
        <f t="shared" si="72"/>
        <v>120.82833119503505</v>
      </c>
      <c r="AF182" s="343">
        <f t="shared" si="72"/>
        <v>122.54750897236541</v>
      </c>
      <c r="AG182" s="343">
        <f t="shared" si="72"/>
        <v>124.1770613679392</v>
      </c>
      <c r="AH182" s="343">
        <f t="shared" si="72"/>
        <v>125.72166079502338</v>
      </c>
      <c r="AI182" s="343">
        <f t="shared" si="72"/>
        <v>127.1857360813591</v>
      </c>
      <c r="AJ182" s="343">
        <f t="shared" si="72"/>
        <v>128.57348516793323</v>
      </c>
      <c r="AK182" s="343">
        <f t="shared" si="72"/>
        <v>129.8888871457286</v>
      </c>
      <c r="AL182" s="343">
        <f t="shared" si="72"/>
        <v>131.13571366496595</v>
      </c>
      <c r="AM182" s="343">
        <f t="shared" si="72"/>
        <v>132.31753974955109</v>
      </c>
      <c r="AN182" s="343">
        <f t="shared" si="72"/>
        <v>133.43775404773606</v>
      </c>
      <c r="AO182" s="343">
        <f t="shared" si="72"/>
        <v>134.49956854838533</v>
      </c>
      <c r="AP182" s="343">
        <f t="shared" si="72"/>
        <v>135.5060277907069</v>
      </c>
      <c r="AQ182" s="343">
        <f t="shared" si="72"/>
        <v>136.4600175938553</v>
      </c>
      <c r="AR182" s="343">
        <f t="shared" si="72"/>
        <v>137.36427333143675</v>
      </c>
      <c r="AS182" s="343">
        <f t="shared" si="72"/>
        <v>138.2213877746419</v>
      </c>
      <c r="AT182" s="343">
        <f t="shared" si="72"/>
        <v>139.03381852649511</v>
      </c>
      <c r="AU182" s="343">
        <f t="shared" si="72"/>
        <v>139.80389506853609</v>
      </c>
      <c r="AV182" s="343">
        <f t="shared" si="72"/>
        <v>140.53382544013891</v>
      </c>
      <c r="AW182" s="343">
        <f t="shared" si="72"/>
        <v>141.22570256962027</v>
      </c>
      <c r="AX182" s="343">
        <f t="shared" si="72"/>
        <v>141.8815102752898</v>
      </c>
      <c r="AY182" s="344">
        <f t="shared" si="72"/>
        <v>142.50312895364954</v>
      </c>
    </row>
    <row r="183" spans="1:51">
      <c r="A183" s="338" t="s">
        <v>2892</v>
      </c>
      <c r="B183" s="339">
        <f t="shared" si="71"/>
        <v>6.1141123369011178E-3</v>
      </c>
      <c r="C183" s="340">
        <f t="shared" si="72"/>
        <v>1.1835653147838862E-2</v>
      </c>
      <c r="D183" s="340">
        <f t="shared" si="72"/>
        <v>1.718893701314065E-2</v>
      </c>
      <c r="E183" s="340">
        <f t="shared" si="72"/>
        <v>2.2163645558166009E-2</v>
      </c>
      <c r="F183" s="340">
        <f t="shared" si="72"/>
        <v>2.6784701836957338E-2</v>
      </c>
      <c r="G183" s="340">
        <f t="shared" si="72"/>
        <v>3.1082908421834338E-2</v>
      </c>
      <c r="H183" s="340">
        <f t="shared" si="72"/>
        <v>3.5157037886172721E-2</v>
      </c>
      <c r="I183" s="340">
        <f t="shared" si="72"/>
        <v>3.9012079195542004E-2</v>
      </c>
      <c r="J183" s="340">
        <f t="shared" si="72"/>
        <v>4.2666146787361234E-2</v>
      </c>
      <c r="K183" s="340">
        <f t="shared" si="72"/>
        <v>4.6123704820036415E-2</v>
      </c>
      <c r="L183" s="340">
        <f t="shared" si="72"/>
        <v>4.9401011012145592E-2</v>
      </c>
      <c r="M183" s="340">
        <f t="shared" ref="M183:AY185" si="73">(M172/(1+$C$3)^(M$16-0.5)+L183)</f>
        <v>5.2507462379073722E-2</v>
      </c>
      <c r="N183" s="340">
        <f t="shared" si="73"/>
        <v>5.5446845168468734E-2</v>
      </c>
      <c r="O183" s="340">
        <f t="shared" si="73"/>
        <v>5.8232989992539834E-2</v>
      </c>
      <c r="P183" s="340">
        <f t="shared" si="73"/>
        <v>6.0869284697021131E-2</v>
      </c>
      <c r="Q183" s="340">
        <f t="shared" si="73"/>
        <v>6.3368142236813835E-2</v>
      </c>
      <c r="R183" s="340">
        <f t="shared" si="73"/>
        <v>6.5736727582588902E-2</v>
      </c>
      <c r="S183" s="340">
        <f t="shared" si="73"/>
        <v>6.7981832175740636E-2</v>
      </c>
      <c r="T183" s="340">
        <f t="shared" si="73"/>
        <v>7.0109893401476872E-2</v>
      </c>
      <c r="U183" s="340">
        <f t="shared" si="73"/>
        <v>7.2127013046724489E-2</v>
      </c>
      <c r="V183" s="340">
        <f t="shared" si="73"/>
        <v>7.4038974795774357E-2</v>
      </c>
      <c r="W183" s="340">
        <f t="shared" si="73"/>
        <v>7.5851260813831103E-2</v>
      </c>
      <c r="X183" s="340">
        <f t="shared" si="73"/>
        <v>7.7569067466017591E-2</v>
      </c>
      <c r="Y183" s="340">
        <f t="shared" si="73"/>
        <v>7.9197320216905259E-2</v>
      </c>
      <c r="Z183" s="340">
        <f t="shared" si="73"/>
        <v>8.0740687753291684E-2</v>
      </c>
      <c r="AA183" s="340">
        <f t="shared" si="73"/>
        <v>8.220359537071957E-2</v>
      </c>
      <c r="AB183" s="340">
        <f t="shared" si="73"/>
        <v>8.3590237662120412E-2</v>
      </c>
      <c r="AC183" s="340">
        <f t="shared" si="73"/>
        <v>8.4904590544964811E-2</v>
      </c>
      <c r="AD183" s="340">
        <f t="shared" si="73"/>
        <v>8.6150422661405004E-2</v>
      </c>
      <c r="AE183" s="340">
        <f t="shared" si="73"/>
        <v>8.7331306184097124E-2</v>
      </c>
      <c r="AF183" s="340">
        <f t="shared" si="73"/>
        <v>8.8450627058686809E-2</v>
      </c>
      <c r="AG183" s="340">
        <f t="shared" si="73"/>
        <v>8.9511594712326323E-2</v>
      </c>
      <c r="AH183" s="340">
        <f t="shared" si="73"/>
        <v>9.0517251256060458E-2</v>
      </c>
      <c r="AI183" s="340">
        <f t="shared" si="73"/>
        <v>9.1470480207467217E-2</v>
      </c>
      <c r="AJ183" s="340">
        <f t="shared" si="73"/>
        <v>9.2374014758563674E-2</v>
      </c>
      <c r="AK183" s="340">
        <f t="shared" si="73"/>
        <v>9.3230445612683538E-2</v>
      </c>
      <c r="AL183" s="340">
        <f t="shared" si="73"/>
        <v>9.4042228412797163E-2</v>
      </c>
      <c r="AM183" s="340">
        <f t="shared" si="73"/>
        <v>9.4811690782573108E-2</v>
      </c>
      <c r="AN183" s="340">
        <f t="shared" si="73"/>
        <v>9.5541039000370212E-2</v>
      </c>
      <c r="AO183" s="340">
        <f t="shared" si="73"/>
        <v>9.6232364325296374E-2</v>
      </c>
      <c r="AP183" s="340">
        <f t="shared" si="73"/>
        <v>9.6887648993472825E-2</v>
      </c>
      <c r="AQ183" s="340">
        <f t="shared" si="73"/>
        <v>9.7508771901696961E-2</v>
      </c>
      <c r="AR183" s="340">
        <f t="shared" si="73"/>
        <v>9.8097513994800406E-2</v>
      </c>
      <c r="AS183" s="340">
        <f t="shared" si="73"/>
        <v>9.8655563372149632E-2</v>
      </c>
      <c r="AT183" s="340">
        <f t="shared" si="73"/>
        <v>9.91845201279309E-2</v>
      </c>
      <c r="AU183" s="340">
        <f t="shared" si="73"/>
        <v>9.9685900939097974E-2</v>
      </c>
      <c r="AV183" s="340">
        <f t="shared" si="73"/>
        <v>0.10016114341413786</v>
      </c>
      <c r="AW183" s="340">
        <f t="shared" si="73"/>
        <v>0.10061161021512352</v>
      </c>
      <c r="AX183" s="340">
        <f t="shared" si="73"/>
        <v>0.10103859296487297</v>
      </c>
      <c r="AY183" s="341">
        <f t="shared" si="73"/>
        <v>0.10144331595041747</v>
      </c>
    </row>
    <row r="184" spans="1:51">
      <c r="A184" s="338" t="s">
        <v>2893</v>
      </c>
      <c r="B184" s="342">
        <f t="shared" si="71"/>
        <v>0.85432063306221828</v>
      </c>
      <c r="C184" s="343">
        <f t="shared" ref="C184:L185" si="74">(C173/(1+$C$3)^(C$16-0.5)+B184)</f>
        <v>1.6641032236425202</v>
      </c>
      <c r="D184" s="343">
        <f t="shared" si="74"/>
        <v>2.4316696602115266</v>
      </c>
      <c r="E184" s="343">
        <f t="shared" si="74"/>
        <v>3.1592207849214855</v>
      </c>
      <c r="F184" s="343">
        <f t="shared" si="74"/>
        <v>3.8488427040778443</v>
      </c>
      <c r="G184" s="343">
        <f t="shared" si="74"/>
        <v>4.502512769628896</v>
      </c>
      <c r="H184" s="343">
        <f t="shared" si="74"/>
        <v>5.1221052488242051</v>
      </c>
      <c r="I184" s="343">
        <f t="shared" si="74"/>
        <v>5.7093966982984323</v>
      </c>
      <c r="J184" s="343">
        <f t="shared" si="74"/>
        <v>6.2660710579896426</v>
      </c>
      <c r="K184" s="343">
        <f t="shared" si="74"/>
        <v>6.7937244794978984</v>
      </c>
      <c r="L184" s="343">
        <f t="shared" si="74"/>
        <v>7.2938699027284732</v>
      </c>
      <c r="M184" s="343">
        <f t="shared" si="73"/>
        <v>7.7679413939422881</v>
      </c>
      <c r="N184" s="343">
        <f t="shared" si="73"/>
        <v>8.2172982576520646</v>
      </c>
      <c r="O184" s="343">
        <f t="shared" si="73"/>
        <v>8.643228934154223</v>
      </c>
      <c r="P184" s="343">
        <f t="shared" si="73"/>
        <v>9.0469546938719088</v>
      </c>
      <c r="Q184" s="343">
        <f t="shared" si="73"/>
        <v>9.4296331391019432</v>
      </c>
      <c r="R184" s="343">
        <f t="shared" si="73"/>
        <v>9.7923615232062406</v>
      </c>
      <c r="S184" s="343">
        <f t="shared" si="73"/>
        <v>10.136179896764817</v>
      </c>
      <c r="T184" s="343">
        <f t="shared" si="73"/>
        <v>10.462074089711335</v>
      </c>
      <c r="U184" s="343">
        <f t="shared" si="73"/>
        <v>10.770978538001872</v>
      </c>
      <c r="V184" s="343">
        <f t="shared" si="73"/>
        <v>11.063778962921813</v>
      </c>
      <c r="W184" s="343">
        <f t="shared" si="73"/>
        <v>11.341314910713226</v>
      </c>
      <c r="X184" s="343">
        <f t="shared" si="73"/>
        <v>11.604382159804613</v>
      </c>
      <c r="Y184" s="343">
        <f t="shared" si="73"/>
        <v>11.853735002545264</v>
      </c>
      <c r="Z184" s="343">
        <f t="shared" si="73"/>
        <v>12.09008840798664</v>
      </c>
      <c r="AA184" s="343">
        <f t="shared" si="73"/>
        <v>12.314120071912114</v>
      </c>
      <c r="AB184" s="343">
        <f t="shared" si="73"/>
        <v>12.526472359993132</v>
      </c>
      <c r="AC184" s="343">
        <f t="shared" si="73"/>
        <v>12.727754149643387</v>
      </c>
      <c r="AD184" s="343">
        <f t="shared" si="73"/>
        <v>12.918542575852159</v>
      </c>
      <c r="AE184" s="343">
        <f t="shared" si="73"/>
        <v>13.099384686002654</v>
      </c>
      <c r="AF184" s="343">
        <f t="shared" si="73"/>
        <v>13.270799008420186</v>
      </c>
      <c r="AG184" s="343">
        <f t="shared" si="73"/>
        <v>13.433277039147702</v>
      </c>
      <c r="AH184" s="343">
        <f t="shared" si="73"/>
        <v>13.5872846512117</v>
      </c>
      <c r="AI184" s="343">
        <f t="shared" si="73"/>
        <v>13.73326343041928</v>
      </c>
      <c r="AJ184" s="343">
        <f t="shared" si="73"/>
        <v>13.871631941516512</v>
      </c>
      <c r="AK184" s="343">
        <f t="shared" si="73"/>
        <v>14.002786928338534</v>
      </c>
      <c r="AL184" s="343">
        <f t="shared" si="73"/>
        <v>14.127104451392583</v>
      </c>
      <c r="AM184" s="343">
        <f t="shared" si="73"/>
        <v>14.244940966135758</v>
      </c>
      <c r="AN184" s="343">
        <f t="shared" si="73"/>
        <v>14.356634345039241</v>
      </c>
      <c r="AO184" s="343">
        <f t="shared" si="73"/>
        <v>14.462504846369557</v>
      </c>
      <c r="AP184" s="343">
        <f t="shared" si="73"/>
        <v>14.562856032464643</v>
      </c>
      <c r="AQ184" s="343">
        <f t="shared" si="73"/>
        <v>14.65797564013771</v>
      </c>
      <c r="AR184" s="343">
        <f t="shared" si="73"/>
        <v>14.748136405704599</v>
      </c>
      <c r="AS184" s="343">
        <f t="shared" si="73"/>
        <v>14.833596847000228</v>
      </c>
      <c r="AT184" s="343">
        <f t="shared" si="73"/>
        <v>14.914602004626417</v>
      </c>
      <c r="AU184" s="343">
        <f t="shared" si="73"/>
        <v>14.991384144556454</v>
      </c>
      <c r="AV184" s="343">
        <f t="shared" si="73"/>
        <v>15.064163424110991</v>
      </c>
      <c r="AW184" s="343">
        <f t="shared" si="73"/>
        <v>15.133148523214818</v>
      </c>
      <c r="AX184" s="343">
        <f t="shared" si="73"/>
        <v>15.198537242744511</v>
      </c>
      <c r="AY184" s="344">
        <f t="shared" si="73"/>
        <v>15.260517071682608</v>
      </c>
    </row>
    <row r="185" spans="1:51" ht="12.75" thickBot="1">
      <c r="A185" s="345" t="s">
        <v>2894</v>
      </c>
      <c r="B185" s="346">
        <f t="shared" si="71"/>
        <v>0.85432063306221828</v>
      </c>
      <c r="C185" s="347">
        <f t="shared" si="74"/>
        <v>1.6641032236425202</v>
      </c>
      <c r="D185" s="347">
        <f t="shared" si="74"/>
        <v>2.4316696602115266</v>
      </c>
      <c r="E185" s="347">
        <f t="shared" si="74"/>
        <v>3.1592207849214855</v>
      </c>
      <c r="F185" s="347">
        <f t="shared" si="74"/>
        <v>3.8488427040778443</v>
      </c>
      <c r="G185" s="347">
        <f t="shared" si="74"/>
        <v>4.502512769628896</v>
      </c>
      <c r="H185" s="347">
        <f t="shared" si="74"/>
        <v>5.1221052488242051</v>
      </c>
      <c r="I185" s="347">
        <f t="shared" si="74"/>
        <v>5.7093966982984323</v>
      </c>
      <c r="J185" s="347">
        <f t="shared" si="74"/>
        <v>6.2660710579896426</v>
      </c>
      <c r="K185" s="347">
        <f t="shared" si="74"/>
        <v>6.7937244794978984</v>
      </c>
      <c r="L185" s="347">
        <f t="shared" si="74"/>
        <v>7.2938699027284732</v>
      </c>
      <c r="M185" s="347">
        <f t="shared" si="73"/>
        <v>7.7679413939422881</v>
      </c>
      <c r="N185" s="347">
        <f t="shared" si="73"/>
        <v>8.2172982576520646</v>
      </c>
      <c r="O185" s="347">
        <f t="shared" si="73"/>
        <v>8.643228934154223</v>
      </c>
      <c r="P185" s="347">
        <f t="shared" si="73"/>
        <v>9.0469546938719088</v>
      </c>
      <c r="Q185" s="347">
        <f t="shared" si="73"/>
        <v>9.4296331391019432</v>
      </c>
      <c r="R185" s="347">
        <f t="shared" si="73"/>
        <v>9.7923615232062406</v>
      </c>
      <c r="S185" s="347">
        <f t="shared" si="73"/>
        <v>10.136179896764817</v>
      </c>
      <c r="T185" s="347">
        <f t="shared" si="73"/>
        <v>10.462074089711335</v>
      </c>
      <c r="U185" s="347">
        <f t="shared" si="73"/>
        <v>10.770978538001872</v>
      </c>
      <c r="V185" s="347">
        <f t="shared" si="73"/>
        <v>11.063778962921813</v>
      </c>
      <c r="W185" s="347">
        <f t="shared" si="73"/>
        <v>11.341314910713226</v>
      </c>
      <c r="X185" s="347">
        <f t="shared" si="73"/>
        <v>11.604382159804613</v>
      </c>
      <c r="Y185" s="347">
        <f t="shared" si="73"/>
        <v>11.853735002545264</v>
      </c>
      <c r="Z185" s="347">
        <f t="shared" si="73"/>
        <v>12.09008840798664</v>
      </c>
      <c r="AA185" s="347">
        <f t="shared" si="73"/>
        <v>12.314120071912114</v>
      </c>
      <c r="AB185" s="347">
        <f t="shared" si="73"/>
        <v>12.526472359993132</v>
      </c>
      <c r="AC185" s="347">
        <f t="shared" si="73"/>
        <v>12.727754149643387</v>
      </c>
      <c r="AD185" s="347">
        <f t="shared" si="73"/>
        <v>12.918542575852159</v>
      </c>
      <c r="AE185" s="347">
        <f t="shared" si="73"/>
        <v>13.099384686002654</v>
      </c>
      <c r="AF185" s="347">
        <f t="shared" si="73"/>
        <v>13.270799008420186</v>
      </c>
      <c r="AG185" s="347">
        <f t="shared" si="73"/>
        <v>13.433277039147702</v>
      </c>
      <c r="AH185" s="347">
        <f t="shared" si="73"/>
        <v>13.5872846512117</v>
      </c>
      <c r="AI185" s="347">
        <f t="shared" si="73"/>
        <v>13.73326343041928</v>
      </c>
      <c r="AJ185" s="347">
        <f t="shared" si="73"/>
        <v>13.871631941516512</v>
      </c>
      <c r="AK185" s="347">
        <f t="shared" si="73"/>
        <v>14.002786928338534</v>
      </c>
      <c r="AL185" s="347">
        <f t="shared" si="73"/>
        <v>14.127104451392583</v>
      </c>
      <c r="AM185" s="347">
        <f t="shared" si="73"/>
        <v>14.244940966135758</v>
      </c>
      <c r="AN185" s="347">
        <f t="shared" si="73"/>
        <v>14.356634345039241</v>
      </c>
      <c r="AO185" s="347">
        <f t="shared" si="73"/>
        <v>14.462504846369557</v>
      </c>
      <c r="AP185" s="347">
        <f t="shared" si="73"/>
        <v>14.562856032464643</v>
      </c>
      <c r="AQ185" s="347">
        <f t="shared" si="73"/>
        <v>14.65797564013771</v>
      </c>
      <c r="AR185" s="347">
        <f t="shared" si="73"/>
        <v>14.748136405704599</v>
      </c>
      <c r="AS185" s="347">
        <f t="shared" si="73"/>
        <v>14.833596847000228</v>
      </c>
      <c r="AT185" s="347">
        <f t="shared" si="73"/>
        <v>14.914602004626417</v>
      </c>
      <c r="AU185" s="347">
        <f t="shared" si="73"/>
        <v>14.991384144556454</v>
      </c>
      <c r="AV185" s="347">
        <f t="shared" si="73"/>
        <v>15.064163424110991</v>
      </c>
      <c r="AW185" s="347">
        <f t="shared" si="73"/>
        <v>15.133148523214818</v>
      </c>
      <c r="AX185" s="347">
        <f t="shared" si="73"/>
        <v>15.198537242744511</v>
      </c>
      <c r="AY185" s="348">
        <f t="shared" si="73"/>
        <v>15.260517071682608</v>
      </c>
    </row>
    <row r="193" spans="2:51">
      <c r="B193" s="325">
        <v>2</v>
      </c>
      <c r="C193" s="325">
        <f>B193+1</f>
        <v>3</v>
      </c>
      <c r="D193" s="325">
        <f t="shared" ref="D193:AY193" si="75">C193+1</f>
        <v>4</v>
      </c>
      <c r="E193" s="325">
        <f t="shared" si="75"/>
        <v>5</v>
      </c>
      <c r="F193" s="325">
        <f t="shared" si="75"/>
        <v>6</v>
      </c>
      <c r="G193" s="325">
        <f t="shared" si="75"/>
        <v>7</v>
      </c>
      <c r="H193" s="325">
        <f t="shared" si="75"/>
        <v>8</v>
      </c>
      <c r="I193" s="325">
        <f t="shared" si="75"/>
        <v>9</v>
      </c>
      <c r="J193" s="325">
        <f t="shared" si="75"/>
        <v>10</v>
      </c>
      <c r="K193" s="325">
        <f t="shared" si="75"/>
        <v>11</v>
      </c>
      <c r="L193" s="325">
        <f t="shared" si="75"/>
        <v>12</v>
      </c>
      <c r="M193" s="325">
        <f t="shared" si="75"/>
        <v>13</v>
      </c>
      <c r="N193" s="325">
        <f t="shared" si="75"/>
        <v>14</v>
      </c>
      <c r="O193" s="325">
        <f t="shared" si="75"/>
        <v>15</v>
      </c>
      <c r="P193" s="325">
        <f t="shared" si="75"/>
        <v>16</v>
      </c>
      <c r="Q193" s="325">
        <f t="shared" si="75"/>
        <v>17</v>
      </c>
      <c r="R193" s="325">
        <f t="shared" si="75"/>
        <v>18</v>
      </c>
      <c r="S193" s="325">
        <f t="shared" si="75"/>
        <v>19</v>
      </c>
      <c r="T193" s="325">
        <f t="shared" si="75"/>
        <v>20</v>
      </c>
      <c r="U193" s="325">
        <f t="shared" si="75"/>
        <v>21</v>
      </c>
      <c r="V193" s="325">
        <f t="shared" si="75"/>
        <v>22</v>
      </c>
      <c r="W193" s="325">
        <f t="shared" si="75"/>
        <v>23</v>
      </c>
      <c r="X193" s="325">
        <f t="shared" si="75"/>
        <v>24</v>
      </c>
      <c r="Y193" s="325">
        <f t="shared" si="75"/>
        <v>25</v>
      </c>
      <c r="Z193" s="325">
        <f t="shared" si="75"/>
        <v>26</v>
      </c>
      <c r="AA193" s="325">
        <f t="shared" si="75"/>
        <v>27</v>
      </c>
      <c r="AB193" s="325">
        <f t="shared" si="75"/>
        <v>28</v>
      </c>
      <c r="AC193" s="325">
        <f t="shared" si="75"/>
        <v>29</v>
      </c>
      <c r="AD193" s="325">
        <f t="shared" si="75"/>
        <v>30</v>
      </c>
      <c r="AE193" s="325">
        <f t="shared" si="75"/>
        <v>31</v>
      </c>
      <c r="AF193" s="325">
        <f t="shared" si="75"/>
        <v>32</v>
      </c>
      <c r="AG193" s="325">
        <f t="shared" si="75"/>
        <v>33</v>
      </c>
      <c r="AH193" s="325">
        <f t="shared" si="75"/>
        <v>34</v>
      </c>
      <c r="AI193" s="325">
        <f t="shared" si="75"/>
        <v>35</v>
      </c>
      <c r="AJ193" s="325">
        <f t="shared" si="75"/>
        <v>36</v>
      </c>
      <c r="AK193" s="325">
        <f t="shared" si="75"/>
        <v>37</v>
      </c>
      <c r="AL193" s="325">
        <f t="shared" si="75"/>
        <v>38</v>
      </c>
      <c r="AM193" s="325">
        <f t="shared" si="75"/>
        <v>39</v>
      </c>
      <c r="AN193" s="325">
        <f t="shared" si="75"/>
        <v>40</v>
      </c>
      <c r="AO193" s="325">
        <f t="shared" si="75"/>
        <v>41</v>
      </c>
      <c r="AP193" s="325">
        <f t="shared" si="75"/>
        <v>42</v>
      </c>
      <c r="AQ193" s="325">
        <f t="shared" si="75"/>
        <v>43</v>
      </c>
      <c r="AR193" s="325">
        <f t="shared" si="75"/>
        <v>44</v>
      </c>
      <c r="AS193" s="325">
        <f t="shared" si="75"/>
        <v>45</v>
      </c>
      <c r="AT193" s="325">
        <f t="shared" si="75"/>
        <v>46</v>
      </c>
      <c r="AU193" s="325">
        <f t="shared" si="75"/>
        <v>47</v>
      </c>
      <c r="AV193" s="325">
        <f t="shared" si="75"/>
        <v>48</v>
      </c>
      <c r="AW193" s="325">
        <f t="shared" si="75"/>
        <v>49</v>
      </c>
      <c r="AX193" s="325">
        <f t="shared" si="75"/>
        <v>50</v>
      </c>
      <c r="AY193" s="325">
        <f t="shared" si="75"/>
        <v>51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sheetPr codeName="Sheet15" enableFormatConditionsCalculation="0">
    <tabColor rgb="FFFF0000"/>
  </sheetPr>
  <dimension ref="A1:K42"/>
  <sheetViews>
    <sheetView showGridLines="0" workbookViewId="0"/>
  </sheetViews>
  <sheetFormatPr defaultRowHeight="12"/>
  <cols>
    <col min="1" max="1" width="2" style="429" bestFit="1" customWidth="1"/>
    <col min="2" max="2" width="20" style="429" customWidth="1"/>
    <col min="3" max="3" width="15.85546875" style="429" customWidth="1"/>
    <col min="4" max="4" width="16" style="429" customWidth="1"/>
    <col min="5" max="5" width="11.5703125" style="429" customWidth="1"/>
    <col min="6" max="6" width="15.85546875" style="429" customWidth="1"/>
    <col min="7" max="7" width="15.7109375" style="429" customWidth="1"/>
    <col min="8" max="8" width="12.7109375" style="429" customWidth="1"/>
    <col min="9" max="9" width="10.42578125" style="429" customWidth="1"/>
    <col min="10" max="10" width="10.140625" style="429" customWidth="1"/>
    <col min="11" max="16384" width="9.140625" style="429"/>
  </cols>
  <sheetData>
    <row r="1" spans="1:11">
      <c r="B1" s="393" t="s">
        <v>1046</v>
      </c>
    </row>
    <row r="2" spans="1:11">
      <c r="A2" s="429">
        <v>1</v>
      </c>
      <c r="B2" s="429" t="s">
        <v>2641</v>
      </c>
    </row>
    <row r="3" spans="1:11">
      <c r="A3" s="429">
        <v>2</v>
      </c>
      <c r="B3" s="430" t="s">
        <v>2346</v>
      </c>
      <c r="C3" s="430"/>
    </row>
    <row r="4" spans="1:11">
      <c r="A4" s="429">
        <v>3</v>
      </c>
      <c r="B4" s="429" t="s">
        <v>1336</v>
      </c>
    </row>
    <row r="5" spans="1:11">
      <c r="A5" s="429">
        <v>4</v>
      </c>
      <c r="B5" s="429" t="s">
        <v>2642</v>
      </c>
    </row>
    <row r="6" spans="1:11">
      <c r="A6" s="429">
        <v>5</v>
      </c>
      <c r="B6" s="702" t="s">
        <v>2984</v>
      </c>
      <c r="C6" s="702"/>
      <c r="D6" s="702"/>
      <c r="E6" s="702"/>
      <c r="F6" s="702"/>
      <c r="G6" s="702"/>
      <c r="H6" s="702"/>
      <c r="I6" s="702"/>
      <c r="J6" s="702"/>
      <c r="K6" s="702"/>
    </row>
    <row r="8" spans="1:11" ht="12.75" thickBot="1">
      <c r="B8" s="393" t="s">
        <v>1188</v>
      </c>
    </row>
    <row r="9" spans="1:11" ht="12.75" thickBot="1">
      <c r="B9" s="501" t="s">
        <v>2349</v>
      </c>
      <c r="C9" s="490" t="s">
        <v>1277</v>
      </c>
      <c r="D9" s="705" t="s">
        <v>1278</v>
      </c>
      <c r="E9" s="706"/>
      <c r="F9" s="706"/>
      <c r="G9" s="706"/>
      <c r="H9" s="706"/>
      <c r="I9" s="706"/>
      <c r="J9" s="707"/>
    </row>
    <row r="10" spans="1:11" ht="12.75" thickBot="1">
      <c r="B10" s="502" t="s">
        <v>1279</v>
      </c>
      <c r="C10" s="503">
        <f>'Project Size'!C11</f>
        <v>0</v>
      </c>
      <c r="D10" s="708" t="s">
        <v>1541</v>
      </c>
      <c r="E10" s="706"/>
      <c r="F10" s="706"/>
      <c r="G10" s="706"/>
      <c r="H10" s="706"/>
      <c r="I10" s="706"/>
      <c r="J10" s="707"/>
    </row>
    <row r="11" spans="1:11" ht="12.75" thickBot="1">
      <c r="B11" s="497" t="s">
        <v>1542</v>
      </c>
      <c r="C11" s="493">
        <f>SUM('Project Size'!C12:C17)+SUM('Project Size'!C20:C22)</f>
        <v>0</v>
      </c>
      <c r="D11" s="708" t="s">
        <v>1337</v>
      </c>
      <c r="E11" s="706"/>
      <c r="F11" s="706"/>
      <c r="G11" s="706"/>
      <c r="H11" s="706"/>
      <c r="I11" s="706"/>
      <c r="J11" s="707"/>
    </row>
    <row r="12" spans="1:11" ht="12.75" thickBot="1">
      <c r="B12" s="487" t="s">
        <v>1543</v>
      </c>
      <c r="C12" s="504">
        <f>'Project Size'!C18+'Project Size'!C19</f>
        <v>0</v>
      </c>
      <c r="D12" s="708" t="s">
        <v>2985</v>
      </c>
      <c r="E12" s="706"/>
      <c r="F12" s="706"/>
      <c r="G12" s="706"/>
      <c r="H12" s="706"/>
      <c r="I12" s="706"/>
      <c r="J12" s="707"/>
    </row>
    <row r="13" spans="1:11" ht="12.75" thickBot="1">
      <c r="B13" s="487" t="s">
        <v>1333</v>
      </c>
      <c r="C13" s="504">
        <f>'Project Size'!C22</f>
        <v>0</v>
      </c>
      <c r="D13" s="708" t="s">
        <v>2986</v>
      </c>
      <c r="E13" s="706"/>
      <c r="F13" s="706"/>
      <c r="G13" s="706"/>
      <c r="H13" s="706"/>
      <c r="I13" s="706"/>
      <c r="J13" s="707"/>
    </row>
    <row r="14" spans="1:11" ht="12.75" thickBot="1">
      <c r="B14" s="505" t="s">
        <v>1544</v>
      </c>
      <c r="C14" s="506">
        <f>SUM(C10:C12)</f>
        <v>0</v>
      </c>
    </row>
    <row r="16" spans="1:11" ht="12.75" thickBot="1">
      <c r="B16" s="393" t="s">
        <v>1545</v>
      </c>
    </row>
    <row r="17" spans="2:11" ht="12.75" thickBot="1">
      <c r="B17" s="502" t="s">
        <v>1546</v>
      </c>
      <c r="C17" s="507" t="e">
        <f>'Project Size'!#REF!</f>
        <v>#REF!</v>
      </c>
      <c r="D17" s="489" t="s">
        <v>1547</v>
      </c>
    </row>
    <row r="18" spans="2:11" ht="12.75" thickBot="1">
      <c r="B18" s="497" t="s">
        <v>1335</v>
      </c>
      <c r="C18" s="508" t="e">
        <f>'Project Size'!#REF!</f>
        <v>#REF!</v>
      </c>
      <c r="D18" s="488" t="s">
        <v>1548</v>
      </c>
      <c r="K18" s="439"/>
    </row>
    <row r="19" spans="2:11" ht="12.75" thickBot="1">
      <c r="B19" s="497" t="s">
        <v>2622</v>
      </c>
      <c r="C19" s="522"/>
      <c r="D19" s="488" t="s">
        <v>0</v>
      </c>
      <c r="K19" s="439"/>
    </row>
    <row r="21" spans="2:11" ht="12.75" thickBot="1">
      <c r="B21" s="393" t="s">
        <v>1550</v>
      </c>
    </row>
    <row r="22" spans="2:11" ht="12.75" thickBot="1">
      <c r="B22" s="509"/>
      <c r="C22" s="709" t="s">
        <v>999</v>
      </c>
      <c r="D22" s="710"/>
      <c r="E22" s="711"/>
      <c r="F22" s="709" t="s">
        <v>1000</v>
      </c>
      <c r="G22" s="710"/>
      <c r="H22" s="712"/>
      <c r="I22" s="700" t="s">
        <v>2679</v>
      </c>
      <c r="J22" s="703" t="s">
        <v>1551</v>
      </c>
    </row>
    <row r="23" spans="2:11" ht="12.75" thickBot="1">
      <c r="B23" s="486"/>
      <c r="C23" s="494" t="s">
        <v>1</v>
      </c>
      <c r="D23" s="510" t="s">
        <v>1552</v>
      </c>
      <c r="E23" s="491" t="s">
        <v>1556</v>
      </c>
      <c r="F23" s="494" t="s">
        <v>1</v>
      </c>
      <c r="G23" s="492" t="s">
        <v>1552</v>
      </c>
      <c r="H23" s="492" t="s">
        <v>1556</v>
      </c>
      <c r="I23" s="701"/>
      <c r="J23" s="704"/>
    </row>
    <row r="24" spans="2:11" ht="12.75" thickBot="1">
      <c r="B24" s="497" t="s">
        <v>1557</v>
      </c>
      <c r="C24" s="511" t="e">
        <f>100000* SUMIF(#REF!, B24,#REF!)</f>
        <v>#REF!</v>
      </c>
      <c r="D24" s="512" t="e">
        <f>3412* SUMIF(#REF!, 'Simulation Summary'!B24,#REF!)</f>
        <v>#REF!</v>
      </c>
      <c r="E24" s="513" t="e">
        <f t="shared" ref="E24:E29" si="0">C24/100000*$C$18+D24/3412*$C$17</f>
        <v>#REF!</v>
      </c>
      <c r="F24" s="512" t="e">
        <f>100000* SUMIF(#REF!, B24,#REF!)</f>
        <v>#REF!</v>
      </c>
      <c r="G24" s="512" t="e">
        <f>3412* SUMIF(#REF!, 'Simulation Summary'!B24,#REF!)</f>
        <v>#REF!</v>
      </c>
      <c r="H24" s="514" t="e">
        <f t="shared" ref="H24:H29" si="1">F24/100000*$C$18+G24/3412*$C$17</f>
        <v>#REF!</v>
      </c>
      <c r="I24" s="515" t="e">
        <f>IF(SUM(C24:D24)=0,0,(SUM(C24:D24)-SUM(F24:G24))/SUM(C24:D24))</f>
        <v>#REF!</v>
      </c>
      <c r="J24" s="516" t="e">
        <f>IF(E24=0,0,(E24-H24)/E24)</f>
        <v>#REF!</v>
      </c>
    </row>
    <row r="25" spans="2:11" ht="12.75" thickBot="1">
      <c r="B25" s="497" t="s">
        <v>1558</v>
      </c>
      <c r="C25" s="511" t="e">
        <f>100000* SUMIF(#REF!, B25,#REF!)</f>
        <v>#REF!</v>
      </c>
      <c r="D25" s="512" t="e">
        <f>3412* SUMIF(#REF!, 'Simulation Summary'!B25,#REF!)</f>
        <v>#REF!</v>
      </c>
      <c r="E25" s="513" t="e">
        <f t="shared" si="0"/>
        <v>#REF!</v>
      </c>
      <c r="F25" s="512" t="e">
        <f>100000* SUMIF(#REF!, B25,#REF!)</f>
        <v>#REF!</v>
      </c>
      <c r="G25" s="512" t="e">
        <f>3412* SUMIF(#REF!, 'Simulation Summary'!B25,#REF!)</f>
        <v>#REF!</v>
      </c>
      <c r="H25" s="514" t="e">
        <f t="shared" si="1"/>
        <v>#REF!</v>
      </c>
      <c r="I25" s="515" t="e">
        <f t="shared" ref="I25:I30" si="2">IF(SUM(C25:D25)=0,0,(SUM(C25:D25)-SUM(F25:G25))/SUM(C25:D25))</f>
        <v>#REF!</v>
      </c>
      <c r="J25" s="516" t="e">
        <f t="shared" ref="J25:J30" si="3">IF(E25=0,0,(E25-H25)/E25)</f>
        <v>#REF!</v>
      </c>
    </row>
    <row r="26" spans="2:11" ht="12.75" thickBot="1">
      <c r="B26" s="497" t="s">
        <v>1559</v>
      </c>
      <c r="C26" s="511" t="e">
        <f>100000* SUMIF(#REF!, B26,#REF!)</f>
        <v>#REF!</v>
      </c>
      <c r="D26" s="512" t="e">
        <f>3412* SUMIF(#REF!, 'Simulation Summary'!B26,#REF!)</f>
        <v>#REF!</v>
      </c>
      <c r="E26" s="513" t="e">
        <f t="shared" si="0"/>
        <v>#REF!</v>
      </c>
      <c r="F26" s="512" t="e">
        <f>100000* SUMIF(#REF!, B26,#REF!)</f>
        <v>#REF!</v>
      </c>
      <c r="G26" s="512" t="e">
        <f>3412* SUMIF(#REF!, 'Simulation Summary'!B26,#REF!)</f>
        <v>#REF!</v>
      </c>
      <c r="H26" s="514" t="e">
        <f t="shared" si="1"/>
        <v>#REF!</v>
      </c>
      <c r="I26" s="515" t="e">
        <f t="shared" si="2"/>
        <v>#REF!</v>
      </c>
      <c r="J26" s="516" t="e">
        <f t="shared" si="3"/>
        <v>#REF!</v>
      </c>
    </row>
    <row r="27" spans="2:11" ht="12.75" thickBot="1">
      <c r="B27" s="497" t="s">
        <v>1560</v>
      </c>
      <c r="C27" s="511" t="e">
        <f>100000* SUMIF(#REF!, B27,#REF!)</f>
        <v>#REF!</v>
      </c>
      <c r="D27" s="512" t="e">
        <f>3412* SUMIF(#REF!, 'Simulation Summary'!B27,#REF!)</f>
        <v>#REF!</v>
      </c>
      <c r="E27" s="513" t="e">
        <f t="shared" si="0"/>
        <v>#REF!</v>
      </c>
      <c r="F27" s="512" t="e">
        <f>100000* SUMIF(#REF!, B27,#REF!)</f>
        <v>#REF!</v>
      </c>
      <c r="G27" s="512" t="e">
        <f>3412* SUMIF(#REF!, 'Simulation Summary'!B27,#REF!)</f>
        <v>#REF!</v>
      </c>
      <c r="H27" s="514" t="e">
        <f t="shared" si="1"/>
        <v>#REF!</v>
      </c>
      <c r="I27" s="515" t="e">
        <f t="shared" si="2"/>
        <v>#REF!</v>
      </c>
      <c r="J27" s="516" t="e">
        <f t="shared" si="3"/>
        <v>#REF!</v>
      </c>
    </row>
    <row r="28" spans="2:11" ht="12.75" thickBot="1">
      <c r="B28" s="497" t="s">
        <v>1561</v>
      </c>
      <c r="C28" s="511" t="e">
        <f>100000* SUMIF(#REF!, B28,#REF!)</f>
        <v>#REF!</v>
      </c>
      <c r="D28" s="512" t="e">
        <f>3412* SUMIF(#REF!, 'Simulation Summary'!B28,#REF!)</f>
        <v>#REF!</v>
      </c>
      <c r="E28" s="513" t="e">
        <f t="shared" si="0"/>
        <v>#REF!</v>
      </c>
      <c r="F28" s="512" t="e">
        <f>100000* SUMIF(#REF!, B28,#REF!)</f>
        <v>#REF!</v>
      </c>
      <c r="G28" s="512" t="e">
        <f>3412* SUMIF(#REF!, 'Simulation Summary'!B28,#REF!)</f>
        <v>#REF!</v>
      </c>
      <c r="H28" s="514" t="e">
        <f t="shared" si="1"/>
        <v>#REF!</v>
      </c>
      <c r="I28" s="515" t="e">
        <f t="shared" si="2"/>
        <v>#REF!</v>
      </c>
      <c r="J28" s="516" t="e">
        <f t="shared" si="3"/>
        <v>#REF!</v>
      </c>
    </row>
    <row r="29" spans="2:11" ht="12.75" thickBot="1">
      <c r="B29" s="497" t="s">
        <v>1562</v>
      </c>
      <c r="C29" s="511" t="e">
        <f>100000* SUMIF(#REF!, B29,#REF!)</f>
        <v>#REF!</v>
      </c>
      <c r="D29" s="512" t="e">
        <f>3412* SUMIF(#REF!, 'Simulation Summary'!B29,#REF!)</f>
        <v>#REF!</v>
      </c>
      <c r="E29" s="513" t="e">
        <f t="shared" si="0"/>
        <v>#REF!</v>
      </c>
      <c r="F29" s="512" t="e">
        <f>100000* SUMIF(#REF!, B29,#REF!)</f>
        <v>#REF!</v>
      </c>
      <c r="G29" s="512" t="e">
        <f>3412* SUMIF(#REF!, 'Simulation Summary'!B29,#REF!)</f>
        <v>#REF!</v>
      </c>
      <c r="H29" s="514" t="e">
        <f t="shared" si="1"/>
        <v>#REF!</v>
      </c>
      <c r="I29" s="515" t="e">
        <f t="shared" si="2"/>
        <v>#REF!</v>
      </c>
      <c r="J29" s="516" t="e">
        <f t="shared" si="3"/>
        <v>#REF!</v>
      </c>
    </row>
    <row r="30" spans="2:11" ht="12.75" thickBot="1">
      <c r="B30" s="498" t="s">
        <v>1327</v>
      </c>
      <c r="C30" s="511" t="e">
        <f t="shared" ref="C30:H30" si="4">SUM(C24:C29)</f>
        <v>#REF!</v>
      </c>
      <c r="D30" s="511" t="e">
        <f t="shared" si="4"/>
        <v>#REF!</v>
      </c>
      <c r="E30" s="517" t="e">
        <f t="shared" si="4"/>
        <v>#REF!</v>
      </c>
      <c r="F30" s="518" t="e">
        <f t="shared" si="4"/>
        <v>#REF!</v>
      </c>
      <c r="G30" s="518" t="e">
        <f t="shared" si="4"/>
        <v>#REF!</v>
      </c>
      <c r="H30" s="519" t="e">
        <f t="shared" si="4"/>
        <v>#REF!</v>
      </c>
      <c r="I30" s="515" t="e">
        <f t="shared" si="2"/>
        <v>#REF!</v>
      </c>
      <c r="J30" s="520" t="e">
        <f t="shared" si="3"/>
        <v>#REF!</v>
      </c>
    </row>
    <row r="31" spans="2:11" ht="12.75" thickBot="1">
      <c r="G31" s="451"/>
    </row>
    <row r="32" spans="2:11" ht="12.75" thickBot="1">
      <c r="B32" s="393" t="s">
        <v>2158</v>
      </c>
      <c r="G32" s="521"/>
      <c r="H32" s="513" t="e">
        <f>F30*C18/100000/(#REF!)/12</f>
        <v>#REF!</v>
      </c>
      <c r="I32" s="429" t="s">
        <v>2677</v>
      </c>
    </row>
    <row r="33" spans="2:9" ht="12.75" thickBot="1">
      <c r="G33" s="521"/>
      <c r="H33" s="513" t="e">
        <f>G30*C17/3412/12/(#REF!)</f>
        <v>#REF!</v>
      </c>
      <c r="I33" s="429" t="s">
        <v>2676</v>
      </c>
    </row>
    <row r="34" spans="2:9" ht="12.75" thickBot="1">
      <c r="B34" s="486"/>
      <c r="C34" s="494" t="s">
        <v>999</v>
      </c>
      <c r="D34" s="491" t="s">
        <v>1000</v>
      </c>
    </row>
    <row r="35" spans="2:9" ht="12.75" thickBot="1">
      <c r="B35" s="486"/>
      <c r="C35" s="494" t="s">
        <v>2159</v>
      </c>
      <c r="D35" s="491" t="s">
        <v>2159</v>
      </c>
    </row>
    <row r="36" spans="2:9" ht="12.75" thickBot="1">
      <c r="B36" s="497" t="s">
        <v>1557</v>
      </c>
      <c r="C36" s="495">
        <f t="shared" ref="C36:C41" si="5">IF($C$14=0,0,SUM(C24:D24)/$C$14)</f>
        <v>0</v>
      </c>
      <c r="D36" s="493">
        <f t="shared" ref="D36:D41" si="6">IF($C$14=0,0,SUM(F24:G24)/$C$14)</f>
        <v>0</v>
      </c>
    </row>
    <row r="37" spans="2:9" ht="12.75" thickBot="1">
      <c r="B37" s="497" t="s">
        <v>1558</v>
      </c>
      <c r="C37" s="495">
        <f t="shared" si="5"/>
        <v>0</v>
      </c>
      <c r="D37" s="493">
        <f t="shared" si="6"/>
        <v>0</v>
      </c>
    </row>
    <row r="38" spans="2:9" ht="12.75" thickBot="1">
      <c r="B38" s="497" t="s">
        <v>1559</v>
      </c>
      <c r="C38" s="495">
        <f t="shared" si="5"/>
        <v>0</v>
      </c>
      <c r="D38" s="493">
        <f t="shared" si="6"/>
        <v>0</v>
      </c>
    </row>
    <row r="39" spans="2:9" ht="12.75" thickBot="1">
      <c r="B39" s="497" t="s">
        <v>1560</v>
      </c>
      <c r="C39" s="495">
        <f t="shared" si="5"/>
        <v>0</v>
      </c>
      <c r="D39" s="493">
        <f t="shared" si="6"/>
        <v>0</v>
      </c>
    </row>
    <row r="40" spans="2:9" ht="12.75" thickBot="1">
      <c r="B40" s="497" t="s">
        <v>1561</v>
      </c>
      <c r="C40" s="495">
        <f t="shared" si="5"/>
        <v>0</v>
      </c>
      <c r="D40" s="493">
        <f t="shared" si="6"/>
        <v>0</v>
      </c>
    </row>
    <row r="41" spans="2:9" ht="12.75" thickBot="1">
      <c r="B41" s="497" t="s">
        <v>1562</v>
      </c>
      <c r="C41" s="495">
        <f t="shared" si="5"/>
        <v>0</v>
      </c>
      <c r="D41" s="493">
        <f t="shared" si="6"/>
        <v>0</v>
      </c>
    </row>
    <row r="42" spans="2:9" ht="12.75" thickBot="1">
      <c r="B42" s="498" t="s">
        <v>1327</v>
      </c>
      <c r="C42" s="495">
        <f>SUM(C36:C41)</f>
        <v>0</v>
      </c>
      <c r="D42" s="493">
        <f>SUM(D36:D41)</f>
        <v>0</v>
      </c>
    </row>
  </sheetData>
  <mergeCells count="10">
    <mergeCell ref="I22:I23"/>
    <mergeCell ref="B6:K6"/>
    <mergeCell ref="J22:J23"/>
    <mergeCell ref="D9:J9"/>
    <mergeCell ref="D10:J10"/>
    <mergeCell ref="D11:J11"/>
    <mergeCell ref="D12:J12"/>
    <mergeCell ref="D13:J13"/>
    <mergeCell ref="C22:E22"/>
    <mergeCell ref="F22:H22"/>
  </mergeCells>
  <phoneticPr fontId="29" type="noConversion"/>
  <pageMargins left="0.75" right="0.75" top="1" bottom="1" header="0.5" footer="0.5"/>
  <pageSetup orientation="portrait" horizont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40</vt:i4>
      </vt:variant>
    </vt:vector>
  </HeadingPairs>
  <TitlesOfParts>
    <vt:vector size="66" baseType="lpstr">
      <vt:lpstr>Report</vt:lpstr>
      <vt:lpstr>GHSF Calculator</vt:lpstr>
      <vt:lpstr>Demand Savings Lookup</vt:lpstr>
      <vt:lpstr>Lookup</vt:lpstr>
      <vt:lpstr>Drop Down</vt:lpstr>
      <vt:lpstr>Introduction</vt:lpstr>
      <vt:lpstr>Project Size</vt:lpstr>
      <vt:lpstr>Avoided Costs</vt:lpstr>
      <vt:lpstr>Simulation Summary</vt:lpstr>
      <vt:lpstr>Windows eQuest</vt:lpstr>
      <vt:lpstr>DHW Demand</vt:lpstr>
      <vt:lpstr>Appliances</vt:lpstr>
      <vt:lpstr>Lighting Schedule</vt:lpstr>
      <vt:lpstr>Interior Lighting</vt:lpstr>
      <vt:lpstr>Exterior Lighting</vt:lpstr>
      <vt:lpstr>In-Unit Lighting</vt:lpstr>
      <vt:lpstr>Infiltration&amp;Ventilation</vt:lpstr>
      <vt:lpstr>EIR for PTAC and PTHP</vt:lpstr>
      <vt:lpstr>Water Savings</vt:lpstr>
      <vt:lpstr>Tables of Values</vt:lpstr>
      <vt:lpstr>Locator Map</vt:lpstr>
      <vt:lpstr>Side Calcs - Baseline</vt:lpstr>
      <vt:lpstr>ZipCode Map</vt:lpstr>
      <vt:lpstr>Worksheet - Design - Baseline</vt:lpstr>
      <vt:lpstr>Worksheet - Design - Proposed</vt:lpstr>
      <vt:lpstr>Side Calcs - Proposed</vt:lpstr>
      <vt:lpstr>AvoidedCostTable</vt:lpstr>
      <vt:lpstr>CentralHudson</vt:lpstr>
      <vt:lpstr>ClimateZone</vt:lpstr>
      <vt:lpstr>Condition</vt:lpstr>
      <vt:lpstr>ConEd</vt:lpstr>
      <vt:lpstr>construction</vt:lpstr>
      <vt:lpstr>DHW_Method</vt:lpstr>
      <vt:lpstr>EStar</vt:lpstr>
      <vt:lpstr>Fan</vt:lpstr>
      <vt:lpstr>FanControl</vt:lpstr>
      <vt:lpstr>Footcandles</vt:lpstr>
      <vt:lpstr>fuel</vt:lpstr>
      <vt:lpstr>Fuels</vt:lpstr>
      <vt:lpstr>FundingCodes</vt:lpstr>
      <vt:lpstr>Garage</vt:lpstr>
      <vt:lpstr>GasUtility</vt:lpstr>
      <vt:lpstr>HeatingControl</vt:lpstr>
      <vt:lpstr>Income</vt:lpstr>
      <vt:lpstr>KEDLI</vt:lpstr>
      <vt:lpstr>LightingSpaceType</vt:lpstr>
      <vt:lpstr>'Water Savings'!Low_Flow_Toilets</vt:lpstr>
      <vt:lpstr>LPD</vt:lpstr>
      <vt:lpstr>Measure_Type</vt:lpstr>
      <vt:lpstr>Milestone</vt:lpstr>
      <vt:lpstr>NationalGrid</vt:lpstr>
      <vt:lpstr>NYSEG</vt:lpstr>
      <vt:lpstr>OandR</vt:lpstr>
      <vt:lpstr>Introduction!Print_Area</vt:lpstr>
      <vt:lpstr>'Interior Lighting'!Print_Titles</vt:lpstr>
      <vt:lpstr>Pump</vt:lpstr>
      <vt:lpstr>PumpClass</vt:lpstr>
      <vt:lpstr>Rev</vt:lpstr>
      <vt:lpstr>RGandE</vt:lpstr>
      <vt:lpstr>SpaceType</vt:lpstr>
      <vt:lpstr>Standard</vt:lpstr>
      <vt:lpstr>Units</vt:lpstr>
      <vt:lpstr>Utility</vt:lpstr>
      <vt:lpstr>Windows</vt:lpstr>
      <vt:lpstr>YesNo</vt:lpstr>
      <vt:lpstr>YN</vt:lpstr>
    </vt:vector>
  </TitlesOfParts>
  <Company>NYSERDA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dc:creator>
  <cp:lastModifiedBy>Shelley Beaulieu</cp:lastModifiedBy>
  <cp:lastPrinted>2010-03-16T13:56:35Z</cp:lastPrinted>
  <dcterms:created xsi:type="dcterms:W3CDTF">2007-11-19T22:02:39Z</dcterms:created>
  <dcterms:modified xsi:type="dcterms:W3CDTF">2011-04-20T15:08:05Z</dcterms:modified>
</cp:coreProperties>
</file>