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codeName="{85106AD5-7665-2F1B-BB0A-E31DD656B090}"/>
  <workbookPr codeName="ThisWorkbook" defaultThemeVersion="166925"/>
  <mc:AlternateContent xmlns:mc="http://schemas.openxmlformats.org/markup-compatibility/2006">
    <mc:Choice Requires="x15">
      <x15ac:absPath xmlns:x15ac="http://schemas.microsoft.com/office/spreadsheetml/2010/11/ac" url="F:\Users\NYC\Multifamily_Residential\MPP\Program_Management\COVID-19\Resources\"/>
    </mc:Choice>
  </mc:AlternateContent>
  <xr:revisionPtr revIDLastSave="0" documentId="13_ncr:1_{A25AAB78-1238-4700-97C6-EABD6EBB8B9A}" xr6:coauthVersionLast="45" xr6:coauthVersionMax="45" xr10:uidLastSave="{00000000-0000-0000-0000-000000000000}"/>
  <workbookProtection workbookAlgorithmName="SHA-512" workbookHashValue="HazivrZaloNYr4i0/hdRD8K+j6m06Edb4OSM5nA8aK1LKvFm2irthuq6rSJzpIjPL935zV2Ce90ysUY7YWtmtg==" workbookSaltValue="3Sz+pHp/Y2qgELUcKFMjTQ==" workbookSpinCount="100000" lockStructure="1"/>
  <bookViews>
    <workbookView xWindow="22650" yWindow="990" windowWidth="21855" windowHeight="13815" activeTab="1" xr2:uid="{542DA1F1-0ED5-497F-A0E0-AC6AEAC53BD7}"/>
  </bookViews>
  <sheets>
    <sheet name="Instructions" sheetId="7" r:id="rId1"/>
    <sheet name="Appliances" sheetId="2" r:id="rId2"/>
    <sheet name="Low-Flow Fixtures" sheetId="1" r:id="rId3"/>
    <sheet name="Lighting" sheetId="3" r:id="rId4"/>
    <sheet name="Cooling" sheetId="8" r:id="rId5"/>
    <sheet name="Lookups" sheetId="4"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2" l="1"/>
  <c r="C8" i="8" l="1"/>
  <c r="AO10" i="4"/>
  <c r="AX11" i="4"/>
  <c r="AX12" i="4"/>
  <c r="AX13" i="4"/>
  <c r="AX14" i="4"/>
  <c r="AX15" i="4"/>
  <c r="AX16" i="4"/>
  <c r="AX17" i="4"/>
  <c r="AX18" i="4"/>
  <c r="AX19" i="4"/>
  <c r="AX20" i="4"/>
  <c r="AX21" i="4"/>
  <c r="AX22" i="4"/>
  <c r="AX23" i="4"/>
  <c r="AX24" i="4"/>
  <c r="AX25" i="4"/>
  <c r="AX26" i="4"/>
  <c r="AX27" i="4"/>
  <c r="AX28" i="4"/>
  <c r="AX29" i="4"/>
  <c r="AX10" i="4"/>
  <c r="AV10" i="4"/>
  <c r="AV11" i="4"/>
  <c r="AV12" i="4"/>
  <c r="AV13" i="4"/>
  <c r="AV14" i="4"/>
  <c r="AV15" i="4"/>
  <c r="AV16" i="4"/>
  <c r="AV17" i="4"/>
  <c r="AV18" i="4"/>
  <c r="AV19" i="4"/>
  <c r="AV20" i="4"/>
  <c r="AV21" i="4"/>
  <c r="AV22" i="4"/>
  <c r="AV23" i="4"/>
  <c r="AV24" i="4"/>
  <c r="AV25" i="4"/>
  <c r="AV26" i="4"/>
  <c r="AV27" i="4"/>
  <c r="AV28" i="4"/>
  <c r="AV29" i="4"/>
  <c r="C6" i="8"/>
  <c r="AT11" i="4"/>
  <c r="AT12" i="4"/>
  <c r="AT13" i="4"/>
  <c r="AT14" i="4"/>
  <c r="AT15" i="4"/>
  <c r="AT16" i="4"/>
  <c r="AT17" i="4"/>
  <c r="AT18" i="4"/>
  <c r="AT19" i="4"/>
  <c r="AT20" i="4"/>
  <c r="AT21" i="4"/>
  <c r="AT22" i="4"/>
  <c r="AT23" i="4"/>
  <c r="AT24" i="4"/>
  <c r="AT25" i="4"/>
  <c r="AT26" i="4"/>
  <c r="AT27" i="4"/>
  <c r="AT28" i="4"/>
  <c r="AT29" i="4"/>
  <c r="AT10" i="4"/>
  <c r="C13" i="8"/>
  <c r="C12" i="8"/>
  <c r="C11" i="8"/>
  <c r="C9" i="2"/>
  <c r="C24" i="2"/>
  <c r="C18" i="2"/>
  <c r="C19" i="2" s="1"/>
  <c r="AO9" i="4" l="1"/>
  <c r="AO8" i="4"/>
  <c r="AO7" i="4"/>
  <c r="C25" i="2" l="1"/>
  <c r="C17" i="2"/>
  <c r="AH19" i="4"/>
  <c r="AH20" i="4"/>
  <c r="AH21" i="4"/>
  <c r="AH22" i="4"/>
  <c r="AH23" i="4"/>
  <c r="AH18" i="4"/>
  <c r="AH12" i="4"/>
  <c r="AH13" i="4"/>
  <c r="AH14" i="4"/>
  <c r="AH11" i="4"/>
  <c r="C11" i="2"/>
  <c r="C10" i="2"/>
  <c r="O13" i="4"/>
  <c r="O8" i="4"/>
  <c r="N11" i="4" s="1"/>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32" i="4"/>
  <c r="A11" i="4"/>
  <c r="A12" i="4"/>
  <c r="A13" i="4"/>
  <c r="A14" i="4"/>
  <c r="A15" i="4"/>
  <c r="A16" i="4"/>
  <c r="A17" i="4"/>
  <c r="A18" i="4"/>
  <c r="A19" i="4"/>
  <c r="A20" i="4"/>
  <c r="A21" i="4"/>
  <c r="A22" i="4"/>
  <c r="A23" i="4"/>
  <c r="A24" i="4"/>
  <c r="A25" i="4"/>
  <c r="A26" i="4"/>
  <c r="A27" i="4"/>
  <c r="A10"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43" i="4"/>
  <c r="D42" i="4"/>
  <c r="D41" i="4"/>
  <c r="D40" i="4"/>
  <c r="D39" i="4"/>
  <c r="D38" i="4"/>
  <c r="D37" i="4"/>
  <c r="D36" i="4"/>
  <c r="D35" i="4"/>
  <c r="D34" i="4"/>
  <c r="D33" i="4"/>
  <c r="D32" i="4"/>
  <c r="D27" i="4"/>
  <c r="N15" i="4"/>
  <c r="N16" i="4"/>
  <c r="N17" i="4"/>
  <c r="N14" i="4"/>
  <c r="N10" i="4"/>
  <c r="N9" i="4"/>
  <c r="D26" i="4"/>
  <c r="D25" i="4"/>
  <c r="D24" i="4"/>
  <c r="D23" i="4"/>
  <c r="D22" i="4"/>
  <c r="D21" i="4"/>
  <c r="D20" i="4"/>
  <c r="D19" i="4"/>
  <c r="D18" i="4"/>
  <c r="D17" i="4"/>
  <c r="D16" i="4"/>
  <c r="D15" i="4"/>
  <c r="D14" i="4"/>
  <c r="D13" i="4"/>
  <c r="D12" i="4"/>
  <c r="D11" i="4"/>
  <c r="D10" i="4"/>
  <c r="C6" i="2" l="1"/>
</calcChain>
</file>

<file path=xl/sharedStrings.xml><?xml version="1.0" encoding="utf-8"?>
<sst xmlns="http://schemas.openxmlformats.org/spreadsheetml/2006/main" count="478" uniqueCount="299">
  <si>
    <t>Refrigerators</t>
  </si>
  <si>
    <t>Dishwashers</t>
  </si>
  <si>
    <t>Existing Consumption Guidance</t>
  </si>
  <si>
    <t>NA</t>
  </si>
  <si>
    <t>TRM</t>
  </si>
  <si>
    <t>Product class</t>
  </si>
  <si>
    <t>Energy standard equations for maximum energy use</t>
  </si>
  <si>
    <t>(kWh/yr)</t>
  </si>
  <si>
    <t>8.82AV + 248.4</t>
  </si>
  <si>
    <t>9.80AV + 276.0</t>
  </si>
  <si>
    <t>4.91AV + 507.5</t>
  </si>
  <si>
    <t>4.60AV + 459.0</t>
  </si>
  <si>
    <t>10.20AV + 356.0</t>
  </si>
  <si>
    <t>10.10AV + 406.0</t>
  </si>
  <si>
    <t>7.55AV + 258.3</t>
  </si>
  <si>
    <t>12.43AV + 326.1</t>
  </si>
  <si>
    <t>9.88AV + 143.7</t>
  </si>
  <si>
    <t>10.70AV + 299.0</t>
  </si>
  <si>
    <t>7.00AV + 398.0</t>
  </si>
  <si>
    <t>12.70AV + 355.0</t>
  </si>
  <si>
    <t>7.60AV + 501.0</t>
  </si>
  <si>
    <t>13.10AV + 367.0</t>
  </si>
  <si>
    <t>9.78AV + 250.8</t>
  </si>
  <si>
    <t>11.40AV + 391.0</t>
  </si>
  <si>
    <t>10.45AV + 152.0</t>
  </si>
  <si>
    <t>10 CFR 430.32 Energy and water conservation standards and their compliance dates
https://www.ecfr.gov/cgi-bin/text-idx?SID=a9921a66f2b4f66a32ec851916b7b9d9&amp;mc=true&amp;node=se10.3.430_132&amp;rgn=div8</t>
  </si>
  <si>
    <t>Source</t>
  </si>
  <si>
    <t>Refrigerator Type</t>
  </si>
  <si>
    <t>Refrigerators and refrigerator-freezers with manual defrost</t>
  </si>
  <si>
    <t>Refrigerator-freezers—partial automatic defrost</t>
  </si>
  <si>
    <t>Refrigerator-freezers—automatic defrost with top-mounted freezer without through-the-door ice service and all-refrigerator—automatic defrost</t>
  </si>
  <si>
    <t>Refrigerator-freezers—automatic defrost with side-mounted freezer without through-the-door ice service</t>
  </si>
  <si>
    <t>Refrigerator-freezers—automatic defrost with bottom-mounted freezer without through-the-door ice service</t>
  </si>
  <si>
    <t>Refrigerator-freezers—automatic defrost with top-mounted freezer with through-the-door ice service</t>
  </si>
  <si>
    <t>Refrigerator-freezers—automatic defrost with side-mounted freezer with through-the-door ice service</t>
  </si>
  <si>
    <t>Upright freezers with manual defrost</t>
  </si>
  <si>
    <t>Upright freezers with automatic defrost</t>
  </si>
  <si>
    <t>Chest freezers and all other freezers except compact freezers</t>
  </si>
  <si>
    <t>Compact refrigerators and refrigerator-freezers with manual defrost</t>
  </si>
  <si>
    <t>Compact refrigerator-freezer—partial automatic defrost</t>
  </si>
  <si>
    <t>Compact refrigerator-freezers—automatic defrost with top-mounted freezer and compact all-refrigerator—automatic defrost</t>
  </si>
  <si>
    <t>Compact refrigerator-freezers—automatic defrost with side-mounted freezer</t>
  </si>
  <si>
    <t>Compact refrigerator-freezers—automatic defrost with bottom-mounted freezer</t>
  </si>
  <si>
    <t>Compact upright freezers with manual defrost</t>
  </si>
  <si>
    <t>Compact upright freezers with automatic defrost</t>
  </si>
  <si>
    <t>Compact chest freezers</t>
  </si>
  <si>
    <t>Formula</t>
  </si>
  <si>
    <t>Dishwasher</t>
  </si>
  <si>
    <t>Dishwasher Type</t>
  </si>
  <si>
    <t>Compact</t>
  </si>
  <si>
    <t>Standard</t>
  </si>
  <si>
    <t>Manufactured on or after May 30th, 2013
Compact: 222 kWh/yr ; 3.5 gallons/cycle
Standard:307 kWh/yr; 5 gallons/ cycle</t>
  </si>
  <si>
    <t>10 CFR 430.32 Energy and water conservation standards and their compliance dates
https://www.law.cornell.edu/cfr/text/10/430.32</t>
  </si>
  <si>
    <t>kWh/yr</t>
  </si>
  <si>
    <t>Gallon/cycle</t>
  </si>
  <si>
    <t>Clothes Washer Type</t>
  </si>
  <si>
    <t>Date Manufactured</t>
  </si>
  <si>
    <t>Clothes Washer</t>
  </si>
  <si>
    <t>Manufactured on or after January 1st, 2007</t>
  </si>
  <si>
    <t>Top Loading Compact (less than 1.6 ft3 capacity)</t>
  </si>
  <si>
    <t>Front Loading</t>
  </si>
  <si>
    <t>ft3/kWh/cycle Energy Factor</t>
  </si>
  <si>
    <t>gal/cycle/ft3 water factor</t>
  </si>
  <si>
    <t>Top Loading Standard (1.6 ft3 or greater capacity)</t>
  </si>
  <si>
    <t>Front Loading Compact (less than 1.6 ft3 capacity)</t>
  </si>
  <si>
    <t>Front Loading Standard (1.6 ft3 or greater capacity)</t>
  </si>
  <si>
    <t>Low-Flow Fixtures</t>
  </si>
  <si>
    <t>In Unit Lighting</t>
  </si>
  <si>
    <t>Low Flow Fixtures</t>
  </si>
  <si>
    <t>References</t>
  </si>
  <si>
    <r>
      <t>AV: Adjusted Volume in ft</t>
    </r>
    <r>
      <rPr>
        <vertAlign val="superscript"/>
        <sz val="10"/>
        <color indexed="8"/>
        <rFont val="Arial"/>
        <family val="2"/>
      </rPr>
      <t>3</t>
    </r>
  </si>
  <si>
    <t>Existing kWh/yr. consumption per refrigerator</t>
  </si>
  <si>
    <t>Existing kWh/yr. consumption per Dishwasher</t>
  </si>
  <si>
    <t>Manufactured on or after January 1st, 2007
Top Loading Compact (less than 1.6 ft3 capacity): 0.65 ft3/kWh/cycle
Top Loading Standard (1.6 ft3 or greater capacity): 1.26 ft3/kWh/cycle
Front Loading: 1.26 ft3/kWh/cycle
Manufactured on or after March 7th, 2015 and before January 1,2018
Top Loading Compact (less than 1.6 ft3 capacity): 0.86 ft3/kWh/cycle Energy Factor; 14.4 gal/cycle/ft3 water factor
Top Loading Standard (1.6 ft3 or greater capacity): 1.29 ft3/kWh/cycle Energy Factor; 8.4 gal/cycle/ft3 water factor
Front Loading Compact (less than 1.6 ft3 capacity): 1.13 ft3/kWh/cycle Energy Factor; 8.3 gal/cycle/ft3 water factor
Front Loading Standard (1.6 ft3 or greater capacity): 1.84 ft3/kWh/cycle Energy Factor; 4.7 gal/cycle/ft3 water factor</t>
  </si>
  <si>
    <t>Fixture Type</t>
  </si>
  <si>
    <t>TRM
10 CFR 430.32 Energy and water conservation standards and their compliance dates
https://www.law.cornell.edu/cfr/text/10/430.32</t>
  </si>
  <si>
    <t>See Calculator Below</t>
  </si>
  <si>
    <t>Faucet type</t>
  </si>
  <si>
    <t>Maximum flow rate</t>
  </si>
  <si>
    <t>Manufactured after January 1, 1994</t>
  </si>
  <si>
    <t>2.2 gpm @ 60 psi</t>
  </si>
  <si>
    <t>Showerhead</t>
  </si>
  <si>
    <t>2.5 gpm @ 80 psi</t>
  </si>
  <si>
    <t>1.6 gpf</t>
  </si>
  <si>
    <t>Proposed Refrigerator Volume in ft3 (based on proposed unit)</t>
  </si>
  <si>
    <t>Before September 15, 2014</t>
  </si>
  <si>
    <t>7.99AV + 225.0</t>
  </si>
  <si>
    <t>6.79AV + 193.6</t>
  </si>
  <si>
    <t>8.07AV + 233.7</t>
  </si>
  <si>
    <t>9.15AV + 264.9</t>
  </si>
  <si>
    <t>8.07AV + 317.7</t>
  </si>
  <si>
    <t>9.15AV + 348.9</t>
  </si>
  <si>
    <t>7.07AV + 201.6</t>
  </si>
  <si>
    <t>8.02AV + 228.5</t>
  </si>
  <si>
    <t>8.51AV + 297.8</t>
  </si>
  <si>
    <t>10.22AV + 357.4</t>
  </si>
  <si>
    <t>8.51AV + 381.8</t>
  </si>
  <si>
    <t>10.22AV + 441.4</t>
  </si>
  <si>
    <t>8.85AV + 317.0</t>
  </si>
  <si>
    <t>9.40AV + 336.9</t>
  </si>
  <si>
    <t>8.85AV + 401.0</t>
  </si>
  <si>
    <t>9.40AV + 420.9</t>
  </si>
  <si>
    <t>9.25AV + 475.4</t>
  </si>
  <si>
    <t>9.83AV + 499.9</t>
  </si>
  <si>
    <t>8.40AV + 385.4</t>
  </si>
  <si>
    <t>8.54AV + 432.8</t>
  </si>
  <si>
    <t>10.25AV + 502.6</t>
  </si>
  <si>
    <t>5.57AV + 193.7</t>
  </si>
  <si>
    <t>8.62AV + 228.3</t>
  </si>
  <si>
    <t>8.62AV + 312.3</t>
  </si>
  <si>
    <t>9.86AV + 260.9</t>
  </si>
  <si>
    <t>9.86AV + 344.9</t>
  </si>
  <si>
    <t>7.29AV + 107.8</t>
  </si>
  <si>
    <t>10.24AV + 148.1</t>
  </si>
  <si>
    <t>9.03AV + 252.3</t>
  </si>
  <si>
    <t>7.84AV + 219.1</t>
  </si>
  <si>
    <t>5.91AV + 335.8</t>
  </si>
  <si>
    <t>11.80AV + 339.2</t>
  </si>
  <si>
    <t>11.80AV + 423.2</t>
  </si>
  <si>
    <t>9.17AV + 259.3</t>
  </si>
  <si>
    <t>6.82AV + 456.9</t>
  </si>
  <si>
    <t>6.82AV + 540.9</t>
  </si>
  <si>
    <t>8.65AV + 225.7</t>
  </si>
  <si>
    <t>10.17AV + 351.9</t>
  </si>
  <si>
    <t>9.25AV + 136.8</t>
  </si>
  <si>
    <t>Refrigerator-freezers and refrigerators other than all-refrigerators with manual defrost</t>
  </si>
  <si>
    <t>All-refrigerators—manual defrost</t>
  </si>
  <si>
    <t>Refrigerator-freezers—automatic defrost with top-mounted freezer without an automatic icemaker</t>
  </si>
  <si>
    <t>Built-in refrigerator-freezer—automatic defrost with top-mounted freezer without an automatic icemaker</t>
  </si>
  <si>
    <t>Refrigerator-freezers—automatic defrost with top-mounted freezer with an automatic icemaker without through-the-door ice service</t>
  </si>
  <si>
    <t>Built-in refrigerator-freezers—automatic defrost with top-mounted freezer with an automatic icemaker without through-the-door ice service</t>
  </si>
  <si>
    <t>All-refrigerators—automatic defrost</t>
  </si>
  <si>
    <t>Built-in All-refrigerators—automatic defrost</t>
  </si>
  <si>
    <t>Refrigerator-freezers—automatic defrost with side-mounted freezer without an automatic icemaker</t>
  </si>
  <si>
    <t>Built-In Refrigerator-freezers—automatic defrost with side-mounted freezer without an automatic icemaker</t>
  </si>
  <si>
    <t>Refrigerator-freezers—automatic defrost with side-mounted freezer with an automatic icemaker without through-the-door ice service</t>
  </si>
  <si>
    <t>Built-In Refrigerator-freezers—automatic defrost with side-mounted freezer with an automatic icemaker without through-the-door ice service</t>
  </si>
  <si>
    <t>5. without an automatic icemaker</t>
  </si>
  <si>
    <t>Built-In Refrigerator-freezers—automatic defrost with bottom-mounted freezer without an automatic icemaker</t>
  </si>
  <si>
    <t>Refrigerator-freezers—automatic defrost with bottom-mounted freezer with an automatic icemaker without through-the-door ice service</t>
  </si>
  <si>
    <t>Built-In Refrigerator-freezers—automatic defrost with bottom-mounted freezer with an automatic icemaker without through-the-door ice service</t>
  </si>
  <si>
    <t>Refrigerator-freezer—automatic defrost with bottom-mounted freezer with through-the-door ice service</t>
  </si>
  <si>
    <t>Built-in refrigerator-freezer—automatic defrost with bottom-mounted freezer with through-the-door ice service</t>
  </si>
  <si>
    <t>Built-In Refrigerator-freezers—automatic defrost with side-mounted freezer with through-the-door ice service</t>
  </si>
  <si>
    <t>Upright freezers with automatic defrost without an automatic icemaker</t>
  </si>
  <si>
    <t>Upright freezers with automatic defrost with an automatic icemaker</t>
  </si>
  <si>
    <t>Built-In Upright freezers with automatic defrost without an automatic icemaker</t>
  </si>
  <si>
    <t>Built-in upright freezers with automatic defrost with an automatic icemaker</t>
  </si>
  <si>
    <t>Chest freezers with automatic defrost</t>
  </si>
  <si>
    <t>Compact refrigerator-freezers and refrigerators other than all-refrigerators with manual defrost</t>
  </si>
  <si>
    <t>Compact all-refrigerators—manual defrost</t>
  </si>
  <si>
    <t>Compact refrigerator-freezers—partial automatic defrost</t>
  </si>
  <si>
    <t>Compact refrigerator-freezers—automatic defrost with top-mounted freezer</t>
  </si>
  <si>
    <t>Compact refrigerator-freezers—automatic defrost with top-mounted freezer with an automatic icemaker</t>
  </si>
  <si>
    <t>Compact all-refrigerators—automatic defrost</t>
  </si>
  <si>
    <t>Compact refrigerator-freezers—automatic defrost with side-mounted freezer with an automatic icemaker</t>
  </si>
  <si>
    <t>Compact refrigerator-freezers—automatic defrost with bottom-mounted freezer with an automatic icemaker</t>
  </si>
  <si>
    <t>September 15, 2014 and after</t>
  </si>
  <si>
    <t>Manufactured between March 7th, 2015 and January 1st, 2018</t>
  </si>
  <si>
    <t xml:space="preserve">Source: </t>
  </si>
  <si>
    <t>In-Unit Measures during COVID-19</t>
  </si>
  <si>
    <t>The Lighting Field Guide Upgrading to LEDs for Multi-family Housing</t>
  </si>
  <si>
    <t>(2) The Lighting Field Guide Upgrading to LEDs for Multi-family Housing
https://www.lrc.rpi.edu/programs/solidstate/assist/pdf/multifamilyLEDGuide.pdf</t>
  </si>
  <si>
    <t>Lamp Type</t>
  </si>
  <si>
    <t>Power (watts)</t>
  </si>
  <si>
    <t>Incandescent A-lamp</t>
  </si>
  <si>
    <t>Incandescent globe lamp</t>
  </si>
  <si>
    <t>BR30 incandescent reflector lamp</t>
  </si>
  <si>
    <t>BR40 incandescent reflector lamp</t>
  </si>
  <si>
    <t>BR30 halogen IR reflector lamp</t>
  </si>
  <si>
    <t>PAR30 halogen reflector lamp</t>
  </si>
  <si>
    <t>PAR38 halogen reflector lamp</t>
  </si>
  <si>
    <t>4-foot T12 linear fluorescent lamp</t>
  </si>
  <si>
    <t>3-foot T12 linear fluorescent lamp</t>
  </si>
  <si>
    <t>2-foot T12 linear fluorescent lamp</t>
  </si>
  <si>
    <t>4-foot T8 linear fluorescent lamp</t>
  </si>
  <si>
    <t>3-foot T8 linear fluorescent lamp</t>
  </si>
  <si>
    <t>Covered CFL (globe-shape)</t>
  </si>
  <si>
    <t>Covered CFL (globe-shape, with candelabra-base)</t>
  </si>
  <si>
    <t>Covered CFL (capsule-shape)</t>
  </si>
  <si>
    <t>Covered FL (reflector-shape)</t>
  </si>
  <si>
    <t>CFL (GU24 Base)</t>
  </si>
  <si>
    <t>Screwbase LED (globe-shape)</t>
  </si>
  <si>
    <t>Screwbase LED reflector (PAR20 shape)</t>
  </si>
  <si>
    <t>Screwbase LED reflector (PAR30 shape, outdoor-rated)</t>
  </si>
  <si>
    <t>Screwbase LED reflector (PAR38 shape, outdoor-rated)</t>
  </si>
  <si>
    <t>Clothes Washer Capacity (ft3)</t>
  </si>
  <si>
    <t>gal/cycle</t>
  </si>
  <si>
    <t>kWh/cycle</t>
  </si>
  <si>
    <t>In-Unit Clothes Washers</t>
  </si>
  <si>
    <t>Existing gallons/cycle consumption per dishwasher</t>
  </si>
  <si>
    <t>21-inch T5 linear fluorescent lamp</t>
  </si>
  <si>
    <t>Screwbase CFL</t>
  </si>
  <si>
    <t>Covered CFL (A-lamp shape)</t>
  </si>
  <si>
    <t>Screwbase LED (A-lamp shape)</t>
  </si>
  <si>
    <t>Screwbase LED reflector (BR30 shape</t>
  </si>
  <si>
    <t>Dryers</t>
  </si>
  <si>
    <t>Energy Factor (lbs/kWh)</t>
  </si>
  <si>
    <t>Electric, Standard (4.4 ft 3 or greater capacity)</t>
  </si>
  <si>
    <t>Electric, Compact (240V) (less than 4.4 ft 3 capacity)</t>
  </si>
  <si>
    <t>Gas</t>
  </si>
  <si>
    <t>Electric, Compact (120V) (less than 4.4 ft 3 capacity)</t>
  </si>
  <si>
    <t>Vented Electric, Standard (4.4 ft 3 or greater capacity)</t>
  </si>
  <si>
    <t>Vented Electric, Compact (120V) (less than 4.4 ft 3 capacity)</t>
  </si>
  <si>
    <t>Vented Electric, Compact (240V) (less than 4.4 ft 3 capacity)</t>
  </si>
  <si>
    <t>Vented Gas</t>
  </si>
  <si>
    <t>Ventless Electric, Compact (240V) (less than 4.4 ft 3 capacity)</t>
  </si>
  <si>
    <t>Ventless Electric, Combination Washer-Dryer</t>
  </si>
  <si>
    <t>Manufactured on or before January 1, 2015</t>
  </si>
  <si>
    <t>Manufactured after January 1, 2015</t>
  </si>
  <si>
    <t>In-Unit Clothes Dryer</t>
  </si>
  <si>
    <t>Energy Factor (ft3/kWh/cycle)</t>
  </si>
  <si>
    <t>Water Factor (gal/cycle/ft3)</t>
  </si>
  <si>
    <t>Combined Energy Factor (lbs/kWh)</t>
  </si>
  <si>
    <t>In-Unit Lighting</t>
  </si>
  <si>
    <t>Cooling</t>
  </si>
  <si>
    <t>EER</t>
  </si>
  <si>
    <t>Without reverse cycle, with louvered sides, and less than 6,000 Btu/h</t>
  </si>
  <si>
    <t>Without reverse cycle, with louvered sides, and 6,000 to 7,999 Btu/h</t>
  </si>
  <si>
    <t>Without reverse cycle, with louvered sides, and 8,000 to 13,999 Btu/h</t>
  </si>
  <si>
    <t>Without reverse cycle, with louvered sides, and 14,000 to 19,999 Btu/h</t>
  </si>
  <si>
    <t>Without reverse cycle, with louvered sides, and 20,000 to 27,999 Btu/h</t>
  </si>
  <si>
    <t>Without reverse cycle, with louvered sides, and 28,000 Btu/h or more</t>
  </si>
  <si>
    <t>Without reverse cycle, without louvered sides, and less than 6,000 Btu/h</t>
  </si>
  <si>
    <t>Without reverse cycle, without louvered sides, and 6,000 to 7,999 Btu/h</t>
  </si>
  <si>
    <t>Without reverse cycle, without louvered sides, and 8,000 to 10,999 Btu/h</t>
  </si>
  <si>
    <t>Without reverse cycle, without louvered sides, and 11,000 to 13,999 Btu/h</t>
  </si>
  <si>
    <t>Without reverse cycle, without louvered sides, and 14,000 to 19,999 Btu/h</t>
  </si>
  <si>
    <t>Without reverse cycle, without louvered sides, and 20,000 Btu/h or more</t>
  </si>
  <si>
    <t>With reverse cycle, with louvered sides, and less than 20,000 Btu/h</t>
  </si>
  <si>
    <t>With reverse cycle, without louvered sides, and less than 14,000 Btu/h</t>
  </si>
  <si>
    <t>With reverse cycle, with louvered sides, and 20,000 Btu/h or more</t>
  </si>
  <si>
    <t>With reverse cycle, without louvered sides, and 14,000 Btu/h or more</t>
  </si>
  <si>
    <t>Casement-Only</t>
  </si>
  <si>
    <t>Casement-Slider</t>
  </si>
  <si>
    <t>Central Air Conditioners and Heat Pumps</t>
  </si>
  <si>
    <t>Heating Seasonal Performance Factor (HSPF)</t>
  </si>
  <si>
    <t>Split systems - air conditioners</t>
  </si>
  <si>
    <t>Split systems - heat pumps</t>
  </si>
  <si>
    <t>Single package units - air conditioners</t>
  </si>
  <si>
    <t>Single package units - heat pumps</t>
  </si>
  <si>
    <t>Small-duct, high-velocity systems</t>
  </si>
  <si>
    <t>Space-constrained products - air conditioners</t>
  </si>
  <si>
    <t>Space-constrained products - heat pumps</t>
  </si>
  <si>
    <t>Existing Unit Description</t>
  </si>
  <si>
    <t>Energy Efficiency Ratio (EER)</t>
  </si>
  <si>
    <t>Seasonal Energy Efficiency Ratio (SEER)</t>
  </si>
  <si>
    <t>Average off mode power consumption (watts)</t>
  </si>
  <si>
    <t>-</t>
  </si>
  <si>
    <t>Existing GPM or GPF</t>
  </si>
  <si>
    <t>Compact vs. Standard Definition</t>
  </si>
  <si>
    <t>Clothes Dryer Type</t>
  </si>
  <si>
    <t>Kitchen faucets/ replacement aerators</t>
  </si>
  <si>
    <t>Bathroom faucets/ replacement aerators</t>
  </si>
  <si>
    <t>Toilets</t>
  </si>
  <si>
    <r>
      <rPr>
        <b/>
        <sz val="11"/>
        <color indexed="8"/>
        <rFont val="Calibri"/>
        <family val="2"/>
      </rPr>
      <t>Instructions:</t>
    </r>
    <r>
      <rPr>
        <sz val="11"/>
        <color indexed="8"/>
        <rFont val="Calibri"/>
        <family val="2"/>
      </rPr>
      <t xml:space="preserve"> </t>
    </r>
    <r>
      <rPr>
        <sz val="11"/>
        <color theme="1"/>
        <rFont val="Calibri"/>
        <family val="2"/>
        <scheme val="minor"/>
      </rPr>
      <t>Please use the below existing flow rates per fixture based on fixture type for your calculations.</t>
    </r>
  </si>
  <si>
    <t>Typical Existing Fixture Type</t>
  </si>
  <si>
    <t>Typical Existing Fixture Watts</t>
  </si>
  <si>
    <t>On or after January 1, 2015</t>
  </si>
  <si>
    <t>Before May 31, 2014</t>
  </si>
  <si>
    <t>After May 31, 2014</t>
  </si>
  <si>
    <t>Capacity</t>
  </si>
  <si>
    <t>&lt; 6,000 Btu/h</t>
  </si>
  <si>
    <t>6,000 to 7,999 Btu/h</t>
  </si>
  <si>
    <t>14,000 to 19,999 Btu/h</t>
  </si>
  <si>
    <t>20,000 to 27,999 Btu/h</t>
  </si>
  <si>
    <t>28,000 Btu/h or more</t>
  </si>
  <si>
    <t>8,000 to 10,999 Btu/h</t>
  </si>
  <si>
    <t>11,000 to 13,999 Btu/h</t>
  </si>
  <si>
    <t>20,000 Btu/h or more</t>
  </si>
  <si>
    <t>14,000 Btu/h</t>
  </si>
  <si>
    <t>14,000 Btu/h or more</t>
  </si>
  <si>
    <t>Are there Louvered Sides?</t>
  </si>
  <si>
    <t>Yes</t>
  </si>
  <si>
    <t>No</t>
  </si>
  <si>
    <t>Is Reverse Cycle Present?</t>
  </si>
  <si>
    <t>NA - Casement Only</t>
  </si>
  <si>
    <t>NA - Casement Slider</t>
  </si>
  <si>
    <t>&lt; 20,000 Btu/h</t>
  </si>
  <si>
    <t>Lookup</t>
  </si>
  <si>
    <t>YesNo</t>
  </si>
  <si>
    <t>NoNo</t>
  </si>
  <si>
    <t>YesYes</t>
  </si>
  <si>
    <t>NoYes</t>
  </si>
  <si>
    <t>NANA</t>
  </si>
  <si>
    <t>Room Air Conditioners (RAC)</t>
  </si>
  <si>
    <r>
      <t xml:space="preserve">Are there Louvered Sides?
</t>
    </r>
    <r>
      <rPr>
        <i/>
        <sz val="11"/>
        <color theme="1"/>
        <rFont val="Calibri"/>
        <family val="2"/>
        <scheme val="minor"/>
      </rPr>
      <t xml:space="preserve">Please note:
-Room air conditioner units without louvered sides are also referred to as “through the wall” units. These units may also be referred to as “built-in” units.
-If Casement, select NA. "Casement only" refers to a RAC designed for mounting in a casement window with an encased assembly with a width of 14.8 inches or less and a height of 11.2 inches or less. </t>
    </r>
  </si>
  <si>
    <r>
      <t xml:space="preserve">Is Reverse Cycle Present?
</t>
    </r>
    <r>
      <rPr>
        <i/>
        <sz val="11"/>
        <color theme="1"/>
        <rFont val="Calibri"/>
        <family val="2"/>
        <scheme val="minor"/>
      </rPr>
      <t xml:space="preserve">Please note:
-Reverse Cycle: A RAC that employs a means for reversing the function of the indoor and outdoor coils such that the indoor coil becomes the refrigerating system condenser, allowing for heating of the air in the conditioned space; similarly, the outdoor coil becomes the evaporator, utilizing outdoor air as a source of heat.
-If Casement, select NA. "Casement only" refers to a RAC designed for mounting in a casement window with an encased assembly with a width of 14.8 inches or less and a height of 11.2 inches or less. </t>
    </r>
  </si>
  <si>
    <r>
      <t xml:space="preserve">Existing Unit Capacity
</t>
    </r>
    <r>
      <rPr>
        <i/>
        <sz val="11"/>
        <color theme="1"/>
        <rFont val="Calibri"/>
        <family val="2"/>
        <scheme val="minor"/>
      </rPr>
      <t>Please note:
-Casement-only: A RAC designed for mounting in a casement window with an encased assembly with a width of 14.8 inches or less and a height of 11.2 inches or less.
-Casement-slider: A RAC with an encased assembly designed for mounting in a sliding or casement window with a width of 15.5 inches or less.</t>
    </r>
  </si>
  <si>
    <r>
      <t xml:space="preserve">
Please note, this reference document is meant to complement the guidance in the</t>
    </r>
    <r>
      <rPr>
        <b/>
        <sz val="11"/>
        <color theme="1"/>
        <rFont val="Calibri"/>
        <family val="2"/>
        <scheme val="minor"/>
      </rPr>
      <t xml:space="preserve"> Simulation Guidelines</t>
    </r>
    <r>
      <rPr>
        <sz val="11"/>
        <color theme="1"/>
        <rFont val="Calibri"/>
        <family val="2"/>
        <scheme val="minor"/>
      </rPr>
      <t xml:space="preserve"> and quality control flags built into the SAV-IT. Please be aware that any flags seen in the SAV-IT supersede any assumptions provided in this reference document.</t>
    </r>
  </si>
  <si>
    <t>The Multifamily Performance Program (MPP) team understands that during the time of COVID-19 it may not be possible to enter a dwelling unit to investigate the existing conditions of certain components. Please use the below flow chart to determine how to gather existing conditions data for appliances, low-flow fixtures, lighting, and cooling  within dwelling units. 
The New York State Energy Research and Development Authority (NYSERDA) is providing guidance on our clean energy construction programs as it relates to the State’s response to COVID-19. We understand this situation is rapidly changing, and our teams are here to help you navigate our programs during this unprecedented time.  Please refer to NYSERDA’s Response to COVID-19 and Resources webpage (https://www.nyserda.ny.gov/ny/COVID-19-Response) for the latest COVID-19 guidance and updates, as well as the New York Forward Website (https://forward.ny.gov/) before entering any dwelling units or buildings.</t>
  </si>
  <si>
    <r>
      <rPr>
        <b/>
        <sz val="11"/>
        <color indexed="8"/>
        <rFont val="Calibri"/>
        <family val="2"/>
      </rPr>
      <t xml:space="preserve">Instructions: </t>
    </r>
    <r>
      <rPr>
        <sz val="11"/>
        <color indexed="8"/>
        <rFont val="Calibri"/>
        <family val="2"/>
      </rPr>
      <t xml:space="preserve">Please fill out the blue cells with item details. Assumed existing energy details will be auto-populated in the white cells. </t>
    </r>
    <r>
      <rPr>
        <sz val="11"/>
        <color theme="1"/>
        <rFont val="Calibri"/>
        <family val="2"/>
        <scheme val="minor"/>
      </rPr>
      <t>Please use these auto-populated assumed existing consumption per appliance, or per cycle for your calculations.</t>
    </r>
  </si>
  <si>
    <r>
      <rPr>
        <b/>
        <sz val="11"/>
        <color indexed="8"/>
        <rFont val="Calibri"/>
        <family val="2"/>
      </rPr>
      <t xml:space="preserve">Instructions: </t>
    </r>
    <r>
      <rPr>
        <sz val="11"/>
        <color indexed="8"/>
        <rFont val="Calibri"/>
        <family val="2"/>
      </rPr>
      <t>Please fill out the blue cells with item details. Assumed existing energy details will be auto-populated in the white cells. Please use these auto-populated assumed existing values</t>
    </r>
    <r>
      <rPr>
        <sz val="11"/>
        <color theme="1"/>
        <rFont val="Calibri"/>
        <family val="2"/>
        <scheme val="minor"/>
      </rPr>
      <t xml:space="preserve"> in your calculations.</t>
    </r>
  </si>
  <si>
    <t>Average total weight of clothes per cycle (lbs/cycle)
Helpful Note: ENERGY STAR's Product Finder assumes 8.45 lbs for standard dryers and 3 lbs for compact dryers.</t>
  </si>
  <si>
    <t>Technical Resource Manual (TRM): New York Standard Approach for Estimating Energy
Savings from Energy Efficiency Programs –
Residential, Multi-Family, and Commercial/Industrial Measures
Version 7
Electronic Code of Federal Regulations §430.32   Energy and water conservation standards and their compliance dates.
https://ecfr.io/Title-10/Section-430.32</t>
  </si>
  <si>
    <r>
      <rPr>
        <b/>
        <sz val="11"/>
        <color indexed="8"/>
        <rFont val="Calibri"/>
        <family val="2"/>
      </rPr>
      <t>Instructions:</t>
    </r>
    <r>
      <rPr>
        <sz val="11"/>
        <color indexed="8"/>
        <rFont val="Calibri"/>
        <family val="2"/>
      </rPr>
      <t xml:space="preserve">  </t>
    </r>
    <r>
      <rPr>
        <sz val="11"/>
        <color theme="1"/>
        <rFont val="Calibri"/>
        <family val="2"/>
        <scheme val="minor"/>
      </rPr>
      <t>Please use the below existing watts per fixture based on fixture type for your calculations. Please note, it is not typical to have more than 3% source energy reduction for an in-unit lighting retrofit measure compared to the whole building source consumption (1).</t>
    </r>
  </si>
  <si>
    <t>(1) Realizing Measurable Savings in Multifamily Buildings: Results from NYSERDA's Multifamily Performance Program (Table 1: Energy Conservation Measures)  https://www.aceee.org/files/proceedings/2014/data/papers/2-414.pdf
(2) The Lighting Field Guide Upgrading to LEDs for Multi-family Housing
https://www.lrc.rpi.edu/programs/solidstate/assist/pdf/multifamilyLEDGuide.pdf</t>
  </si>
  <si>
    <t>Technical Resource Manual (TRM): New York Standard Approach for Estimating Energy
Savings from Energy Efficiency Programs –
Residential, Multi-Family, and Commercial/Industrial Measures
Version 7
Electronic Code of Federal Regulations §430.32   Energy and water conservation standards and their compliance dates.
https://ecfr.io/Title-10/Section-430.32
ENERGY STAR® Program Requirements for Room Air Conditioners
https://www.energystar.gov/sites/default/files/specs/private/Room_Air_Conditioner_Program_Requirements_Version_3.pdf</t>
  </si>
  <si>
    <t>Technical Resource Manual (TRM): New York Standard Approach for Estimating Energy
Savings from Energy Efficiency Programs –
Residential, Multi-Family, and Commercial/Industrial Measures
Version 7
Electronic Code of Federal Regulations §430.32   Energy and water conservation standards and their compliance dates.
https://ecfr.io/Title-10/Section-430.32
ENERGY STAR Product Finder, Clothes Dryer Key Product Criteria
https://www.energystar.gov/products/appliances/clothes_dryers/key_product_criteria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</si>
</sst>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indexed="8"/>
      <name val="Calibri"/>
      <family val="2"/>
    </font>
    <font>
      <vertAlign val="superscript"/>
      <sz val="10"/>
      <color indexed="8"/>
      <name val="Arial"/>
      <family val="2"/>
    </font>
    <font>
      <sz val="8"/>
      <name val="Calibri"/>
      <family val="2"/>
    </font>
    <font>
      <b/>
      <sz val="11"/>
      <color theme="1"/>
      <name val="Calibri"/>
      <family val="2"/>
      <scheme val="minor"/>
    </font>
    <font>
      <sz val="10"/>
      <color theme="1"/>
      <name val="Calibri"/>
      <family val="2"/>
      <scheme val="minor"/>
    </font>
    <font>
      <b/>
      <sz val="10"/>
      <color theme="1"/>
      <name val="Calibri"/>
      <family val="2"/>
      <scheme val="minor"/>
    </font>
    <font>
      <sz val="10"/>
      <color rgb="FF000000"/>
      <name val="Arial"/>
      <family val="2"/>
    </font>
    <font>
      <b/>
      <sz val="10"/>
      <color rgb="FF000000"/>
      <name val="Arial"/>
      <family val="2"/>
    </font>
    <font>
      <b/>
      <sz val="16"/>
      <color theme="1"/>
      <name val="Calibri"/>
      <family val="2"/>
      <scheme val="minor"/>
    </font>
    <font>
      <b/>
      <sz val="26"/>
      <color theme="1"/>
      <name val="Calibri"/>
      <family val="2"/>
      <scheme val="minor"/>
    </font>
    <font>
      <sz val="26"/>
      <color theme="1"/>
      <name val="Calibri"/>
      <family val="2"/>
      <scheme val="minor"/>
    </font>
    <font>
      <b/>
      <sz val="20"/>
      <color theme="1"/>
      <name val="Calibri"/>
      <family val="2"/>
      <scheme val="minor"/>
    </font>
    <font>
      <b/>
      <sz val="14"/>
      <color theme="1"/>
      <name val="Calibri"/>
      <family val="2"/>
      <scheme val="minor"/>
    </font>
    <font>
      <sz val="11"/>
      <color rgb="FFFF0000"/>
      <name val="Calibri"/>
      <family val="2"/>
      <scheme val="minor"/>
    </font>
    <font>
      <sz val="10"/>
      <name val="Verdana"/>
      <family val="2"/>
    </font>
    <font>
      <sz val="10"/>
      <name val="Roboto"/>
    </font>
    <font>
      <sz val="10"/>
      <name val="Roboto"/>
    </font>
    <font>
      <sz val="11"/>
      <color indexed="8"/>
      <name val="Calibri"/>
      <family val="2"/>
    </font>
    <font>
      <i/>
      <sz val="11"/>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4" fillId="0" borderId="1" xfId="0" applyFont="1" applyBorder="1"/>
    <xf numFmtId="0" fontId="4" fillId="0" borderId="1" xfId="0" applyFont="1" applyBorder="1" applyAlignment="1">
      <alignment wrapText="1"/>
    </xf>
    <xf numFmtId="0" fontId="0" fillId="0" borderId="1" xfId="0" applyBorder="1" applyAlignment="1">
      <alignment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left" vertical="center" wrapText="1"/>
    </xf>
    <xf numFmtId="0" fontId="0" fillId="3" borderId="0" xfId="0" applyFill="1"/>
    <xf numFmtId="2" fontId="0" fillId="0" borderId="2" xfId="0" applyNumberFormat="1" applyBorder="1" applyAlignment="1">
      <alignment horizontal="center" vertical="center"/>
    </xf>
    <xf numFmtId="0" fontId="5" fillId="0" borderId="0" xfId="0" applyFont="1"/>
    <xf numFmtId="0" fontId="6" fillId="0" borderId="1" xfId="0" applyFont="1" applyBorder="1" applyAlignment="1">
      <alignment wrapText="1"/>
    </xf>
    <xf numFmtId="0" fontId="6" fillId="0" borderId="1" xfId="0" applyFont="1" applyBorder="1"/>
    <xf numFmtId="0" fontId="5" fillId="0" borderId="1" xfId="0" applyFont="1" applyBorder="1" applyAlignment="1">
      <alignment horizontal="left" vertical="center" wrapText="1"/>
    </xf>
    <xf numFmtId="0" fontId="7" fillId="0" borderId="0" xfId="0" applyFont="1"/>
    <xf numFmtId="0" fontId="8" fillId="4" borderId="1" xfId="0" applyFont="1" applyFill="1" applyBorder="1" applyAlignment="1">
      <alignment horizontal="center" wrapText="1"/>
    </xf>
    <xf numFmtId="0" fontId="5" fillId="0" borderId="1" xfId="0" applyFont="1" applyBorder="1" applyAlignment="1">
      <alignment wrapText="1"/>
    </xf>
    <xf numFmtId="0" fontId="5" fillId="0" borderId="1" xfId="0" applyFont="1" applyBorder="1"/>
    <xf numFmtId="0" fontId="5" fillId="0" borderId="3" xfId="0" applyFont="1" applyBorder="1" applyAlignment="1">
      <alignment wrapText="1"/>
    </xf>
    <xf numFmtId="0" fontId="7" fillId="4" borderId="1" xfId="0" applyFont="1" applyFill="1" applyBorder="1" applyAlignment="1">
      <alignment vertical="top" wrapText="1"/>
    </xf>
    <xf numFmtId="0" fontId="7" fillId="4" borderId="1" xfId="0" applyFont="1" applyFill="1" applyBorder="1" applyAlignment="1">
      <alignment horizontal="left" vertical="top" wrapText="1"/>
    </xf>
    <xf numFmtId="0" fontId="9" fillId="5" borderId="0" xfId="0" applyFont="1" applyFill="1"/>
    <xf numFmtId="0" fontId="8" fillId="4" borderId="1" xfId="0" applyFont="1" applyFill="1" applyBorder="1" applyAlignment="1">
      <alignment horizontal="center" wrapText="1"/>
    </xf>
    <xf numFmtId="0" fontId="6" fillId="0" borderId="0" xfId="0" applyFont="1"/>
    <xf numFmtId="0" fontId="10" fillId="5" borderId="0" xfId="0" applyFont="1" applyFill="1"/>
    <xf numFmtId="0" fontId="11" fillId="0" borderId="0" xfId="0" applyFont="1"/>
    <xf numFmtId="0" fontId="0" fillId="0" borderId="0" xfId="0" applyAlignment="1">
      <alignment vertical="center"/>
    </xf>
    <xf numFmtId="0" fontId="0" fillId="0" borderId="0" xfId="0" applyAlignment="1">
      <alignment vertical="center" wrapText="1"/>
    </xf>
    <xf numFmtId="0" fontId="12" fillId="0" borderId="0" xfId="0" applyFont="1" applyAlignment="1">
      <alignment horizontal="center" vertical="center"/>
    </xf>
    <xf numFmtId="0" fontId="6" fillId="0" borderId="0" xfId="0" applyFont="1" applyAlignment="1">
      <alignment vertical="center"/>
    </xf>
    <xf numFmtId="0" fontId="13" fillId="3" borderId="0" xfId="0" applyFont="1" applyFill="1"/>
    <xf numFmtId="0" fontId="13" fillId="5" borderId="1" xfId="0" applyFont="1" applyFill="1" applyBorder="1" applyAlignment="1">
      <alignment vertical="center"/>
    </xf>
    <xf numFmtId="164" fontId="0" fillId="0" borderId="2" xfId="0" applyNumberFormat="1" applyBorder="1" applyAlignment="1">
      <alignment horizontal="center" vertical="center"/>
    </xf>
    <xf numFmtId="0" fontId="14" fillId="0" borderId="0" xfId="0" applyFont="1"/>
    <xf numFmtId="0" fontId="0" fillId="0" borderId="0" xfId="0" applyAlignment="1">
      <alignment wrapText="1"/>
    </xf>
    <xf numFmtId="0" fontId="5" fillId="0" borderId="4" xfId="0" applyFont="1" applyBorder="1"/>
    <xf numFmtId="0" fontId="13" fillId="5" borderId="1" xfId="0" applyFont="1" applyFill="1" applyBorder="1" applyAlignment="1">
      <alignment horizontal="center" vertical="center"/>
    </xf>
    <xf numFmtId="0" fontId="15" fillId="3" borderId="1" xfId="0" applyFont="1" applyFill="1" applyBorder="1" applyAlignment="1">
      <alignment horizontal="left" vertical="center" wrapText="1"/>
    </xf>
    <xf numFmtId="0" fontId="15" fillId="3" borderId="1" xfId="0" applyFont="1" applyFill="1" applyBorder="1" applyAlignment="1">
      <alignment horizontal="left" vertical="center" wrapText="1" indent="1"/>
    </xf>
    <xf numFmtId="0" fontId="16" fillId="3" borderId="1" xfId="0" applyFont="1" applyFill="1" applyBorder="1" applyAlignment="1">
      <alignment horizontal="left" vertical="center" wrapText="1" indent="1"/>
    </xf>
    <xf numFmtId="0" fontId="17" fillId="3" borderId="1" xfId="0" applyFont="1" applyFill="1" applyBorder="1" applyAlignment="1">
      <alignment horizontal="left" vertical="center" wrapText="1" indent="1"/>
    </xf>
    <xf numFmtId="0" fontId="15"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Fill="1" applyBorder="1" applyAlignment="1">
      <alignment vertical="center" wrapText="1"/>
    </xf>
    <xf numFmtId="2" fontId="0" fillId="0" borderId="1" xfId="0" applyNumberFormat="1" applyBorder="1" applyAlignment="1">
      <alignment horizontal="center" vertical="center" wrapText="1"/>
    </xf>
    <xf numFmtId="2" fontId="0" fillId="0" borderId="0" xfId="0" applyNumberFormat="1" applyBorder="1" applyAlignment="1">
      <alignment horizontal="center" vertical="center" wrapText="1"/>
    </xf>
    <xf numFmtId="0" fontId="0" fillId="0" borderId="0" xfId="0" applyBorder="1" applyAlignment="1">
      <alignment vertical="center" wrapText="1"/>
    </xf>
    <xf numFmtId="0" fontId="4" fillId="6" borderId="1" xfId="0" applyFont="1" applyFill="1" applyBorder="1" applyAlignment="1">
      <alignment horizontal="center" vertical="center" wrapText="1"/>
    </xf>
    <xf numFmtId="164" fontId="0" fillId="0" borderId="0" xfId="0" applyNumberFormat="1" applyBorder="1" applyAlignment="1">
      <alignment horizontal="center" vertical="center"/>
    </xf>
    <xf numFmtId="0" fontId="15" fillId="3" borderId="0" xfId="0" applyFont="1" applyFill="1" applyBorder="1" applyAlignment="1">
      <alignment horizontal="left" vertical="center" wrapText="1" indent="1"/>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13" fillId="5" borderId="1" xfId="0" applyFont="1" applyFill="1" applyBorder="1" applyAlignment="1">
      <alignment horizontal="center" vertical="center" wrapText="1"/>
    </xf>
    <xf numFmtId="0" fontId="0" fillId="0" borderId="3" xfId="0" applyBorder="1" applyAlignment="1">
      <alignment horizontal="left" vertical="center" wrapText="1"/>
    </xf>
    <xf numFmtId="0" fontId="13" fillId="5" borderId="1" xfId="0" applyFont="1" applyFill="1" applyBorder="1" applyAlignment="1">
      <alignment horizontal="center" vertical="center"/>
    </xf>
    <xf numFmtId="0" fontId="8" fillId="4"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nyserda.ny.gov/All%20Programs/Programs/MPP%20Existing%20Buildings/Document%20Library" TargetMode="External"/><Relationship Id="rId2" Type="http://schemas.openxmlformats.org/officeDocument/2006/relationships/hyperlink" Target="https://forward.ny.gov/" TargetMode="External"/><Relationship Id="rId1" Type="http://schemas.openxmlformats.org/officeDocument/2006/relationships/hyperlink" Target="https://www.nyserda.ny.gov/ny/COVID-19-Response" TargetMode="External"/></Relationships>
</file>

<file path=xl/drawings/drawing1.xml><?xml version="1.0" encoding="utf-8"?>
<xdr:wsDr xmlns:xdr="http://schemas.openxmlformats.org/drawingml/2006/spreadsheetDrawing" xmlns:a="http://schemas.openxmlformats.org/drawingml/2006/main">
  <xdr:twoCellAnchor>
    <xdr:from>
      <xdr:col>1</xdr:col>
      <xdr:colOff>4606524</xdr:colOff>
      <xdr:row>9</xdr:row>
      <xdr:rowOff>95923</xdr:rowOff>
    </xdr:from>
    <xdr:to>
      <xdr:col>1</xdr:col>
      <xdr:colOff>6351504</xdr:colOff>
      <xdr:row>12</xdr:row>
      <xdr:rowOff>164502</xdr:rowOff>
    </xdr:to>
    <xdr:sp macro="" textlink="">
      <xdr:nvSpPr>
        <xdr:cNvPr id="7174" name="Text Box 2">
          <a:extLst>
            <a:ext uri="{FF2B5EF4-FFF2-40B4-BE49-F238E27FC236}">
              <a16:creationId xmlns:a16="http://schemas.microsoft.com/office/drawing/2014/main" id="{46087CE3-9D25-4FB5-B89B-DA253BD3F4D3}"/>
            </a:ext>
          </a:extLst>
        </xdr:cNvPr>
        <xdr:cNvSpPr txBox="1">
          <a:spLocks noChangeArrowheads="1"/>
        </xdr:cNvSpPr>
      </xdr:nvSpPr>
      <xdr:spPr bwMode="auto">
        <a:xfrm>
          <a:off x="5216124" y="2695190"/>
          <a:ext cx="1744980" cy="627379"/>
        </a:xfrm>
        <a:prstGeom prst="rect">
          <a:avLst/>
        </a:prstGeom>
        <a:solidFill>
          <a:srgbClr val="B4C6E7"/>
        </a:solidFill>
        <a:ln>
          <a:noFill/>
        </a:ln>
      </xdr:spPr>
      <xdr:txBody>
        <a:bodyPr vertOverflow="clip" wrap="square" lIns="91440" tIns="45720" rIns="91440" bIns="45720" anchor="t" upright="1"/>
        <a:lstStyle/>
        <a:p>
          <a:pPr algn="l" rtl="0">
            <a:defRPr sz="1000"/>
          </a:pPr>
          <a:r>
            <a:rPr lang="en-US" sz="1000" b="1" i="0" u="none" strike="noStrike" baseline="0">
              <a:solidFill>
                <a:srgbClr val="000000"/>
              </a:solidFill>
              <a:latin typeface="Calibri"/>
              <a:cs typeface="Calibri"/>
            </a:rPr>
            <a:t>Yes</a:t>
          </a:r>
          <a:endParaRPr lang="en-US" sz="1000" b="0" i="0" u="none" strike="noStrike" baseline="0">
            <a:solidFill>
              <a:srgbClr val="000000"/>
            </a:solidFill>
            <a:latin typeface="Calibri"/>
            <a:cs typeface="Calibri"/>
          </a:endParaRPr>
        </a:p>
        <a:p>
          <a:pPr algn="l" rtl="0">
            <a:defRPr sz="1000"/>
          </a:pPr>
          <a:r>
            <a:rPr lang="en-US" sz="1000" b="0" i="0" u="none" strike="noStrike" baseline="0">
              <a:solidFill>
                <a:srgbClr val="000000"/>
              </a:solidFill>
              <a:latin typeface="Calibri"/>
              <a:cs typeface="Calibri"/>
            </a:rPr>
            <a:t>Please continue with existing sampling procedures.</a:t>
          </a:r>
          <a:endParaRPr lang="en-US" sz="1100" b="0" i="0" u="none" strike="noStrike" baseline="0">
            <a:solidFill>
              <a:srgbClr val="000000"/>
            </a:solidFill>
            <a:latin typeface="Calibri"/>
            <a:cs typeface="Calibri"/>
          </a:endParaRPr>
        </a:p>
        <a:p>
          <a:pPr algn="l" rtl="0">
            <a:defRPr sz="1000"/>
          </a:pPr>
          <a:r>
            <a:rPr lang="en-US" sz="1000" b="0" i="0" u="none" strike="noStrike" baseline="0">
              <a:solidFill>
                <a:srgbClr val="000000"/>
              </a:solidFill>
              <a:latin typeface="Calibri"/>
              <a:cs typeface="Calibri"/>
            </a:rPr>
            <a:t> </a:t>
          </a:r>
        </a:p>
      </xdr:txBody>
    </xdr:sp>
    <xdr:clientData/>
  </xdr:twoCellAnchor>
  <xdr:twoCellAnchor>
    <xdr:from>
      <xdr:col>1</xdr:col>
      <xdr:colOff>1320497</xdr:colOff>
      <xdr:row>9</xdr:row>
      <xdr:rowOff>113852</xdr:rowOff>
    </xdr:from>
    <xdr:to>
      <xdr:col>1</xdr:col>
      <xdr:colOff>3271217</xdr:colOff>
      <xdr:row>13</xdr:row>
      <xdr:rowOff>3137</xdr:rowOff>
    </xdr:to>
    <xdr:sp macro="" textlink="">
      <xdr:nvSpPr>
        <xdr:cNvPr id="7173" name="Text Box 5">
          <a:extLst>
            <a:ext uri="{FF2B5EF4-FFF2-40B4-BE49-F238E27FC236}">
              <a16:creationId xmlns:a16="http://schemas.microsoft.com/office/drawing/2014/main" id="{EB7D8293-8BBE-46E9-AA7A-FA4081ADDDA3}"/>
            </a:ext>
          </a:extLst>
        </xdr:cNvPr>
        <xdr:cNvSpPr txBox="1">
          <a:spLocks noChangeArrowheads="1"/>
        </xdr:cNvSpPr>
      </xdr:nvSpPr>
      <xdr:spPr bwMode="auto">
        <a:xfrm>
          <a:off x="1930097" y="2632934"/>
          <a:ext cx="1950720" cy="606462"/>
        </a:xfrm>
        <a:prstGeom prst="rect">
          <a:avLst/>
        </a:prstGeom>
        <a:solidFill>
          <a:srgbClr val="B4C6E7"/>
        </a:solidFill>
        <a:ln>
          <a:noFill/>
        </a:ln>
      </xdr:spPr>
      <xdr:txBody>
        <a:bodyPr vertOverflow="clip" wrap="square" lIns="91440" tIns="45720" rIns="91440" bIns="45720" anchor="t" upright="1"/>
        <a:lstStyle/>
        <a:p>
          <a:pPr algn="l" rtl="0">
            <a:defRPr sz="1000"/>
          </a:pPr>
          <a:r>
            <a:rPr lang="en-US" sz="1000" b="1" i="0" u="none" strike="noStrike" baseline="0">
              <a:solidFill>
                <a:srgbClr val="000000"/>
              </a:solidFill>
              <a:latin typeface="Calibri"/>
              <a:cs typeface="Calibri"/>
            </a:rPr>
            <a:t>No</a:t>
          </a:r>
          <a:endParaRPr lang="en-US" sz="1000" b="0" i="0" u="none" strike="noStrike" baseline="0">
            <a:solidFill>
              <a:srgbClr val="000000"/>
            </a:solidFill>
            <a:latin typeface="Calibri"/>
            <a:cs typeface="Calibri"/>
          </a:endParaRPr>
        </a:p>
        <a:p>
          <a:pPr algn="l" rtl="0">
            <a:defRPr sz="1000"/>
          </a:pPr>
          <a:r>
            <a:rPr lang="en-US" sz="1000" b="0" i="0" u="none" strike="noStrike" baseline="0">
              <a:solidFill>
                <a:srgbClr val="000000"/>
              </a:solidFill>
              <a:latin typeface="Calibri"/>
              <a:cs typeface="Calibri"/>
            </a:rPr>
            <a:t>Are residents able to provide photos of required information?</a:t>
          </a:r>
          <a:endParaRPr lang="en-US" sz="1100" b="0" i="0" u="none" strike="noStrike" baseline="0">
            <a:solidFill>
              <a:srgbClr val="000000"/>
            </a:solidFill>
            <a:latin typeface="Calibri"/>
            <a:cs typeface="Calibri"/>
          </a:endParaRPr>
        </a:p>
        <a:p>
          <a:pPr algn="l" rtl="0">
            <a:defRPr sz="1000"/>
          </a:pPr>
          <a:r>
            <a:rPr lang="en-US" sz="1000" b="0" i="0" u="none" strike="noStrike" baseline="0">
              <a:solidFill>
                <a:srgbClr val="000000"/>
              </a:solidFill>
              <a:latin typeface="Calibri"/>
              <a:cs typeface="Calibri"/>
            </a:rPr>
            <a:t> </a:t>
          </a:r>
        </a:p>
      </xdr:txBody>
    </xdr:sp>
    <xdr:clientData/>
  </xdr:twoCellAnchor>
  <xdr:twoCellAnchor>
    <xdr:from>
      <xdr:col>1</xdr:col>
      <xdr:colOff>164061</xdr:colOff>
      <xdr:row>14</xdr:row>
      <xdr:rowOff>132230</xdr:rowOff>
    </xdr:from>
    <xdr:to>
      <xdr:col>1</xdr:col>
      <xdr:colOff>2541501</xdr:colOff>
      <xdr:row>18</xdr:row>
      <xdr:rowOff>60960</xdr:rowOff>
    </xdr:to>
    <xdr:sp macro="" textlink="">
      <xdr:nvSpPr>
        <xdr:cNvPr id="7172" name="Text Box 4">
          <a:extLst>
            <a:ext uri="{FF2B5EF4-FFF2-40B4-BE49-F238E27FC236}">
              <a16:creationId xmlns:a16="http://schemas.microsoft.com/office/drawing/2014/main" id="{A00112A7-77BD-4135-96EA-052ADDEA52FD}"/>
            </a:ext>
          </a:extLst>
        </xdr:cNvPr>
        <xdr:cNvSpPr txBox="1">
          <a:spLocks noChangeArrowheads="1"/>
        </xdr:cNvSpPr>
      </xdr:nvSpPr>
      <xdr:spPr bwMode="auto">
        <a:xfrm>
          <a:off x="773661" y="3584090"/>
          <a:ext cx="2377440" cy="660250"/>
        </a:xfrm>
        <a:prstGeom prst="rect">
          <a:avLst/>
        </a:prstGeom>
        <a:solidFill>
          <a:srgbClr val="B4C6E7"/>
        </a:solidFill>
        <a:ln>
          <a:noFill/>
        </a:ln>
      </xdr:spPr>
      <xdr:txBody>
        <a:bodyPr vertOverflow="clip" wrap="square" lIns="91440" tIns="45720" rIns="91440" bIns="45720" anchor="t" upright="1"/>
        <a:lstStyle/>
        <a:p>
          <a:pPr algn="l" rtl="0">
            <a:lnSpc>
              <a:spcPts val="1100"/>
            </a:lnSpc>
            <a:defRPr sz="1000"/>
          </a:pPr>
          <a:r>
            <a:rPr lang="en-US" sz="1000" b="1" i="0" u="none" strike="noStrike" baseline="0">
              <a:solidFill>
                <a:srgbClr val="000000"/>
              </a:solidFill>
              <a:latin typeface="Calibri"/>
              <a:cs typeface="Calibri"/>
            </a:rPr>
            <a:t>Yes</a:t>
          </a:r>
          <a:endParaRPr lang="en-US" sz="1000" b="0" i="0" u="none" strike="noStrike" baseline="0">
            <a:solidFill>
              <a:srgbClr val="000000"/>
            </a:solidFill>
            <a:latin typeface="Calibri"/>
            <a:cs typeface="Calibri"/>
          </a:endParaRPr>
        </a:p>
        <a:p>
          <a:pPr algn="l" rtl="0">
            <a:lnSpc>
              <a:spcPts val="1100"/>
            </a:lnSpc>
            <a:defRPr sz="1000"/>
          </a:pPr>
          <a:r>
            <a:rPr lang="en-US" sz="1000" b="0" i="0" u="none" strike="noStrike" baseline="0">
              <a:solidFill>
                <a:srgbClr val="000000"/>
              </a:solidFill>
              <a:latin typeface="Calibri"/>
              <a:cs typeface="Calibri"/>
            </a:rPr>
            <a:t>Please ask residents to provide these photos so you may determine existing conditions and usage.</a:t>
          </a:r>
        </a:p>
      </xdr:txBody>
    </xdr:sp>
    <xdr:clientData/>
  </xdr:twoCellAnchor>
  <xdr:twoCellAnchor>
    <xdr:from>
      <xdr:col>1</xdr:col>
      <xdr:colOff>2750376</xdr:colOff>
      <xdr:row>14</xdr:row>
      <xdr:rowOff>142094</xdr:rowOff>
    </xdr:from>
    <xdr:to>
      <xdr:col>1</xdr:col>
      <xdr:colOff>5127816</xdr:colOff>
      <xdr:row>20</xdr:row>
      <xdr:rowOff>967740</xdr:rowOff>
    </xdr:to>
    <xdr:sp macro="" textlink="">
      <xdr:nvSpPr>
        <xdr:cNvPr id="7169" name="Text Box 1">
          <a:extLst>
            <a:ext uri="{FF2B5EF4-FFF2-40B4-BE49-F238E27FC236}">
              <a16:creationId xmlns:a16="http://schemas.microsoft.com/office/drawing/2014/main" id="{AFFBBC4B-2FDE-491A-8E3A-02DE27E3F410}"/>
            </a:ext>
          </a:extLst>
        </xdr:cNvPr>
        <xdr:cNvSpPr txBox="1">
          <a:spLocks noChangeArrowheads="1"/>
        </xdr:cNvSpPr>
      </xdr:nvSpPr>
      <xdr:spPr bwMode="auto">
        <a:xfrm>
          <a:off x="3359976" y="3593954"/>
          <a:ext cx="2377440" cy="1922926"/>
        </a:xfrm>
        <a:prstGeom prst="rect">
          <a:avLst/>
        </a:prstGeom>
        <a:solidFill>
          <a:srgbClr val="B4C6E7"/>
        </a:solidFill>
        <a:ln>
          <a:noFill/>
        </a:ln>
      </xdr:spPr>
      <xdr:txBody>
        <a:bodyPr vertOverflow="clip" wrap="square" lIns="91440" tIns="45720" rIns="91440" bIns="45720" anchor="t" upright="1"/>
        <a:lstStyle/>
        <a:p>
          <a:pPr algn="l" rtl="0">
            <a:lnSpc>
              <a:spcPts val="1000"/>
            </a:lnSpc>
            <a:defRPr sz="1000"/>
          </a:pPr>
          <a:r>
            <a:rPr lang="en-US" sz="1000" b="1" i="0" u="none" strike="noStrike" baseline="0">
              <a:solidFill>
                <a:srgbClr val="000000"/>
              </a:solidFill>
              <a:latin typeface="Calibri"/>
              <a:cs typeface="Calibri"/>
            </a:rPr>
            <a:t>No</a:t>
          </a:r>
          <a:endParaRPr lang="en-US" sz="1000" b="0" i="0" u="none" strike="noStrike" baseline="0">
            <a:solidFill>
              <a:srgbClr val="000000"/>
            </a:solidFill>
            <a:latin typeface="Calibri"/>
            <a:cs typeface="Calibri"/>
          </a:endParaRPr>
        </a:p>
        <a:p>
          <a:pPr algn="l" rtl="0">
            <a:lnSpc>
              <a:spcPts val="1000"/>
            </a:lnSpc>
            <a:defRPr sz="1000"/>
          </a:pPr>
          <a:r>
            <a:rPr lang="en-US" sz="1000" b="0" i="0" u="none" strike="noStrike" baseline="0">
              <a:solidFill>
                <a:srgbClr val="000000"/>
              </a:solidFill>
              <a:latin typeface="Calibri"/>
              <a:cs typeface="Calibri"/>
            </a:rPr>
            <a:t>Please use the following "Appliance", "Low-Flow Fixtures", "Lighting" and "Cooling" tabs to determine the allowed existing in-unit assumptions. These assumptions are </a:t>
          </a:r>
          <a:r>
            <a:rPr lang="en-US" sz="1000" b="0" i="0" u="sng" strike="noStrike" baseline="0">
              <a:solidFill>
                <a:srgbClr val="000000"/>
              </a:solidFill>
              <a:latin typeface="Calibri"/>
              <a:cs typeface="Calibri"/>
            </a:rPr>
            <a:t>not required</a:t>
          </a:r>
          <a:r>
            <a:rPr lang="en-US" sz="1000" b="0" i="0" u="none" strike="noStrike" baseline="0">
              <a:solidFill>
                <a:srgbClr val="000000"/>
              </a:solidFill>
              <a:latin typeface="Calibri"/>
              <a:cs typeface="Calibri"/>
            </a:rPr>
            <a:t> to be updated once access to the unit is granted when renovation is underway.</a:t>
          </a:r>
        </a:p>
        <a:p>
          <a:pPr algn="l" rtl="0">
            <a:lnSpc>
              <a:spcPts val="900"/>
            </a:lnSpc>
            <a:defRPr sz="1000"/>
          </a:pPr>
          <a:endParaRPr lang="en-US" sz="1000" b="0" i="0" u="none" strike="noStrike" baseline="0">
            <a:solidFill>
              <a:srgbClr val="000000"/>
            </a:solidFill>
            <a:latin typeface="Calibri"/>
            <a:cs typeface="Calibri"/>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lang="en-US" sz="1000" b="0" i="0" baseline="0">
              <a:effectLst/>
              <a:latin typeface="+mn-lt"/>
              <a:ea typeface="+mn-ea"/>
              <a:cs typeface="+mn-cs"/>
            </a:rPr>
            <a:t>Please note any assumptions made using this reference document should be included in the Important Assumptions column of the Measure Descriptions tab of the SAV-IT.</a:t>
          </a:r>
          <a:endParaRPr lang="en-US" sz="1100">
            <a:effectLst/>
          </a:endParaRPr>
        </a:p>
        <a:p>
          <a:pPr algn="l" rtl="0">
            <a:lnSpc>
              <a:spcPts val="1000"/>
            </a:lnSpc>
            <a:defRPr sz="1000"/>
          </a:pPr>
          <a:endParaRPr lang="en-US" sz="1100" b="0" i="0" u="none" strike="noStrike" baseline="0">
            <a:solidFill>
              <a:srgbClr val="000000"/>
            </a:solidFill>
            <a:latin typeface="Calibri"/>
            <a:cs typeface="Calibri"/>
          </a:endParaRPr>
        </a:p>
        <a:p>
          <a:pPr algn="l" rtl="0">
            <a:lnSpc>
              <a:spcPts val="900"/>
            </a:lnSpc>
            <a:defRPr sz="1000"/>
          </a:pPr>
          <a:r>
            <a:rPr lang="en-US" sz="1000" b="0" i="0" u="none" strike="noStrike" baseline="0">
              <a:solidFill>
                <a:srgbClr val="000000"/>
              </a:solidFill>
              <a:latin typeface="Calibri"/>
              <a:cs typeface="Calibri"/>
            </a:rPr>
            <a:t> </a:t>
          </a:r>
        </a:p>
      </xdr:txBody>
    </xdr:sp>
    <xdr:clientData/>
  </xdr:twoCellAnchor>
  <xdr:twoCellAnchor>
    <xdr:from>
      <xdr:col>1</xdr:col>
      <xdr:colOff>2228627</xdr:colOff>
      <xdr:row>8</xdr:row>
      <xdr:rowOff>76200</xdr:rowOff>
    </xdr:from>
    <xdr:to>
      <xdr:col>1</xdr:col>
      <xdr:colOff>2355627</xdr:colOff>
      <xdr:row>9</xdr:row>
      <xdr:rowOff>43543</xdr:rowOff>
    </xdr:to>
    <xdr:sp macro="" textlink="">
      <xdr:nvSpPr>
        <xdr:cNvPr id="6" name="Arrow: Down 5">
          <a:extLst>
            <a:ext uri="{FF2B5EF4-FFF2-40B4-BE49-F238E27FC236}">
              <a16:creationId xmlns:a16="http://schemas.microsoft.com/office/drawing/2014/main" id="{2531B4AE-67B1-4CA1-9A9C-FF0FEB5FFBCA}"/>
            </a:ext>
          </a:extLst>
        </xdr:cNvPr>
        <xdr:cNvSpPr/>
      </xdr:nvSpPr>
      <xdr:spPr>
        <a:xfrm>
          <a:off x="2838227" y="2415988"/>
          <a:ext cx="127000" cy="14663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1</xdr:col>
      <xdr:colOff>4690335</xdr:colOff>
      <xdr:row>8</xdr:row>
      <xdr:rowOff>53340</xdr:rowOff>
    </xdr:from>
    <xdr:to>
      <xdr:col>1</xdr:col>
      <xdr:colOff>4817335</xdr:colOff>
      <xdr:row>9</xdr:row>
      <xdr:rowOff>20683</xdr:rowOff>
    </xdr:to>
    <xdr:sp macro="" textlink="">
      <xdr:nvSpPr>
        <xdr:cNvPr id="9" name="Arrow: Down 8">
          <a:extLst>
            <a:ext uri="{FF2B5EF4-FFF2-40B4-BE49-F238E27FC236}">
              <a16:creationId xmlns:a16="http://schemas.microsoft.com/office/drawing/2014/main" id="{CEF14B2A-987D-4D10-8099-98A9361430BD}"/>
            </a:ext>
          </a:extLst>
        </xdr:cNvPr>
        <xdr:cNvSpPr/>
      </xdr:nvSpPr>
      <xdr:spPr>
        <a:xfrm>
          <a:off x="5299935" y="2393128"/>
          <a:ext cx="127000" cy="14663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1</xdr:col>
      <xdr:colOff>2177144</xdr:colOff>
      <xdr:row>5</xdr:row>
      <xdr:rowOff>87085</xdr:rowOff>
    </xdr:from>
    <xdr:to>
      <xdr:col>1</xdr:col>
      <xdr:colOff>4877799</xdr:colOff>
      <xdr:row>7</xdr:row>
      <xdr:rowOff>174171</xdr:rowOff>
    </xdr:to>
    <xdr:sp macro="" textlink="">
      <xdr:nvSpPr>
        <xdr:cNvPr id="10" name="Text Box 2">
          <a:extLst>
            <a:ext uri="{FF2B5EF4-FFF2-40B4-BE49-F238E27FC236}">
              <a16:creationId xmlns:a16="http://schemas.microsoft.com/office/drawing/2014/main" id="{5F581B3A-D8C4-4AAC-9675-D7F613B90F0C}"/>
            </a:ext>
          </a:extLst>
        </xdr:cNvPr>
        <xdr:cNvSpPr txBox="1">
          <a:spLocks noChangeArrowheads="1"/>
        </xdr:cNvSpPr>
      </xdr:nvSpPr>
      <xdr:spPr bwMode="auto">
        <a:xfrm>
          <a:off x="2786744" y="1888991"/>
          <a:ext cx="2700655" cy="445674"/>
        </a:xfrm>
        <a:prstGeom prst="rect">
          <a:avLst/>
        </a:prstGeom>
        <a:solidFill>
          <a:schemeClr val="accent1">
            <a:lumMod val="40000"/>
            <a:lumOff val="6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Are you, or a member of the building staff, able to </a:t>
          </a:r>
          <a:r>
            <a:rPr lang="en-US" sz="1100">
              <a:effectLst/>
              <a:latin typeface="+mn-lt"/>
              <a:ea typeface="+mn-ea"/>
              <a:cs typeface="+mn-cs"/>
            </a:rPr>
            <a:t>safely</a:t>
          </a:r>
          <a:r>
            <a:rPr lang="en-US" sz="1000">
              <a:effectLst/>
              <a:latin typeface="Calibri" panose="020F0502020204030204" pitchFamily="34" charset="0"/>
              <a:ea typeface="Calibri" panose="020F0502020204030204" pitchFamily="34" charset="0"/>
              <a:cs typeface="Times New Roman" panose="02020603050405020304" pitchFamily="18" charset="0"/>
            </a:rPr>
            <a:t> enter any dwelling units?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1407460</xdr:colOff>
      <xdr:row>13</xdr:row>
      <xdr:rowOff>80679</xdr:rowOff>
    </xdr:from>
    <xdr:to>
      <xdr:col>1</xdr:col>
      <xdr:colOff>1534460</xdr:colOff>
      <xdr:row>14</xdr:row>
      <xdr:rowOff>48022</xdr:rowOff>
    </xdr:to>
    <xdr:sp macro="" textlink="">
      <xdr:nvSpPr>
        <xdr:cNvPr id="11" name="Arrow: Down 10">
          <a:extLst>
            <a:ext uri="{FF2B5EF4-FFF2-40B4-BE49-F238E27FC236}">
              <a16:creationId xmlns:a16="http://schemas.microsoft.com/office/drawing/2014/main" id="{40A0D4EE-28EE-4D80-B7F1-BFE740F7BE6D}"/>
            </a:ext>
          </a:extLst>
        </xdr:cNvPr>
        <xdr:cNvSpPr/>
      </xdr:nvSpPr>
      <xdr:spPr>
        <a:xfrm>
          <a:off x="2017060" y="3316938"/>
          <a:ext cx="127000" cy="14663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1</xdr:col>
      <xdr:colOff>3039045</xdr:colOff>
      <xdr:row>13</xdr:row>
      <xdr:rowOff>89644</xdr:rowOff>
    </xdr:from>
    <xdr:to>
      <xdr:col>1</xdr:col>
      <xdr:colOff>3166045</xdr:colOff>
      <xdr:row>14</xdr:row>
      <xdr:rowOff>56987</xdr:rowOff>
    </xdr:to>
    <xdr:sp macro="" textlink="">
      <xdr:nvSpPr>
        <xdr:cNvPr id="12" name="Arrow: Down 11">
          <a:extLst>
            <a:ext uri="{FF2B5EF4-FFF2-40B4-BE49-F238E27FC236}">
              <a16:creationId xmlns:a16="http://schemas.microsoft.com/office/drawing/2014/main" id="{1317CCDE-BF9E-467A-B0AA-24D112BBB6E8}"/>
            </a:ext>
          </a:extLst>
        </xdr:cNvPr>
        <xdr:cNvSpPr/>
      </xdr:nvSpPr>
      <xdr:spPr>
        <a:xfrm>
          <a:off x="3648645" y="3325903"/>
          <a:ext cx="127000" cy="14663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1</xdr:col>
      <xdr:colOff>1710271</xdr:colOff>
      <xdr:row>4</xdr:row>
      <xdr:rowOff>186268</xdr:rowOff>
    </xdr:from>
    <xdr:to>
      <xdr:col>1</xdr:col>
      <xdr:colOff>5748866</xdr:colOff>
      <xdr:row>4</xdr:row>
      <xdr:rowOff>457200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623348E-5423-43A7-8165-604C854D05A3}"/>
            </a:ext>
          </a:extLst>
        </xdr:cNvPr>
        <xdr:cNvSpPr/>
      </xdr:nvSpPr>
      <xdr:spPr>
        <a:xfrm>
          <a:off x="2319871" y="2387601"/>
          <a:ext cx="4038595" cy="27093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1" i="0">
              <a:solidFill>
                <a:sysClr val="windowText" lastClr="000000"/>
              </a:solidFill>
              <a:effectLst/>
              <a:latin typeface="+mn-lt"/>
              <a:ea typeface="+mn-ea"/>
              <a:cs typeface="+mn-cs"/>
            </a:rPr>
            <a:t>Click to see the latest NYSERDA Response to COVID-19 updates.</a:t>
          </a:r>
          <a:endParaRPr lang="en-US" sz="1100">
            <a:solidFill>
              <a:sysClr val="windowText" lastClr="000000"/>
            </a:solidFill>
          </a:endParaRPr>
        </a:p>
      </xdr:txBody>
    </xdr:sp>
    <xdr:clientData/>
  </xdr:twoCellAnchor>
  <xdr:twoCellAnchor>
    <xdr:from>
      <xdr:col>1</xdr:col>
      <xdr:colOff>1717040</xdr:colOff>
      <xdr:row>4</xdr:row>
      <xdr:rowOff>518160</xdr:rowOff>
    </xdr:from>
    <xdr:to>
      <xdr:col>1</xdr:col>
      <xdr:colOff>5760720</xdr:colOff>
      <xdr:row>4</xdr:row>
      <xdr:rowOff>802640</xdr:rowOff>
    </xdr:to>
    <xdr:sp macro="" textlink="">
      <xdr:nvSpPr>
        <xdr:cNvPr id="1025" name="Text Box 1">
          <a:hlinkClick xmlns:r="http://schemas.openxmlformats.org/officeDocument/2006/relationships" r:id="rId2"/>
          <a:extLst>
            <a:ext uri="{FF2B5EF4-FFF2-40B4-BE49-F238E27FC236}">
              <a16:creationId xmlns:a16="http://schemas.microsoft.com/office/drawing/2014/main" id="{5C29CC90-2D24-4420-AE55-7424BDE1156A}"/>
            </a:ext>
          </a:extLst>
        </xdr:cNvPr>
        <xdr:cNvSpPr txBox="1">
          <a:spLocks noChangeArrowheads="1"/>
        </xdr:cNvSpPr>
      </xdr:nvSpPr>
      <xdr:spPr bwMode="auto">
        <a:xfrm>
          <a:off x="2326640" y="3616960"/>
          <a:ext cx="4043680" cy="284480"/>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ctr" rtl="0">
            <a:defRPr sz="1000"/>
          </a:pPr>
          <a:r>
            <a:rPr lang="en-US" sz="1100" b="1" i="0" u="none" strike="noStrike" baseline="0">
              <a:solidFill>
                <a:srgbClr val="000000"/>
              </a:solidFill>
              <a:latin typeface="Calibri"/>
              <a:cs typeface="Calibri"/>
            </a:rPr>
            <a:t>Click to see the latest New York Forward COVID-19 Updates.</a:t>
          </a:r>
        </a:p>
      </xdr:txBody>
    </xdr:sp>
    <xdr:clientData/>
  </xdr:twoCellAnchor>
  <xdr:twoCellAnchor>
    <xdr:from>
      <xdr:col>1</xdr:col>
      <xdr:colOff>1608671</xdr:colOff>
      <xdr:row>22</xdr:row>
      <xdr:rowOff>20320</xdr:rowOff>
    </xdr:from>
    <xdr:to>
      <xdr:col>1</xdr:col>
      <xdr:colOff>5647266</xdr:colOff>
      <xdr:row>24</xdr:row>
      <xdr:rowOff>152400</xdr:rowOff>
    </xdr:to>
    <xdr:sp macro="" textlink="">
      <xdr:nvSpPr>
        <xdr:cNvPr id="13" name="Rectangle 12">
          <a:hlinkClick xmlns:r="http://schemas.openxmlformats.org/officeDocument/2006/relationships" r:id="rId3"/>
          <a:extLst>
            <a:ext uri="{FF2B5EF4-FFF2-40B4-BE49-F238E27FC236}">
              <a16:creationId xmlns:a16="http://schemas.microsoft.com/office/drawing/2014/main" id="{35353A4F-6ACB-4A83-BADA-1F91168F38BE}"/>
            </a:ext>
          </a:extLst>
        </xdr:cNvPr>
        <xdr:cNvSpPr/>
      </xdr:nvSpPr>
      <xdr:spPr>
        <a:xfrm>
          <a:off x="2218271" y="8890000"/>
          <a:ext cx="4038595" cy="49784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1" i="0">
              <a:solidFill>
                <a:sysClr val="windowText" lastClr="000000"/>
              </a:solidFill>
              <a:effectLst/>
              <a:latin typeface="+mn-lt"/>
              <a:ea typeface="+mn-ea"/>
              <a:cs typeface="+mn-cs"/>
            </a:rPr>
            <a:t>Click for</a:t>
          </a:r>
          <a:r>
            <a:rPr lang="en-US" sz="1100" b="1" i="0" baseline="0">
              <a:solidFill>
                <a:sysClr val="windowText" lastClr="000000"/>
              </a:solidFill>
              <a:effectLst/>
              <a:latin typeface="+mn-lt"/>
              <a:ea typeface="+mn-ea"/>
              <a:cs typeface="+mn-cs"/>
            </a:rPr>
            <a:t> access to the Provider Portal, where the Simulation Guidelines can be downloaded.</a:t>
          </a:r>
          <a:endParaRPr lang="en-US"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sheetPr>
  <dimension ref="B2:D21"/>
  <sheetViews>
    <sheetView showGridLines="0" topLeftCell="A19" zoomScale="90" zoomScaleNormal="90" workbookViewId="0">
      <selection activeCell="C5" sqref="C5"/>
    </sheetView>
  </sheetViews>
  <sheetFormatPr defaultRowHeight="15" x14ac:dyDescent="0.25"/>
  <cols>
    <col min="2" max="2" width="104" customWidth="1"/>
  </cols>
  <sheetData>
    <row r="2" spans="2:4" ht="26.25" x14ac:dyDescent="0.25">
      <c r="B2" s="28" t="s">
        <v>160</v>
      </c>
    </row>
    <row r="3" spans="2:4" x14ac:dyDescent="0.25">
      <c r="D3" s="33"/>
    </row>
    <row r="4" spans="2:4" ht="189.6" customHeight="1" x14ac:dyDescent="0.25">
      <c r="B4" s="27" t="s">
        <v>290</v>
      </c>
      <c r="D4" s="33"/>
    </row>
    <row r="5" spans="2:4" ht="73.150000000000006" customHeight="1" x14ac:dyDescent="0.25">
      <c r="B5" s="27"/>
      <c r="D5" s="33"/>
    </row>
    <row r="6" spans="2:4" x14ac:dyDescent="0.25">
      <c r="D6" s="33"/>
    </row>
    <row r="7" spans="2:4" x14ac:dyDescent="0.25">
      <c r="B7" s="26"/>
    </row>
    <row r="8" spans="2:4" x14ac:dyDescent="0.25">
      <c r="B8" s="26"/>
      <c r="D8" s="33"/>
    </row>
    <row r="9" spans="2:4" x14ac:dyDescent="0.25">
      <c r="B9" s="26"/>
    </row>
    <row r="10" spans="2:4" x14ac:dyDescent="0.25">
      <c r="B10" s="26"/>
    </row>
    <row r="11" spans="2:4" x14ac:dyDescent="0.25">
      <c r="B11" s="29"/>
    </row>
    <row r="12" spans="2:4" x14ac:dyDescent="0.25">
      <c r="B12" s="29"/>
    </row>
    <row r="14" spans="2:4" x14ac:dyDescent="0.25">
      <c r="B14" s="26"/>
    </row>
    <row r="15" spans="2:4" x14ac:dyDescent="0.25">
      <c r="B15" s="29"/>
    </row>
    <row r="16" spans="2:4" x14ac:dyDescent="0.25">
      <c r="B16" s="26"/>
    </row>
    <row r="17" spans="2:2" x14ac:dyDescent="0.25">
      <c r="B17" s="29"/>
    </row>
    <row r="19" spans="2:2" x14ac:dyDescent="0.25">
      <c r="B19" s="26"/>
    </row>
    <row r="20" spans="2:2" x14ac:dyDescent="0.25">
      <c r="B20" s="26"/>
    </row>
    <row r="21" spans="2:2" ht="150" customHeight="1" x14ac:dyDescent="0.25">
      <c r="B21" s="34" t="s">
        <v>289</v>
      </c>
    </row>
  </sheetData>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249977111117893"/>
  </sheetPr>
  <dimension ref="A1:D27"/>
  <sheetViews>
    <sheetView showGridLines="0" tabSelected="1" zoomScaleNormal="100" workbookViewId="0">
      <selection activeCell="B27" sqref="B27:C27"/>
    </sheetView>
  </sheetViews>
  <sheetFormatPr defaultRowHeight="15" x14ac:dyDescent="0.25"/>
  <cols>
    <col min="1" max="1" width="22.140625" customWidth="1"/>
    <col min="2" max="2" width="28.5703125" customWidth="1"/>
    <col min="3" max="3" width="77.140625" customWidth="1"/>
    <col min="4" max="4" width="44.42578125" customWidth="1"/>
    <col min="5" max="7" width="8.85546875" customWidth="1"/>
    <col min="8" max="8" width="26.42578125" customWidth="1"/>
    <col min="9" max="9" width="20.28515625" customWidth="1"/>
    <col min="10" max="10" width="21.42578125" customWidth="1"/>
  </cols>
  <sheetData>
    <row r="1" spans="1:4" ht="35.450000000000003" customHeight="1" x14ac:dyDescent="0.25">
      <c r="A1" s="58" t="s">
        <v>291</v>
      </c>
      <c r="B1" s="58"/>
      <c r="C1" s="58"/>
    </row>
    <row r="2" spans="1:4" s="8" customFormat="1" ht="18.75" x14ac:dyDescent="0.3">
      <c r="B2" s="30"/>
    </row>
    <row r="3" spans="1:4" ht="14.45" customHeight="1" x14ac:dyDescent="0.25">
      <c r="A3" s="50" t="s">
        <v>0</v>
      </c>
      <c r="B3" s="3" t="s">
        <v>56</v>
      </c>
      <c r="C3" s="4"/>
    </row>
    <row r="4" spans="1:4" ht="52.15" customHeight="1" x14ac:dyDescent="0.25">
      <c r="A4" s="51"/>
      <c r="B4" s="3" t="s">
        <v>27</v>
      </c>
      <c r="C4" s="4"/>
    </row>
    <row r="5" spans="1:4" ht="57" customHeight="1" x14ac:dyDescent="0.25">
      <c r="A5" s="51"/>
      <c r="B5" s="3" t="s">
        <v>84</v>
      </c>
      <c r="C5" s="5"/>
    </row>
    <row r="6" spans="1:4" ht="39.6" customHeight="1" x14ac:dyDescent="0.25">
      <c r="A6" s="52"/>
      <c r="B6" s="3" t="s">
        <v>71</v>
      </c>
      <c r="C6" s="9" t="str">
        <f>IFERROR(IF(C5="","-",ROUNDUP(VLOOKUP(C3&amp;C4,Lookups!A10:D73,4,FALSE),0)),"-")</f>
        <v>-</v>
      </c>
    </row>
    <row r="7" spans="1:4" x14ac:dyDescent="0.25">
      <c r="A7" s="26"/>
      <c r="B7" s="26"/>
      <c r="C7" s="26"/>
    </row>
    <row r="8" spans="1:4" ht="52.15" customHeight="1" x14ac:dyDescent="0.25">
      <c r="A8" s="50" t="s">
        <v>1</v>
      </c>
      <c r="B8" s="3" t="s">
        <v>48</v>
      </c>
      <c r="C8" s="4"/>
    </row>
    <row r="9" spans="1:4" ht="52.15" customHeight="1" x14ac:dyDescent="0.25">
      <c r="A9" s="51"/>
      <c r="B9" s="3" t="s">
        <v>250</v>
      </c>
      <c r="C9" s="44" t="str">
        <f>IF(C8="","-",IF(C8="Compact","Capacity less than eight place settings plus six serving pieces.","Capacity equal to or greater than eight place settings plus six serving pieces."))</f>
        <v>-</v>
      </c>
      <c r="D9" s="45"/>
    </row>
    <row r="10" spans="1:4" ht="57" customHeight="1" x14ac:dyDescent="0.25">
      <c r="A10" s="51"/>
      <c r="B10" s="3" t="s">
        <v>72</v>
      </c>
      <c r="C10" s="9" t="str">
        <f>IFERROR(VLOOKUP(Appliances!C8,Lookups!G9:I10,2,FALSE),"-")</f>
        <v>-</v>
      </c>
    </row>
    <row r="11" spans="1:4" ht="63.6" customHeight="1" x14ac:dyDescent="0.25">
      <c r="A11" s="52"/>
      <c r="B11" s="3" t="s">
        <v>190</v>
      </c>
      <c r="C11" s="6" t="str">
        <f>IFERROR(VLOOKUP(Appliances!C8,Lookups!G9:I10,3,FALSE),"-")</f>
        <v>-</v>
      </c>
    </row>
    <row r="12" spans="1:4" x14ac:dyDescent="0.25">
      <c r="A12" s="26"/>
      <c r="B12" s="26"/>
      <c r="C12" s="26"/>
    </row>
    <row r="13" spans="1:4" ht="52.15" customHeight="1" x14ac:dyDescent="0.25">
      <c r="A13" s="53" t="s">
        <v>189</v>
      </c>
      <c r="B13" s="3" t="s">
        <v>56</v>
      </c>
      <c r="C13" s="4"/>
    </row>
    <row r="14" spans="1:4" ht="34.9" customHeight="1" x14ac:dyDescent="0.25">
      <c r="A14" s="54"/>
      <c r="B14" s="3" t="s">
        <v>55</v>
      </c>
      <c r="C14" s="4"/>
    </row>
    <row r="15" spans="1:4" ht="34.9" customHeight="1" x14ac:dyDescent="0.25">
      <c r="A15" s="54"/>
      <c r="B15" s="3" t="s">
        <v>186</v>
      </c>
      <c r="C15" s="5"/>
    </row>
    <row r="16" spans="1:4" ht="34.9" customHeight="1" x14ac:dyDescent="0.25">
      <c r="A16" s="54"/>
      <c r="B16" s="3" t="s">
        <v>211</v>
      </c>
      <c r="C16" s="32" t="str">
        <f>IFERROR(IF(C15="","-",VLOOKUP(C13&amp;C14,Lookups!N9:Q17,3,FALSE)),"-")</f>
        <v>-</v>
      </c>
    </row>
    <row r="17" spans="1:3" ht="39.6" customHeight="1" x14ac:dyDescent="0.25">
      <c r="A17" s="54"/>
      <c r="B17" s="3" t="s">
        <v>188</v>
      </c>
      <c r="C17" s="32" t="str">
        <f>IFERROR(IF(C15="","-",C15/C16),"-")</f>
        <v>-</v>
      </c>
    </row>
    <row r="18" spans="1:3" ht="39.6" customHeight="1" x14ac:dyDescent="0.25">
      <c r="A18" s="54"/>
      <c r="B18" s="3" t="s">
        <v>212</v>
      </c>
      <c r="C18" s="32" t="str">
        <f>IFERROR(IF(C15="","-",VLOOKUP(C13&amp;C14,Lookups!N9:Q17,4,FALSE)),"-")</f>
        <v>-</v>
      </c>
    </row>
    <row r="19" spans="1:3" x14ac:dyDescent="0.25">
      <c r="A19" s="55"/>
      <c r="B19" s="3" t="s">
        <v>187</v>
      </c>
      <c r="C19" s="6" t="str">
        <f>IFERROR(IF(C15="","-",C15*C18),"Not Available")</f>
        <v>-</v>
      </c>
    </row>
    <row r="20" spans="1:3" x14ac:dyDescent="0.25">
      <c r="A20" s="26"/>
      <c r="B20" s="26"/>
      <c r="C20" s="26"/>
    </row>
    <row r="21" spans="1:3" ht="52.15" customHeight="1" x14ac:dyDescent="0.25">
      <c r="A21" s="59" t="s">
        <v>210</v>
      </c>
      <c r="B21" s="3" t="s">
        <v>56</v>
      </c>
      <c r="C21" s="4"/>
    </row>
    <row r="22" spans="1:3" ht="34.9" customHeight="1" x14ac:dyDescent="0.25">
      <c r="A22" s="59"/>
      <c r="B22" s="3" t="s">
        <v>251</v>
      </c>
      <c r="C22" s="4"/>
    </row>
    <row r="23" spans="1:3" ht="129" customHeight="1" x14ac:dyDescent="0.25">
      <c r="A23" s="59"/>
      <c r="B23" s="3" t="s">
        <v>293</v>
      </c>
      <c r="C23" s="5"/>
    </row>
    <row r="24" spans="1:3" ht="34.9" customHeight="1" x14ac:dyDescent="0.25">
      <c r="A24" s="59"/>
      <c r="B24" s="3" t="s">
        <v>213</v>
      </c>
      <c r="C24" s="32" t="str">
        <f>IFERROR(IF(C23="","-",VLOOKUP(C21&amp;C22,Lookups!AH11:AJ23,3,FALSE)),"-")</f>
        <v>-</v>
      </c>
    </row>
    <row r="25" spans="1:3" ht="39.6" customHeight="1" x14ac:dyDescent="0.25">
      <c r="A25" s="59"/>
      <c r="B25" s="3" t="s">
        <v>188</v>
      </c>
      <c r="C25" s="32" t="str">
        <f>IFERROR(IF(C23="","-",C23/C24),"-")</f>
        <v>-</v>
      </c>
    </row>
    <row r="26" spans="1:3" ht="189.6" customHeight="1" x14ac:dyDescent="0.25">
      <c r="A26" s="26"/>
      <c r="B26" s="26"/>
      <c r="C26" s="26"/>
    </row>
    <row r="27" spans="1:3" ht="213.75" customHeight="1" x14ac:dyDescent="0.25">
      <c r="A27" s="36" t="s">
        <v>26</v>
      </c>
      <c r="B27" s="56" t="s">
        <v>298</v>
      </c>
      <c r="C27" s="57"/>
    </row>
  </sheetData>
  <mergeCells count="6">
    <mergeCell ref="A3:A6"/>
    <mergeCell ref="A8:A11"/>
    <mergeCell ref="A13:A19"/>
    <mergeCell ref="B27:C27"/>
    <mergeCell ref="A1:C1"/>
    <mergeCell ref="A21:A2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AFB8C256-9A07-4DE4-9FEF-2B89ED14D2B3}">
          <x14:formula1>
            <xm:f>Lookups!$A$7:$A$8</xm:f>
          </x14:formula1>
          <xm:sqref>C3</xm:sqref>
        </x14:dataValidation>
        <x14:dataValidation type="list" allowBlank="1" showInputMessage="1" showErrorMessage="1" xr:uid="{A08DCBC9-A66F-4C54-9447-8F7F63F3FFB7}">
          <x14:formula1>
            <xm:f>IF($C$3=Lookups!$A$7,Lookups!$B$10:$B$27,Lookups!$B$32:$B$73)</xm:f>
          </x14:formula1>
          <xm:sqref>C4</xm:sqref>
        </x14:dataValidation>
        <x14:dataValidation type="list" allowBlank="1" showInputMessage="1" showErrorMessage="1" xr:uid="{4E831C5A-0907-4228-8237-1FA3985E5690}">
          <x14:formula1>
            <xm:f>Lookups!$G$9:$G$10</xm:f>
          </x14:formula1>
          <xm:sqref>C8</xm:sqref>
        </x14:dataValidation>
        <x14:dataValidation type="list" allowBlank="1" showInputMessage="1" showErrorMessage="1" xr:uid="{761C8EAA-1F10-41C4-9B9F-94E941C8D500}">
          <x14:formula1>
            <xm:f>Lookups!$M$8:$M$9</xm:f>
          </x14:formula1>
          <xm:sqref>C13</xm:sqref>
        </x14:dataValidation>
        <x14:dataValidation type="list" allowBlank="1" showInputMessage="1" showErrorMessage="1" xr:uid="{3AFFCD0C-A914-4729-8896-82162B0A3717}">
          <x14:formula1>
            <xm:f>IF(C21=Lookups!$AG$7,Lookups!$AI$11:$AI$14,Lookups!$AI$18:$AI$23)</xm:f>
          </x14:formula1>
          <xm:sqref>C22</xm:sqref>
        </x14:dataValidation>
        <x14:dataValidation type="list" allowBlank="1" showInputMessage="1" showErrorMessage="1" xr:uid="{4B450A7B-847A-4B31-B119-720333563DD5}">
          <x14:formula1>
            <xm:f>Lookups!$AG$7:$AG$8</xm:f>
          </x14:formula1>
          <xm:sqref>C21</xm:sqref>
        </x14:dataValidation>
        <x14:dataValidation type="list" allowBlank="1" showInputMessage="1" showErrorMessage="1" xr:uid="{2803F795-BFAF-4793-B359-CC5B3A57A1A4}">
          <x14:formula1>
            <xm:f>IF(C13=Lookups!$O$8,Lookups!$O$9:$O$11,Lookups!$O$14:$O$17)</xm:f>
          </x14:formula1>
          <xm:sqref>C14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249977111117893"/>
  </sheetPr>
  <dimension ref="A1:C8"/>
  <sheetViews>
    <sheetView showGridLines="0" topLeftCell="A7" zoomScaleNormal="100" workbookViewId="0">
      <selection activeCell="B7" sqref="B7"/>
    </sheetView>
  </sheetViews>
  <sheetFormatPr defaultRowHeight="15" x14ac:dyDescent="0.25"/>
  <cols>
    <col min="1" max="1" width="29.85546875" customWidth="1"/>
    <col min="2" max="2" width="44.28515625" customWidth="1"/>
    <col min="3" max="3" width="56.7109375" customWidth="1"/>
    <col min="4" max="4" width="44.42578125" customWidth="1"/>
    <col min="8" max="8" width="26.42578125" customWidth="1"/>
    <col min="9" max="9" width="20.28515625" customWidth="1"/>
    <col min="10" max="10" width="21.42578125" customWidth="1"/>
  </cols>
  <sheetData>
    <row r="1" spans="1:3" ht="35.450000000000003" customHeight="1" x14ac:dyDescent="0.25">
      <c r="A1" s="58" t="s">
        <v>255</v>
      </c>
      <c r="B1" s="58"/>
      <c r="C1" s="58"/>
    </row>
    <row r="2" spans="1:3" ht="14.45" customHeight="1" x14ac:dyDescent="0.25"/>
    <row r="3" spans="1:3" ht="18" customHeight="1" x14ac:dyDescent="0.25">
      <c r="A3" s="61" t="s">
        <v>66</v>
      </c>
      <c r="B3" s="47" t="s">
        <v>74</v>
      </c>
      <c r="C3" s="47" t="s">
        <v>249</v>
      </c>
    </row>
    <row r="4" spans="1:3" ht="26.45" customHeight="1" x14ac:dyDescent="0.25">
      <c r="A4" s="61"/>
      <c r="B4" s="9" t="s">
        <v>253</v>
      </c>
      <c r="C4" s="9" t="s">
        <v>80</v>
      </c>
    </row>
    <row r="5" spans="1:3" ht="26.45" customHeight="1" x14ac:dyDescent="0.25">
      <c r="A5" s="61"/>
      <c r="B5" s="9" t="s">
        <v>252</v>
      </c>
      <c r="C5" s="9" t="s">
        <v>80</v>
      </c>
    </row>
    <row r="6" spans="1:3" ht="26.45" customHeight="1" x14ac:dyDescent="0.25">
      <c r="A6" s="61"/>
      <c r="B6" s="9" t="s">
        <v>81</v>
      </c>
      <c r="C6" s="9" t="s">
        <v>82</v>
      </c>
    </row>
    <row r="7" spans="1:3" ht="189.6" customHeight="1" x14ac:dyDescent="0.25">
      <c r="A7" s="26"/>
      <c r="B7" s="26"/>
      <c r="C7" s="26"/>
    </row>
    <row r="8" spans="1:3" ht="175.15" customHeight="1" x14ac:dyDescent="0.25">
      <c r="A8" s="36" t="s">
        <v>26</v>
      </c>
      <c r="B8" s="60" t="s">
        <v>294</v>
      </c>
      <c r="C8" s="57"/>
    </row>
  </sheetData>
  <mergeCells count="3">
    <mergeCell ref="B8:C8"/>
    <mergeCell ref="A1:C1"/>
    <mergeCell ref="A3:A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249977111117893"/>
  </sheetPr>
  <dimension ref="A1:E32"/>
  <sheetViews>
    <sheetView showGridLines="0" topLeftCell="A28" zoomScale="90" zoomScaleNormal="90" workbookViewId="0">
      <selection activeCell="B30" sqref="B30"/>
    </sheetView>
  </sheetViews>
  <sheetFormatPr defaultRowHeight="15" x14ac:dyDescent="0.25"/>
  <cols>
    <col min="1" max="1" width="39.140625" customWidth="1"/>
    <col min="2" max="2" width="60.5703125" customWidth="1"/>
    <col min="3" max="3" width="30.7109375" customWidth="1"/>
    <col min="5" max="5" width="24.7109375" customWidth="1"/>
  </cols>
  <sheetData>
    <row r="1" spans="1:3" ht="48.6" customHeight="1" x14ac:dyDescent="0.25">
      <c r="A1" s="58" t="s">
        <v>295</v>
      </c>
      <c r="B1" s="58"/>
      <c r="C1" s="58"/>
    </row>
    <row r="3" spans="1:3" ht="40.15" customHeight="1" x14ac:dyDescent="0.25">
      <c r="A3" s="61" t="s">
        <v>214</v>
      </c>
      <c r="B3" s="47" t="s">
        <v>256</v>
      </c>
      <c r="C3" s="47" t="s">
        <v>257</v>
      </c>
    </row>
    <row r="4" spans="1:3" ht="28.15" customHeight="1" x14ac:dyDescent="0.25">
      <c r="A4" s="61"/>
      <c r="B4" s="42" t="s">
        <v>165</v>
      </c>
      <c r="C4" s="42">
        <v>60</v>
      </c>
    </row>
    <row r="5" spans="1:3" ht="28.15" customHeight="1" x14ac:dyDescent="0.25">
      <c r="A5" s="61"/>
      <c r="B5" s="42" t="s">
        <v>166</v>
      </c>
      <c r="C5" s="42">
        <v>40</v>
      </c>
    </row>
    <row r="6" spans="1:3" ht="28.15" customHeight="1" x14ac:dyDescent="0.25">
      <c r="A6" s="61"/>
      <c r="B6" s="42" t="s">
        <v>167</v>
      </c>
      <c r="C6" s="42">
        <v>65</v>
      </c>
    </row>
    <row r="7" spans="1:3" ht="28.15" customHeight="1" x14ac:dyDescent="0.25">
      <c r="A7" s="61"/>
      <c r="B7" s="42" t="s">
        <v>168</v>
      </c>
      <c r="C7" s="42">
        <v>65</v>
      </c>
    </row>
    <row r="8" spans="1:3" ht="28.15" customHeight="1" x14ac:dyDescent="0.25">
      <c r="A8" s="61"/>
      <c r="B8" s="42" t="s">
        <v>169</v>
      </c>
      <c r="C8" s="42">
        <v>45</v>
      </c>
    </row>
    <row r="9" spans="1:3" ht="28.15" customHeight="1" x14ac:dyDescent="0.25">
      <c r="A9" s="61"/>
      <c r="B9" s="42" t="s">
        <v>170</v>
      </c>
      <c r="C9" s="42">
        <v>50</v>
      </c>
    </row>
    <row r="10" spans="1:3" ht="28.15" customHeight="1" x14ac:dyDescent="0.25">
      <c r="A10" s="61"/>
      <c r="B10" s="42" t="s">
        <v>171</v>
      </c>
      <c r="C10" s="42">
        <v>90</v>
      </c>
    </row>
    <row r="11" spans="1:3" ht="28.15" customHeight="1" x14ac:dyDescent="0.25">
      <c r="A11" s="61"/>
      <c r="B11" s="42" t="s">
        <v>172</v>
      </c>
      <c r="C11" s="42">
        <v>40</v>
      </c>
    </row>
    <row r="12" spans="1:3" ht="28.15" customHeight="1" x14ac:dyDescent="0.25">
      <c r="A12" s="61"/>
      <c r="B12" s="42" t="s">
        <v>173</v>
      </c>
      <c r="C12" s="42">
        <v>30</v>
      </c>
    </row>
    <row r="13" spans="1:3" ht="28.15" customHeight="1" x14ac:dyDescent="0.25">
      <c r="A13" s="61"/>
      <c r="B13" s="42" t="s">
        <v>174</v>
      </c>
      <c r="C13" s="42">
        <v>20</v>
      </c>
    </row>
    <row r="14" spans="1:3" ht="28.15" customHeight="1" x14ac:dyDescent="0.25">
      <c r="A14" s="61"/>
      <c r="B14" s="42" t="s">
        <v>175</v>
      </c>
      <c r="C14" s="42">
        <v>32</v>
      </c>
    </row>
    <row r="15" spans="1:3" ht="28.15" customHeight="1" x14ac:dyDescent="0.25">
      <c r="A15" s="61"/>
      <c r="B15" s="42" t="s">
        <v>176</v>
      </c>
      <c r="C15" s="42">
        <v>26</v>
      </c>
    </row>
    <row r="16" spans="1:3" ht="28.15" customHeight="1" x14ac:dyDescent="0.25">
      <c r="A16" s="61"/>
      <c r="B16" s="42" t="s">
        <v>191</v>
      </c>
      <c r="C16" s="42">
        <v>13</v>
      </c>
    </row>
    <row r="17" spans="1:5" ht="28.15" customHeight="1" x14ac:dyDescent="0.25">
      <c r="A17" s="61"/>
      <c r="B17" s="42" t="s">
        <v>192</v>
      </c>
      <c r="C17" s="42">
        <v>14</v>
      </c>
    </row>
    <row r="18" spans="1:5" ht="28.15" customHeight="1" x14ac:dyDescent="0.25">
      <c r="A18" s="61"/>
      <c r="B18" s="42" t="s">
        <v>193</v>
      </c>
      <c r="C18" s="42">
        <v>15</v>
      </c>
    </row>
    <row r="19" spans="1:5" ht="28.15" customHeight="1" x14ac:dyDescent="0.25">
      <c r="A19" s="61"/>
      <c r="B19" s="42" t="s">
        <v>177</v>
      </c>
      <c r="C19" s="42">
        <v>9</v>
      </c>
    </row>
    <row r="20" spans="1:5" ht="28.15" customHeight="1" x14ac:dyDescent="0.25">
      <c r="A20" s="61"/>
      <c r="B20" s="42" t="s">
        <v>178</v>
      </c>
      <c r="C20" s="42">
        <v>9</v>
      </c>
    </row>
    <row r="21" spans="1:5" ht="28.15" customHeight="1" x14ac:dyDescent="0.25">
      <c r="A21" s="61"/>
      <c r="B21" s="42" t="s">
        <v>179</v>
      </c>
      <c r="C21" s="42">
        <v>14</v>
      </c>
    </row>
    <row r="22" spans="1:5" ht="28.15" customHeight="1" x14ac:dyDescent="0.25">
      <c r="A22" s="61"/>
      <c r="B22" s="42" t="s">
        <v>180</v>
      </c>
      <c r="C22" s="42">
        <v>15</v>
      </c>
    </row>
    <row r="23" spans="1:5" ht="28.15" customHeight="1" x14ac:dyDescent="0.25">
      <c r="A23" s="61"/>
      <c r="B23" s="42" t="s">
        <v>181</v>
      </c>
      <c r="C23" s="42">
        <v>9</v>
      </c>
    </row>
    <row r="24" spans="1:5" ht="28.15" customHeight="1" x14ac:dyDescent="0.25">
      <c r="A24" s="61"/>
      <c r="B24" s="42" t="s">
        <v>194</v>
      </c>
      <c r="C24" s="42">
        <v>12</v>
      </c>
    </row>
    <row r="25" spans="1:5" ht="28.15" customHeight="1" x14ac:dyDescent="0.25">
      <c r="A25" s="61"/>
      <c r="B25" s="42" t="s">
        <v>182</v>
      </c>
      <c r="C25" s="42">
        <v>8</v>
      </c>
    </row>
    <row r="26" spans="1:5" ht="28.15" customHeight="1" x14ac:dyDescent="0.25">
      <c r="A26" s="61"/>
      <c r="B26" s="42" t="s">
        <v>183</v>
      </c>
      <c r="C26" s="42">
        <v>9</v>
      </c>
    </row>
    <row r="27" spans="1:5" ht="28.15" customHeight="1" x14ac:dyDescent="0.25">
      <c r="A27" s="61"/>
      <c r="B27" s="42" t="s">
        <v>195</v>
      </c>
      <c r="C27" s="42">
        <v>13</v>
      </c>
    </row>
    <row r="28" spans="1:5" ht="28.15" customHeight="1" x14ac:dyDescent="0.25">
      <c r="A28" s="61"/>
      <c r="B28" s="42" t="s">
        <v>184</v>
      </c>
      <c r="C28" s="42">
        <v>15</v>
      </c>
    </row>
    <row r="29" spans="1:5" ht="28.15" customHeight="1" x14ac:dyDescent="0.25">
      <c r="A29" s="61"/>
      <c r="B29" s="42" t="s">
        <v>185</v>
      </c>
      <c r="C29" s="42">
        <v>24</v>
      </c>
    </row>
    <row r="30" spans="1:5" ht="189.6" customHeight="1" x14ac:dyDescent="0.25">
      <c r="A30" s="26"/>
      <c r="B30" s="26"/>
      <c r="C30" s="26"/>
      <c r="D30" s="33"/>
      <c r="E30" s="33"/>
    </row>
    <row r="31" spans="1:5" ht="152.25" customHeight="1" x14ac:dyDescent="0.25">
      <c r="A31" s="31" t="s">
        <v>159</v>
      </c>
      <c r="B31" s="43" t="s">
        <v>296</v>
      </c>
      <c r="C31" s="26"/>
      <c r="D31" s="33"/>
    </row>
    <row r="32" spans="1:5" x14ac:dyDescent="0.25">
      <c r="D32" s="33"/>
    </row>
  </sheetData>
  <mergeCells count="2">
    <mergeCell ref="A1:C1"/>
    <mergeCell ref="A3:A2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74986-0F72-4E7D-AA77-439EBFB2529F}">
  <sheetPr codeName="Sheet6">
    <tabColor theme="9" tint="-0.249977111117893"/>
  </sheetPr>
  <dimension ref="A1:E16"/>
  <sheetViews>
    <sheetView showGridLines="0" topLeftCell="A12" zoomScale="90" zoomScaleNormal="90" workbookViewId="0">
      <selection activeCell="B15" sqref="B15:C15"/>
    </sheetView>
  </sheetViews>
  <sheetFormatPr defaultRowHeight="15" x14ac:dyDescent="0.25"/>
  <cols>
    <col min="1" max="1" width="39.140625" customWidth="1"/>
    <col min="2" max="2" width="71.42578125" customWidth="1"/>
    <col min="3" max="3" width="74.7109375" customWidth="1"/>
    <col min="5" max="5" width="24.7109375" customWidth="1"/>
    <col min="6" max="6" width="8.85546875" customWidth="1"/>
  </cols>
  <sheetData>
    <row r="1" spans="1:5" ht="35.450000000000003" customHeight="1" x14ac:dyDescent="0.25">
      <c r="A1" s="58" t="s">
        <v>292</v>
      </c>
      <c r="B1" s="58"/>
      <c r="C1" s="58"/>
    </row>
    <row r="3" spans="1:5" ht="52.15" customHeight="1" x14ac:dyDescent="0.25">
      <c r="A3" s="53" t="s">
        <v>285</v>
      </c>
      <c r="B3" s="3" t="s">
        <v>56</v>
      </c>
      <c r="C3" s="4"/>
    </row>
    <row r="4" spans="1:5" ht="148.15" customHeight="1" x14ac:dyDescent="0.25">
      <c r="A4" s="54"/>
      <c r="B4" s="3" t="s">
        <v>286</v>
      </c>
      <c r="C4" s="4"/>
    </row>
    <row r="5" spans="1:5" ht="178.9" customHeight="1" x14ac:dyDescent="0.25">
      <c r="A5" s="54"/>
      <c r="B5" s="3" t="s">
        <v>287</v>
      </c>
      <c r="C5" s="4"/>
    </row>
    <row r="6" spans="1:5" ht="34.9" hidden="1" customHeight="1" x14ac:dyDescent="0.25">
      <c r="A6" s="54"/>
      <c r="B6" s="3" t="s">
        <v>279</v>
      </c>
      <c r="C6" s="32" t="str">
        <f>C4&amp;C5</f>
        <v/>
      </c>
    </row>
    <row r="7" spans="1:5" ht="138" customHeight="1" x14ac:dyDescent="0.25">
      <c r="A7" s="54"/>
      <c r="B7" s="3" t="s">
        <v>288</v>
      </c>
      <c r="C7" s="4"/>
    </row>
    <row r="8" spans="1:5" ht="34.9" customHeight="1" x14ac:dyDescent="0.25">
      <c r="A8" s="55"/>
      <c r="B8" s="3" t="s">
        <v>245</v>
      </c>
      <c r="C8" s="32" t="str">
        <f>IFERROR(IF(C3=Lookups!AW8,VLOOKUP(C3&amp;C4&amp;C5&amp;C7,Lookups!AV10:AW29,2,FALSE),IF(C3=Lookups!AY8,VLOOKUP(C3&amp;C4&amp;C5&amp;C7,Lookups!AX10:AY29,2,FALSE),"-")),"-")</f>
        <v>-</v>
      </c>
    </row>
    <row r="9" spans="1:5" ht="39.6" customHeight="1" x14ac:dyDescent="0.25">
      <c r="A9" s="46"/>
      <c r="B9" s="46"/>
      <c r="C9" s="48"/>
    </row>
    <row r="10" spans="1:5" ht="46.9" customHeight="1" x14ac:dyDescent="0.25">
      <c r="A10" s="59" t="s">
        <v>235</v>
      </c>
      <c r="B10" s="3" t="s">
        <v>244</v>
      </c>
      <c r="C10" s="4"/>
    </row>
    <row r="11" spans="1:5" ht="46.9" customHeight="1" x14ac:dyDescent="0.25">
      <c r="A11" s="59"/>
      <c r="B11" s="3" t="s">
        <v>246</v>
      </c>
      <c r="C11" s="32" t="str">
        <f>IFERROR(VLOOKUP(C10,Lookups!AQ31:AT38,2,FALSE),"-")</f>
        <v>-</v>
      </c>
    </row>
    <row r="12" spans="1:5" ht="46.9" customHeight="1" x14ac:dyDescent="0.25">
      <c r="A12" s="59"/>
      <c r="B12" s="3" t="s">
        <v>236</v>
      </c>
      <c r="C12" s="32" t="str">
        <f>IFERROR(VLOOKUP(C10,Lookups!AQ31:AT38,3,FALSE),"-")</f>
        <v>-</v>
      </c>
    </row>
    <row r="13" spans="1:5" ht="46.9" customHeight="1" x14ac:dyDescent="0.25">
      <c r="A13" s="59"/>
      <c r="B13" s="3" t="s">
        <v>247</v>
      </c>
      <c r="C13" s="32" t="str">
        <f>IFERROR(VLOOKUP(C10,Lookups!AQ31:AT38,4,FALSE),"-")</f>
        <v>-</v>
      </c>
    </row>
    <row r="14" spans="1:5" ht="189.6" customHeight="1" x14ac:dyDescent="0.25">
      <c r="A14" s="26"/>
      <c r="B14" s="26"/>
      <c r="C14" s="26"/>
      <c r="D14" s="33"/>
      <c r="E14" s="33"/>
    </row>
    <row r="15" spans="1:5" ht="166.15" customHeight="1" x14ac:dyDescent="0.25">
      <c r="A15" s="36" t="s">
        <v>26</v>
      </c>
      <c r="B15" s="60" t="s">
        <v>297</v>
      </c>
      <c r="C15" s="57"/>
      <c r="D15" s="33"/>
    </row>
    <row r="16" spans="1:5" x14ac:dyDescent="0.25">
      <c r="D16" s="33"/>
    </row>
  </sheetData>
  <mergeCells count="4">
    <mergeCell ref="A1:C1"/>
    <mergeCell ref="B15:C15"/>
    <mergeCell ref="A10:A13"/>
    <mergeCell ref="A3:A8"/>
  </mergeCells>
  <dataValidations count="1">
    <dataValidation type="list" allowBlank="1" showInputMessage="1" showErrorMessage="1" sqref="C4:C5" xr:uid="{2FAD1F3F-B83F-4D26-A4EE-DCBDAB91BF99}">
      <formula1>"Yes,No,NA"</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9C8042B5-6146-4072-AF34-24FD05B0C702}">
          <x14:formula1>
            <xm:f>Lookups!$AO$9:$AO$10</xm:f>
          </x14:formula1>
          <xm:sqref>C3</xm:sqref>
        </x14:dataValidation>
        <x14:dataValidation type="list" allowBlank="1" showInputMessage="1" showErrorMessage="1" xr:uid="{4DA7B98E-2F36-4961-B9EF-C695F3C1DAE0}">
          <x14:formula1>
            <xm:f>IF($C$6=Lookups!$AZ$9,Lookups!$AZ$10:$AZ$16,IF($C$6=Lookups!$BA$9,Lookups!$BA$10:$BA$16,IF($C$6=Lookups!$BB$9,Lookups!$BB$10:$BB$11,IF($C$6=Lookups!$BC$9,Lookups!$BC$10:$BC$11,Lookups!$BD$10:$BD$11))))</xm:f>
          </x14:formula1>
          <xm:sqref>C7</xm:sqref>
        </x14:dataValidation>
        <x14:dataValidation type="list" allowBlank="1" showInputMessage="1" showErrorMessage="1" xr:uid="{DEE32D68-571E-4FB0-8597-5FAA1FB5BE72}">
          <x14:formula1>
            <xm:f>Lookups!$AQ$32:$AQ$38</xm:f>
          </x14:formula1>
          <xm:sqref>C10</xm:sqref>
        </x14:dataValidation>
        <x14:dataValidation type="list" allowBlank="1" showInputMessage="1" showErrorMessage="1" xr:uid="{F1898E82-45FB-4F44-A006-7212C45C4BA4}">
          <x14:formula1>
            <xm:f>Lookups!$AZ$9:$AZ$23</xm:f>
          </x14:formula1>
          <xm:sqref>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tint="0.59999389629810485"/>
  </sheetPr>
  <dimension ref="A1:BD73"/>
  <sheetViews>
    <sheetView topLeftCell="O12" zoomScale="55" zoomScaleNormal="55" workbookViewId="0">
      <selection activeCell="AQ8" sqref="AQ8"/>
    </sheetView>
  </sheetViews>
  <sheetFormatPr defaultColWidth="8.85546875" defaultRowHeight="33.75" x14ac:dyDescent="0.5"/>
  <cols>
    <col min="1" max="1" width="42.7109375" style="25" customWidth="1"/>
    <col min="2" max="2" width="48.28515625" style="10" customWidth="1"/>
    <col min="3" max="3" width="19.28515625" style="10" customWidth="1"/>
    <col min="4" max="4" width="50.5703125" style="10" customWidth="1"/>
    <col min="5" max="6" width="8.85546875" style="10"/>
    <col min="7" max="7" width="16.85546875" style="10" customWidth="1"/>
    <col min="8" max="9" width="42" style="10" customWidth="1"/>
    <col min="10" max="10" width="20" style="10" customWidth="1"/>
    <col min="11" max="12" width="8.85546875" style="10"/>
    <col min="13" max="13" width="28.7109375" style="10" customWidth="1"/>
    <col min="14" max="15" width="50.28515625" style="10" customWidth="1"/>
    <col min="16" max="16" width="21" style="10" customWidth="1"/>
    <col min="17" max="17" width="16.28515625" style="10" customWidth="1"/>
    <col min="18" max="21" width="8.85546875" style="10"/>
    <col min="22" max="22" width="27.7109375" style="10" customWidth="1"/>
    <col min="23" max="24" width="52.140625" style="10" customWidth="1"/>
    <col min="25" max="29" width="8.85546875" style="10"/>
    <col min="30" max="30" width="64" style="10" customWidth="1"/>
    <col min="31" max="32" width="27.140625" style="10" customWidth="1"/>
    <col min="33" max="34" width="8.85546875" style="10"/>
    <col min="35" max="35" width="12.7109375" style="10" customWidth="1"/>
    <col min="36" max="36" width="28.85546875" style="10" customWidth="1"/>
    <col min="37" max="37" width="26.7109375" style="10" customWidth="1"/>
    <col min="38" max="41" width="8.85546875" style="10"/>
    <col min="42" max="43" width="22.85546875" style="10" customWidth="1"/>
    <col min="44" max="44" width="50.5703125" style="10" customWidth="1"/>
    <col min="45" max="45" width="24.7109375" style="10" customWidth="1"/>
    <col min="46" max="47" width="25.42578125" style="10" customWidth="1"/>
    <col min="48" max="51" width="8.85546875" style="10"/>
    <col min="52" max="57" width="24.140625" style="10" customWidth="1"/>
    <col min="58" max="16384" width="8.85546875" style="10"/>
  </cols>
  <sheetData>
    <row r="1" spans="1:56" s="21" customFormat="1" x14ac:dyDescent="0.5">
      <c r="A1" s="24" t="s">
        <v>69</v>
      </c>
      <c r="B1" s="21" t="s">
        <v>0</v>
      </c>
      <c r="G1" s="21" t="s">
        <v>47</v>
      </c>
      <c r="M1" s="21" t="s">
        <v>57</v>
      </c>
      <c r="V1" s="21" t="s">
        <v>68</v>
      </c>
      <c r="AD1" s="21" t="s">
        <v>67</v>
      </c>
      <c r="AI1" s="21" t="s">
        <v>196</v>
      </c>
      <c r="AP1" s="21" t="s">
        <v>215</v>
      </c>
    </row>
    <row r="3" spans="1:56" x14ac:dyDescent="0.5">
      <c r="C3" s="11" t="s">
        <v>2</v>
      </c>
      <c r="D3" s="11" t="s">
        <v>26</v>
      </c>
      <c r="H3" s="11" t="s">
        <v>2</v>
      </c>
      <c r="I3" s="11" t="s">
        <v>26</v>
      </c>
      <c r="M3"/>
      <c r="N3" s="2" t="s">
        <v>2</v>
      </c>
      <c r="O3" s="2" t="s">
        <v>26</v>
      </c>
      <c r="V3"/>
      <c r="W3" s="2" t="s">
        <v>2</v>
      </c>
      <c r="X3" s="2" t="s">
        <v>26</v>
      </c>
      <c r="AD3"/>
      <c r="AE3" s="2" t="s">
        <v>2</v>
      </c>
      <c r="AF3" s="2" t="s">
        <v>26</v>
      </c>
      <c r="AI3"/>
      <c r="AJ3" s="2" t="s">
        <v>2</v>
      </c>
      <c r="AK3" s="2" t="s">
        <v>26</v>
      </c>
      <c r="AP3"/>
      <c r="AQ3" s="2" t="s">
        <v>2</v>
      </c>
      <c r="AR3" s="2" t="s">
        <v>26</v>
      </c>
    </row>
    <row r="4" spans="1:56" ht="315" x14ac:dyDescent="0.5">
      <c r="B4" s="12" t="s">
        <v>4</v>
      </c>
      <c r="C4" s="13" t="s">
        <v>76</v>
      </c>
      <c r="D4" s="13" t="s">
        <v>25</v>
      </c>
      <c r="G4" s="12" t="s">
        <v>4</v>
      </c>
      <c r="H4" s="13" t="s">
        <v>51</v>
      </c>
      <c r="I4" s="13" t="s">
        <v>52</v>
      </c>
      <c r="M4" s="1" t="s">
        <v>4</v>
      </c>
      <c r="N4" s="7" t="s">
        <v>73</v>
      </c>
      <c r="O4" s="7" t="s">
        <v>52</v>
      </c>
      <c r="V4" s="1" t="s">
        <v>4</v>
      </c>
      <c r="W4" s="13" t="s">
        <v>76</v>
      </c>
      <c r="X4" s="7" t="s">
        <v>75</v>
      </c>
      <c r="AD4" s="1" t="s">
        <v>161</v>
      </c>
      <c r="AE4" s="13" t="s">
        <v>76</v>
      </c>
      <c r="AF4" s="7" t="s">
        <v>162</v>
      </c>
      <c r="AI4" s="1" t="s">
        <v>4</v>
      </c>
      <c r="AJ4" s="13" t="s">
        <v>76</v>
      </c>
      <c r="AK4" s="7" t="s">
        <v>75</v>
      </c>
      <c r="AP4" s="1" t="s">
        <v>4</v>
      </c>
      <c r="AQ4" s="13" t="s">
        <v>76</v>
      </c>
      <c r="AR4" s="7" t="s">
        <v>75</v>
      </c>
    </row>
    <row r="6" spans="1:56" s="21" customFormat="1" x14ac:dyDescent="0.5">
      <c r="A6" s="24" t="s">
        <v>4</v>
      </c>
      <c r="B6" s="21" t="s">
        <v>0</v>
      </c>
      <c r="G6" s="21" t="s">
        <v>47</v>
      </c>
      <c r="M6" s="21" t="s">
        <v>57</v>
      </c>
      <c r="V6" s="21" t="s">
        <v>68</v>
      </c>
      <c r="AI6" s="21" t="s">
        <v>196</v>
      </c>
      <c r="AP6" s="21" t="s">
        <v>215</v>
      </c>
    </row>
    <row r="7" spans="1:56" x14ac:dyDescent="0.5">
      <c r="A7" s="25" t="s">
        <v>85</v>
      </c>
      <c r="C7" s="14" t="s">
        <v>70</v>
      </c>
      <c r="AG7" s="17" t="s">
        <v>208</v>
      </c>
      <c r="AO7" s="41">
        <f>AQ9</f>
        <v>0</v>
      </c>
    </row>
    <row r="8" spans="1:56" ht="89.25" x14ac:dyDescent="0.5">
      <c r="A8" s="25" t="s">
        <v>157</v>
      </c>
      <c r="B8" s="62" t="s">
        <v>5</v>
      </c>
      <c r="C8" s="15" t="s">
        <v>6</v>
      </c>
      <c r="D8" s="15" t="s">
        <v>46</v>
      </c>
      <c r="G8" s="12" t="s">
        <v>48</v>
      </c>
      <c r="H8" s="12" t="s">
        <v>53</v>
      </c>
      <c r="I8" s="12" t="s">
        <v>54</v>
      </c>
      <c r="M8" s="16" t="s">
        <v>58</v>
      </c>
      <c r="O8" s="16" t="str">
        <f>M8</f>
        <v>Manufactured on or after January 1st, 2007</v>
      </c>
      <c r="P8" s="16" t="s">
        <v>61</v>
      </c>
      <c r="Q8" s="16" t="s">
        <v>62</v>
      </c>
      <c r="V8" s="23" t="s">
        <v>79</v>
      </c>
      <c r="AD8" s="17" t="s">
        <v>163</v>
      </c>
      <c r="AE8" s="17" t="s">
        <v>164</v>
      </c>
      <c r="AG8" s="17" t="s">
        <v>209</v>
      </c>
      <c r="AO8" s="41" t="str">
        <f>AQ31</f>
        <v>Central Air Conditioners and Heat Pumps</v>
      </c>
      <c r="AW8" s="37" t="s">
        <v>259</v>
      </c>
      <c r="AY8" s="37" t="s">
        <v>260</v>
      </c>
    </row>
    <row r="9" spans="1:56" ht="38.25" x14ac:dyDescent="0.5">
      <c r="B9" s="62"/>
      <c r="C9" s="15" t="s">
        <v>7</v>
      </c>
      <c r="D9" s="15" t="s">
        <v>7</v>
      </c>
      <c r="G9" s="17" t="s">
        <v>49</v>
      </c>
      <c r="H9" s="17">
        <v>222</v>
      </c>
      <c r="I9" s="17">
        <v>3.5</v>
      </c>
      <c r="M9" s="18" t="s">
        <v>158</v>
      </c>
      <c r="N9" s="17" t="str">
        <f>$O$8&amp;O9</f>
        <v>Manufactured on or after January 1st, 2007Top Loading Compact (less than 1.6 ft3 capacity)</v>
      </c>
      <c r="O9" s="17" t="s">
        <v>59</v>
      </c>
      <c r="P9" s="17">
        <v>0.65</v>
      </c>
      <c r="Q9" s="17" t="s">
        <v>3</v>
      </c>
      <c r="W9" s="12" t="s">
        <v>77</v>
      </c>
      <c r="X9" s="12" t="s">
        <v>78</v>
      </c>
      <c r="AD9" s="17" t="s">
        <v>165</v>
      </c>
      <c r="AE9" s="17">
        <v>60</v>
      </c>
      <c r="AJ9" s="17" t="s">
        <v>208</v>
      </c>
      <c r="AO9" s="41" t="str">
        <f>AW8</f>
        <v>Before May 31, 2014</v>
      </c>
      <c r="AR9" s="37" t="s">
        <v>275</v>
      </c>
      <c r="AS9" s="37" t="s">
        <v>272</v>
      </c>
      <c r="AT9" s="37" t="s">
        <v>279</v>
      </c>
      <c r="AU9" s="37" t="s">
        <v>261</v>
      </c>
      <c r="AV9" s="37" t="s">
        <v>279</v>
      </c>
      <c r="AW9" s="37" t="s">
        <v>216</v>
      </c>
      <c r="AX9" s="37" t="s">
        <v>279</v>
      </c>
      <c r="AY9" s="37" t="s">
        <v>216</v>
      </c>
      <c r="AZ9" s="37" t="s">
        <v>280</v>
      </c>
      <c r="BA9" s="37" t="s">
        <v>281</v>
      </c>
      <c r="BB9" s="37" t="s">
        <v>282</v>
      </c>
      <c r="BC9" s="37" t="s">
        <v>283</v>
      </c>
      <c r="BD9" s="37" t="s">
        <v>284</v>
      </c>
    </row>
    <row r="10" spans="1:56" ht="89.25" x14ac:dyDescent="0.2">
      <c r="A10" s="19" t="str">
        <f>"Before September 15, 2014"&amp;B10</f>
        <v>Before September 15, 2014Refrigerators and refrigerator-freezers with manual defrost</v>
      </c>
      <c r="B10" s="19" t="s">
        <v>28</v>
      </c>
      <c r="C10" s="20" t="s">
        <v>8</v>
      </c>
      <c r="D10" s="20">
        <f>8.82*Appliances!$C$5+248.4</f>
        <v>248.4</v>
      </c>
      <c r="G10" s="17" t="s">
        <v>50</v>
      </c>
      <c r="H10" s="17">
        <v>307</v>
      </c>
      <c r="I10" s="17">
        <v>5</v>
      </c>
      <c r="N10" s="17" t="str">
        <f>$O$8&amp;O10</f>
        <v>Manufactured on or after January 1st, 2007Top Loading Standard (1.6 ft3 or greater capacity)</v>
      </c>
      <c r="O10" s="17" t="s">
        <v>63</v>
      </c>
      <c r="P10" s="17">
        <v>1.26</v>
      </c>
      <c r="Q10" s="17" t="s">
        <v>3</v>
      </c>
      <c r="W10" s="17" t="s">
        <v>253</v>
      </c>
      <c r="X10" s="17" t="s">
        <v>80</v>
      </c>
      <c r="AD10" s="17" t="s">
        <v>166</v>
      </c>
      <c r="AE10" s="17">
        <v>40</v>
      </c>
      <c r="AJ10" s="17" t="s">
        <v>197</v>
      </c>
      <c r="AO10" s="41" t="str">
        <f>AY8</f>
        <v>After May 31, 2014</v>
      </c>
      <c r="AQ10" s="38" t="s">
        <v>217</v>
      </c>
      <c r="AR10" s="38" t="s">
        <v>274</v>
      </c>
      <c r="AS10" s="38" t="s">
        <v>273</v>
      </c>
      <c r="AT10" s="37" t="str">
        <f>AS10&amp;AR10</f>
        <v>YesNo</v>
      </c>
      <c r="AU10" s="38" t="s">
        <v>262</v>
      </c>
      <c r="AV10" s="38" t="str">
        <f>$AW$8&amp;AS10&amp;AR10&amp;AU10</f>
        <v>Before May 31, 2014YesNo&lt; 6,000 Btu/h</v>
      </c>
      <c r="AW10" s="39">
        <v>9.6999999999999993</v>
      </c>
      <c r="AX10" s="38" t="str">
        <f>$AY$8&amp;AS10&amp;AR10&amp;AU10</f>
        <v>After May 31, 2014YesNo&lt; 6,000 Btu/h</v>
      </c>
      <c r="AY10" s="40">
        <v>11</v>
      </c>
      <c r="AZ10" s="17" t="s">
        <v>262</v>
      </c>
      <c r="BA10" s="17" t="s">
        <v>262</v>
      </c>
      <c r="BB10" s="17" t="s">
        <v>278</v>
      </c>
      <c r="BC10" s="17" t="s">
        <v>270</v>
      </c>
      <c r="BD10" s="38" t="s">
        <v>276</v>
      </c>
    </row>
    <row r="11" spans="1:56" ht="102" x14ac:dyDescent="0.2">
      <c r="A11" s="19" t="str">
        <f t="shared" ref="A11:A27" si="0">"Before September 15, 2014"&amp;B11</f>
        <v>Before September 15, 2014Refrigerator-freezers—partial automatic defrost</v>
      </c>
      <c r="B11" s="19" t="s">
        <v>29</v>
      </c>
      <c r="C11" s="20" t="s">
        <v>8</v>
      </c>
      <c r="D11" s="20">
        <f>8.82*Appliances!$C$5+248.4</f>
        <v>248.4</v>
      </c>
      <c r="N11" s="17" t="str">
        <f>$O$8&amp;O11</f>
        <v>Manufactured on or after January 1st, 2007Front Loading</v>
      </c>
      <c r="O11" s="17" t="s">
        <v>60</v>
      </c>
      <c r="P11" s="17">
        <v>1.26</v>
      </c>
      <c r="Q11" s="17" t="s">
        <v>3</v>
      </c>
      <c r="W11" s="17" t="s">
        <v>252</v>
      </c>
      <c r="X11" s="17" t="s">
        <v>80</v>
      </c>
      <c r="AD11" s="17" t="s">
        <v>167</v>
      </c>
      <c r="AE11" s="17">
        <v>65</v>
      </c>
      <c r="AH11" s="17" t="str">
        <f>$AG$7&amp;AI11</f>
        <v>Manufactured on or before January 1, 2015Electric, Standard (4.4 ft 3 or greater capacity)</v>
      </c>
      <c r="AI11" s="17" t="s">
        <v>198</v>
      </c>
      <c r="AJ11" s="17">
        <v>3.01</v>
      </c>
      <c r="AQ11" s="38" t="s">
        <v>218</v>
      </c>
      <c r="AR11" s="38" t="s">
        <v>274</v>
      </c>
      <c r="AS11" s="38" t="s">
        <v>273</v>
      </c>
      <c r="AT11" s="37" t="str">
        <f t="shared" ref="AT11:AT29" si="1">AS11&amp;AR11</f>
        <v>YesNo</v>
      </c>
      <c r="AU11" s="38" t="s">
        <v>263</v>
      </c>
      <c r="AV11" s="38" t="str">
        <f t="shared" ref="AV11:AV29" si="2">$AW$8&amp;AS11&amp;AR11&amp;AU11</f>
        <v>Before May 31, 2014YesNo6,000 to 7,999 Btu/h</v>
      </c>
      <c r="AW11" s="39">
        <v>9.6999999999999993</v>
      </c>
      <c r="AX11" s="38" t="str">
        <f t="shared" ref="AX11:AX29" si="3">$AY$8&amp;AS11&amp;AR11&amp;AU11</f>
        <v>After May 31, 2014YesNo6,000 to 7,999 Btu/h</v>
      </c>
      <c r="AY11" s="40">
        <v>11</v>
      </c>
      <c r="AZ11" s="17" t="s">
        <v>263</v>
      </c>
      <c r="BA11" s="17" t="s">
        <v>263</v>
      </c>
      <c r="BB11" s="17" t="s">
        <v>269</v>
      </c>
      <c r="BC11" s="17" t="s">
        <v>271</v>
      </c>
      <c r="BD11" s="38" t="s">
        <v>277</v>
      </c>
    </row>
    <row r="12" spans="1:56" ht="102" x14ac:dyDescent="0.2">
      <c r="A12" s="19" t="str">
        <f t="shared" si="0"/>
        <v>Before September 15, 2014Refrigerator-freezers—automatic defrost with top-mounted freezer without through-the-door ice service and all-refrigerator—automatic defrost</v>
      </c>
      <c r="B12" s="19" t="s">
        <v>30</v>
      </c>
      <c r="C12" s="20" t="s">
        <v>9</v>
      </c>
      <c r="D12" s="20">
        <f>9.8*Appliances!$C$5+276</f>
        <v>276</v>
      </c>
      <c r="W12" s="17" t="s">
        <v>81</v>
      </c>
      <c r="X12" s="17" t="s">
        <v>82</v>
      </c>
      <c r="AD12" s="17" t="s">
        <v>168</v>
      </c>
      <c r="AE12" s="17">
        <v>65</v>
      </c>
      <c r="AH12" s="17" t="str">
        <f>$AG$7&amp;AI12</f>
        <v>Manufactured on or before January 1, 2015Electric, Compact (120V) (less than 4.4 ft 3 capacity)</v>
      </c>
      <c r="AI12" s="17" t="s">
        <v>201</v>
      </c>
      <c r="AJ12" s="17">
        <v>3.13</v>
      </c>
      <c r="AQ12" s="38" t="s">
        <v>219</v>
      </c>
      <c r="AR12" s="38" t="s">
        <v>274</v>
      </c>
      <c r="AS12" s="38" t="s">
        <v>273</v>
      </c>
      <c r="AT12" s="37" t="str">
        <f t="shared" si="1"/>
        <v>YesNo</v>
      </c>
      <c r="AU12" s="38" t="s">
        <v>267</v>
      </c>
      <c r="AV12" s="38" t="str">
        <f t="shared" si="2"/>
        <v>Before May 31, 2014YesNo8,000 to 10,999 Btu/h</v>
      </c>
      <c r="AW12" s="39">
        <v>9.8000000000000007</v>
      </c>
      <c r="AX12" s="38" t="str">
        <f t="shared" si="3"/>
        <v>After May 31, 2014YesNo8,000 to 10,999 Btu/h</v>
      </c>
      <c r="AY12" s="40">
        <v>10.9</v>
      </c>
      <c r="AZ12" s="17" t="s">
        <v>267</v>
      </c>
      <c r="BA12" s="17" t="s">
        <v>267</v>
      </c>
    </row>
    <row r="13" spans="1:56" ht="114.75" x14ac:dyDescent="0.2">
      <c r="A13" s="19" t="str">
        <f t="shared" si="0"/>
        <v>Before September 15, 2014Refrigerator-freezers—automatic defrost with side-mounted freezer without through-the-door ice service</v>
      </c>
      <c r="B13" s="19" t="s">
        <v>31</v>
      </c>
      <c r="C13" s="20" t="s">
        <v>10</v>
      </c>
      <c r="D13" s="20">
        <f>4.91*Appliances!$C$5+507.5</f>
        <v>507.5</v>
      </c>
      <c r="O13" s="18" t="str">
        <f>M9</f>
        <v>Manufactured between March 7th, 2015 and January 1st, 2018</v>
      </c>
      <c r="P13" s="16" t="s">
        <v>61</v>
      </c>
      <c r="Q13" s="16" t="s">
        <v>62</v>
      </c>
      <c r="W13" s="17" t="s">
        <v>254</v>
      </c>
      <c r="X13" s="17" t="s">
        <v>83</v>
      </c>
      <c r="AD13" s="17" t="s">
        <v>169</v>
      </c>
      <c r="AE13" s="17">
        <v>45</v>
      </c>
      <c r="AH13" s="17" t="str">
        <f>$AG$7&amp;AI13</f>
        <v>Manufactured on or before January 1, 2015Electric, Compact (240V) (less than 4.4 ft 3 capacity)</v>
      </c>
      <c r="AI13" s="17" t="s">
        <v>199</v>
      </c>
      <c r="AJ13" s="17">
        <v>2.9</v>
      </c>
      <c r="AQ13" s="38" t="s">
        <v>219</v>
      </c>
      <c r="AR13" s="38" t="s">
        <v>274</v>
      </c>
      <c r="AS13" s="38" t="s">
        <v>273</v>
      </c>
      <c r="AT13" s="37" t="str">
        <f t="shared" si="1"/>
        <v>YesNo</v>
      </c>
      <c r="AU13" s="38" t="s">
        <v>268</v>
      </c>
      <c r="AV13" s="38" t="str">
        <f t="shared" si="2"/>
        <v>Before May 31, 2014YesNo11,000 to 13,999 Btu/h</v>
      </c>
      <c r="AW13" s="39">
        <v>9.8000000000000007</v>
      </c>
      <c r="AX13" s="38" t="str">
        <f t="shared" si="3"/>
        <v>After May 31, 2014YesNo11,000 to 13,999 Btu/h</v>
      </c>
      <c r="AY13" s="40">
        <v>10.9</v>
      </c>
      <c r="AZ13" s="17" t="s">
        <v>268</v>
      </c>
      <c r="BA13" s="17" t="s">
        <v>268</v>
      </c>
    </row>
    <row r="14" spans="1:56" ht="114.75" x14ac:dyDescent="0.2">
      <c r="A14" s="19" t="str">
        <f t="shared" si="0"/>
        <v>Before September 15, 2014Refrigerator-freezers—automatic defrost with bottom-mounted freezer without through-the-door ice service</v>
      </c>
      <c r="B14" s="19" t="s">
        <v>32</v>
      </c>
      <c r="C14" s="20" t="s">
        <v>11</v>
      </c>
      <c r="D14" s="20">
        <f>4.6*Appliances!$C$5+459</f>
        <v>459</v>
      </c>
      <c r="N14" s="17" t="str">
        <f>$O$13&amp;O14</f>
        <v>Manufactured between March 7th, 2015 and January 1st, 2018Top Loading Compact (less than 1.6 ft3 capacity)</v>
      </c>
      <c r="O14" s="17" t="s">
        <v>59</v>
      </c>
      <c r="P14" s="17">
        <v>0.86</v>
      </c>
      <c r="Q14" s="17">
        <v>14.4</v>
      </c>
      <c r="AD14" s="17" t="s">
        <v>170</v>
      </c>
      <c r="AE14" s="17">
        <v>50</v>
      </c>
      <c r="AH14" s="17" t="str">
        <f>$AG$7&amp;AI14</f>
        <v>Manufactured on or before January 1, 2015Gas</v>
      </c>
      <c r="AI14" s="17" t="s">
        <v>200</v>
      </c>
      <c r="AJ14" s="17">
        <v>2.67</v>
      </c>
      <c r="AQ14" s="38" t="s">
        <v>220</v>
      </c>
      <c r="AR14" s="38" t="s">
        <v>274</v>
      </c>
      <c r="AS14" s="38" t="s">
        <v>273</v>
      </c>
      <c r="AT14" s="37" t="str">
        <f t="shared" si="1"/>
        <v>YesNo</v>
      </c>
      <c r="AU14" s="38" t="s">
        <v>264</v>
      </c>
      <c r="AV14" s="38" t="str">
        <f t="shared" si="2"/>
        <v>Before May 31, 2014YesNo14,000 to 19,999 Btu/h</v>
      </c>
      <c r="AW14" s="39">
        <v>9.6999999999999993</v>
      </c>
      <c r="AX14" s="38" t="str">
        <f t="shared" si="3"/>
        <v>After May 31, 2014YesNo14,000 to 19,999 Btu/h</v>
      </c>
      <c r="AY14" s="40">
        <v>10.7</v>
      </c>
      <c r="AZ14" s="17" t="s">
        <v>264</v>
      </c>
      <c r="BA14" s="17" t="s">
        <v>264</v>
      </c>
    </row>
    <row r="15" spans="1:56" ht="114.75" x14ac:dyDescent="0.2">
      <c r="A15" s="19" t="str">
        <f t="shared" si="0"/>
        <v>Before September 15, 2014Refrigerator-freezers—automatic defrost with top-mounted freezer with through-the-door ice service</v>
      </c>
      <c r="B15" s="19" t="s">
        <v>33</v>
      </c>
      <c r="C15" s="20" t="s">
        <v>12</v>
      </c>
      <c r="D15" s="20">
        <f>10.2*Appliances!$C$5+356</f>
        <v>356</v>
      </c>
      <c r="N15" s="17" t="str">
        <f>$O$13&amp;O15</f>
        <v>Manufactured between March 7th, 2015 and January 1st, 2018Top Loading Standard (1.6 ft3 or greater capacity)</v>
      </c>
      <c r="O15" s="17" t="s">
        <v>63</v>
      </c>
      <c r="P15" s="17">
        <v>1.1299999999999999</v>
      </c>
      <c r="Q15" s="17">
        <v>8.4</v>
      </c>
      <c r="AD15" s="17" t="s">
        <v>171</v>
      </c>
      <c r="AE15" s="17">
        <v>90</v>
      </c>
      <c r="AQ15" s="38" t="s">
        <v>221</v>
      </c>
      <c r="AR15" s="38" t="s">
        <v>274</v>
      </c>
      <c r="AS15" s="38" t="s">
        <v>273</v>
      </c>
      <c r="AT15" s="37" t="str">
        <f t="shared" si="1"/>
        <v>YesNo</v>
      </c>
      <c r="AU15" s="38" t="s">
        <v>265</v>
      </c>
      <c r="AV15" s="38" t="str">
        <f t="shared" si="2"/>
        <v>Before May 31, 2014YesNo20,000 to 27,999 Btu/h</v>
      </c>
      <c r="AW15" s="39">
        <v>8.5</v>
      </c>
      <c r="AX15" s="38" t="str">
        <f t="shared" si="3"/>
        <v>After May 31, 2014YesNo20,000 to 27,999 Btu/h</v>
      </c>
      <c r="AY15" s="40">
        <v>9.4</v>
      </c>
      <c r="AZ15" s="17" t="s">
        <v>265</v>
      </c>
      <c r="BA15" s="17" t="s">
        <v>265</v>
      </c>
    </row>
    <row r="16" spans="1:56" ht="114.75" x14ac:dyDescent="0.2">
      <c r="A16" s="19" t="str">
        <f t="shared" si="0"/>
        <v>Before September 15, 2014Refrigerator-freezers—automatic defrost with side-mounted freezer with through-the-door ice service</v>
      </c>
      <c r="B16" s="19" t="s">
        <v>34</v>
      </c>
      <c r="C16" s="20" t="s">
        <v>13</v>
      </c>
      <c r="D16" s="20">
        <f>10.1*Appliances!$C$5+406</f>
        <v>406</v>
      </c>
      <c r="N16" s="17" t="str">
        <f>$O$13&amp;O16</f>
        <v>Manufactured between March 7th, 2015 and January 1st, 2018Front Loading Compact (less than 1.6 ft3 capacity)</v>
      </c>
      <c r="O16" s="17" t="s">
        <v>64</v>
      </c>
      <c r="P16" s="17">
        <v>1.1299999999999999</v>
      </c>
      <c r="Q16" s="17">
        <v>8.3000000000000007</v>
      </c>
      <c r="AD16" s="17" t="s">
        <v>172</v>
      </c>
      <c r="AE16" s="17">
        <v>40</v>
      </c>
      <c r="AJ16" s="17" t="s">
        <v>209</v>
      </c>
      <c r="AQ16" s="38" t="s">
        <v>222</v>
      </c>
      <c r="AR16" s="38" t="s">
        <v>274</v>
      </c>
      <c r="AS16" s="38" t="s">
        <v>273</v>
      </c>
      <c r="AT16" s="37" t="str">
        <f t="shared" si="1"/>
        <v>YesNo</v>
      </c>
      <c r="AU16" s="38" t="s">
        <v>266</v>
      </c>
      <c r="AV16" s="38" t="str">
        <f t="shared" si="2"/>
        <v>Before May 31, 2014YesNo28,000 Btu/h or more</v>
      </c>
      <c r="AW16" s="39">
        <v>8.5</v>
      </c>
      <c r="AX16" s="38" t="str">
        <f t="shared" si="3"/>
        <v>After May 31, 2014YesNo28,000 Btu/h or more</v>
      </c>
      <c r="AY16" s="40">
        <v>9</v>
      </c>
      <c r="AZ16" s="17" t="s">
        <v>266</v>
      </c>
      <c r="BA16" s="17" t="s">
        <v>266</v>
      </c>
    </row>
    <row r="17" spans="1:51" ht="89.25" x14ac:dyDescent="0.2">
      <c r="A17" s="19" t="str">
        <f t="shared" si="0"/>
        <v>Before September 15, 2014Upright freezers with manual defrost</v>
      </c>
      <c r="B17" s="19" t="s">
        <v>35</v>
      </c>
      <c r="C17" s="20" t="s">
        <v>14</v>
      </c>
      <c r="D17" s="20">
        <f>7.55*Appliances!$C$5+258.3</f>
        <v>258.3</v>
      </c>
      <c r="N17" s="17" t="str">
        <f>$O$13&amp;O17</f>
        <v>Manufactured between March 7th, 2015 and January 1st, 2018Front Loading Standard (1.6 ft3 or greater capacity)</v>
      </c>
      <c r="O17" s="16" t="s">
        <v>65</v>
      </c>
      <c r="P17" s="17">
        <v>1.84</v>
      </c>
      <c r="Q17" s="16">
        <v>4.7</v>
      </c>
      <c r="AD17" s="17" t="s">
        <v>173</v>
      </c>
      <c r="AE17" s="17">
        <v>30</v>
      </c>
      <c r="AJ17" s="35" t="s">
        <v>197</v>
      </c>
      <c r="AQ17" s="38" t="s">
        <v>223</v>
      </c>
      <c r="AR17" s="38" t="s">
        <v>274</v>
      </c>
      <c r="AS17" s="38" t="s">
        <v>274</v>
      </c>
      <c r="AT17" s="37" t="str">
        <f t="shared" si="1"/>
        <v>NoNo</v>
      </c>
      <c r="AU17" s="38" t="s">
        <v>262</v>
      </c>
      <c r="AV17" s="38" t="str">
        <f t="shared" si="2"/>
        <v>Before May 31, 2014NoNo&lt; 6,000 Btu/h</v>
      </c>
      <c r="AW17" s="39">
        <v>9</v>
      </c>
      <c r="AX17" s="38" t="str">
        <f t="shared" si="3"/>
        <v>After May 31, 2014NoNo&lt; 6,000 Btu/h</v>
      </c>
      <c r="AY17" s="40">
        <v>10</v>
      </c>
    </row>
    <row r="18" spans="1:51" ht="102" x14ac:dyDescent="0.2">
      <c r="A18" s="19" t="str">
        <f t="shared" si="0"/>
        <v>Before September 15, 2014Upright freezers with automatic defrost</v>
      </c>
      <c r="B18" s="19" t="s">
        <v>36</v>
      </c>
      <c r="C18" s="20" t="s">
        <v>15</v>
      </c>
      <c r="D18" s="20">
        <f>12.43*Appliances!$C$5+326.1</f>
        <v>326.10000000000002</v>
      </c>
      <c r="AD18" s="17" t="s">
        <v>174</v>
      </c>
      <c r="AE18" s="17">
        <v>20</v>
      </c>
      <c r="AH18" s="17" t="str">
        <f t="shared" ref="AH18:AH23" si="4">$AG$8&amp;AI18</f>
        <v>Manufactured after January 1, 2015Vented Electric, Standard (4.4 ft 3 or greater capacity)</v>
      </c>
      <c r="AI18" s="17" t="s">
        <v>202</v>
      </c>
      <c r="AJ18" s="17">
        <v>3.73</v>
      </c>
      <c r="AQ18" s="38" t="s">
        <v>224</v>
      </c>
      <c r="AR18" s="38" t="s">
        <v>274</v>
      </c>
      <c r="AS18" s="38" t="s">
        <v>274</v>
      </c>
      <c r="AT18" s="37" t="str">
        <f t="shared" si="1"/>
        <v>NoNo</v>
      </c>
      <c r="AU18" s="38" t="s">
        <v>263</v>
      </c>
      <c r="AV18" s="38" t="str">
        <f t="shared" si="2"/>
        <v>Before May 31, 2014NoNo6,000 to 7,999 Btu/h</v>
      </c>
      <c r="AW18" s="39">
        <v>9</v>
      </c>
      <c r="AX18" s="38" t="str">
        <f t="shared" si="3"/>
        <v>After May 31, 2014NoNo6,000 to 7,999 Btu/h</v>
      </c>
      <c r="AY18" s="40">
        <v>10</v>
      </c>
    </row>
    <row r="19" spans="1:51" ht="102" x14ac:dyDescent="0.2">
      <c r="A19" s="19" t="str">
        <f t="shared" si="0"/>
        <v>Before September 15, 2014Chest freezers and all other freezers except compact freezers</v>
      </c>
      <c r="B19" s="19" t="s">
        <v>37</v>
      </c>
      <c r="C19" s="20" t="s">
        <v>16</v>
      </c>
      <c r="D19" s="20">
        <f>9.88*Appliances!$C$5+143.7</f>
        <v>143.69999999999999</v>
      </c>
      <c r="AD19" s="17" t="s">
        <v>175</v>
      </c>
      <c r="AE19" s="17">
        <v>32</v>
      </c>
      <c r="AH19" s="17" t="str">
        <f t="shared" si="4"/>
        <v>Manufactured after January 1, 2015Vented Electric, Compact (120V) (less than 4.4 ft 3 capacity)</v>
      </c>
      <c r="AI19" s="17" t="s">
        <v>203</v>
      </c>
      <c r="AJ19" s="17">
        <v>3.61</v>
      </c>
      <c r="AQ19" s="38" t="s">
        <v>225</v>
      </c>
      <c r="AR19" s="38" t="s">
        <v>274</v>
      </c>
      <c r="AS19" s="38" t="s">
        <v>274</v>
      </c>
      <c r="AT19" s="37" t="str">
        <f t="shared" si="1"/>
        <v>NoNo</v>
      </c>
      <c r="AU19" s="38" t="s">
        <v>267</v>
      </c>
      <c r="AV19" s="38" t="str">
        <f t="shared" si="2"/>
        <v>Before May 31, 2014NoNo8,000 to 10,999 Btu/h</v>
      </c>
      <c r="AW19" s="39">
        <v>8.5</v>
      </c>
      <c r="AX19" s="38" t="str">
        <f t="shared" si="3"/>
        <v>After May 31, 2014NoNo8,000 to 10,999 Btu/h</v>
      </c>
      <c r="AY19" s="40">
        <v>9.6</v>
      </c>
    </row>
    <row r="20" spans="1:51" ht="102" x14ac:dyDescent="0.2">
      <c r="A20" s="19" t="str">
        <f t="shared" si="0"/>
        <v>Before September 15, 2014Compact refrigerators and refrigerator-freezers with manual defrost</v>
      </c>
      <c r="B20" s="19" t="s">
        <v>38</v>
      </c>
      <c r="C20" s="20" t="s">
        <v>17</v>
      </c>
      <c r="D20" s="20">
        <f>10.7*Appliances!$C$5+299</f>
        <v>299</v>
      </c>
      <c r="AD20" s="17" t="s">
        <v>176</v>
      </c>
      <c r="AE20" s="17">
        <v>26</v>
      </c>
      <c r="AH20" s="17" t="str">
        <f t="shared" si="4"/>
        <v>Manufactured after January 1, 2015Vented Electric, Compact (240V) (less than 4.4 ft 3 capacity)</v>
      </c>
      <c r="AI20" s="17" t="s">
        <v>204</v>
      </c>
      <c r="AJ20" s="17">
        <v>3.27</v>
      </c>
      <c r="AQ20" s="38" t="s">
        <v>226</v>
      </c>
      <c r="AR20" s="38" t="s">
        <v>274</v>
      </c>
      <c r="AS20" s="38" t="s">
        <v>274</v>
      </c>
      <c r="AT20" s="37" t="str">
        <f t="shared" si="1"/>
        <v>NoNo</v>
      </c>
      <c r="AU20" s="38" t="s">
        <v>268</v>
      </c>
      <c r="AV20" s="38" t="str">
        <f t="shared" si="2"/>
        <v>Before May 31, 2014NoNo11,000 to 13,999 Btu/h</v>
      </c>
      <c r="AW20" s="39">
        <v>8.5</v>
      </c>
      <c r="AX20" s="38" t="str">
        <f t="shared" si="3"/>
        <v>After May 31, 2014NoNo11,000 to 13,999 Btu/h</v>
      </c>
      <c r="AY20" s="40">
        <v>9.5</v>
      </c>
    </row>
    <row r="21" spans="1:51" ht="102" x14ac:dyDescent="0.2">
      <c r="A21" s="19" t="str">
        <f t="shared" si="0"/>
        <v>Before September 15, 2014Compact refrigerator-freezer—partial automatic defrost</v>
      </c>
      <c r="B21" s="19" t="s">
        <v>39</v>
      </c>
      <c r="C21" s="20" t="s">
        <v>18</v>
      </c>
      <c r="D21" s="20">
        <f>7*Appliances!$C$5+398</f>
        <v>398</v>
      </c>
      <c r="AD21" s="17" t="s">
        <v>191</v>
      </c>
      <c r="AE21" s="17">
        <v>13</v>
      </c>
      <c r="AH21" s="17" t="str">
        <f t="shared" si="4"/>
        <v>Manufactured after January 1, 2015Vented Gas</v>
      </c>
      <c r="AI21" s="17" t="s">
        <v>205</v>
      </c>
      <c r="AJ21" s="17">
        <v>3.3</v>
      </c>
      <c r="AQ21" s="38" t="s">
        <v>227</v>
      </c>
      <c r="AR21" s="38" t="s">
        <v>274</v>
      </c>
      <c r="AS21" s="38" t="s">
        <v>274</v>
      </c>
      <c r="AT21" s="37" t="str">
        <f t="shared" si="1"/>
        <v>NoNo</v>
      </c>
      <c r="AU21" s="38" t="s">
        <v>264</v>
      </c>
      <c r="AV21" s="38" t="str">
        <f t="shared" si="2"/>
        <v>Before May 31, 2014NoNo14,000 to 19,999 Btu/h</v>
      </c>
      <c r="AW21" s="39">
        <v>8.5</v>
      </c>
      <c r="AX21" s="38" t="str">
        <f t="shared" si="3"/>
        <v>After May 31, 2014NoNo14,000 to 19,999 Btu/h</v>
      </c>
      <c r="AY21" s="40">
        <v>9.3000000000000007</v>
      </c>
    </row>
    <row r="22" spans="1:51" ht="102" x14ac:dyDescent="0.2">
      <c r="A22" s="19" t="str">
        <f t="shared" si="0"/>
        <v>Before September 15, 2014Compact refrigerator-freezers—automatic defrost with top-mounted freezer and compact all-refrigerator—automatic defrost</v>
      </c>
      <c r="B22" s="19" t="s">
        <v>40</v>
      </c>
      <c r="C22" s="20" t="s">
        <v>19</v>
      </c>
      <c r="D22" s="20">
        <f>12.7*Appliances!$C$5+355</f>
        <v>355</v>
      </c>
      <c r="AD22" s="17" t="s">
        <v>192</v>
      </c>
      <c r="AE22" s="17">
        <v>14</v>
      </c>
      <c r="AH22" s="17" t="str">
        <f t="shared" si="4"/>
        <v>Manufactured after January 1, 2015Ventless Electric, Compact (240V) (less than 4.4 ft 3 capacity)</v>
      </c>
      <c r="AI22" s="17" t="s">
        <v>206</v>
      </c>
      <c r="AJ22" s="17">
        <v>2.5499999999999998</v>
      </c>
      <c r="AQ22" s="38" t="s">
        <v>228</v>
      </c>
      <c r="AR22" s="38" t="s">
        <v>274</v>
      </c>
      <c r="AS22" s="38" t="s">
        <v>274</v>
      </c>
      <c r="AT22" s="37" t="str">
        <f t="shared" si="1"/>
        <v>NoNo</v>
      </c>
      <c r="AU22" s="38" t="s">
        <v>265</v>
      </c>
      <c r="AV22" s="38" t="str">
        <f t="shared" si="2"/>
        <v>Before May 31, 2014NoNo20,000 to 27,999 Btu/h</v>
      </c>
      <c r="AW22" s="39">
        <v>8.5</v>
      </c>
      <c r="AX22" s="38" t="str">
        <f t="shared" si="3"/>
        <v>After May 31, 2014NoNo20,000 to 27,999 Btu/h</v>
      </c>
      <c r="AY22" s="40">
        <v>9.4</v>
      </c>
    </row>
    <row r="23" spans="1:51" ht="114.75" x14ac:dyDescent="0.2">
      <c r="A23" s="19" t="str">
        <f t="shared" si="0"/>
        <v>Before September 15, 2014Compact refrigerator-freezers—automatic defrost with side-mounted freezer</v>
      </c>
      <c r="B23" s="19" t="s">
        <v>41</v>
      </c>
      <c r="C23" s="20" t="s">
        <v>20</v>
      </c>
      <c r="D23" s="20">
        <f>7.6*Appliances!$C$5+501</f>
        <v>501</v>
      </c>
      <c r="AD23" s="17" t="s">
        <v>193</v>
      </c>
      <c r="AE23" s="17">
        <v>15</v>
      </c>
      <c r="AH23" s="17" t="str">
        <f t="shared" si="4"/>
        <v>Manufactured after January 1, 2015Ventless Electric, Combination Washer-Dryer</v>
      </c>
      <c r="AI23" s="17" t="s">
        <v>207</v>
      </c>
      <c r="AJ23" s="17">
        <v>2.08</v>
      </c>
      <c r="AQ23" s="38" t="s">
        <v>228</v>
      </c>
      <c r="AR23" s="38" t="s">
        <v>274</v>
      </c>
      <c r="AS23" s="38" t="s">
        <v>274</v>
      </c>
      <c r="AT23" s="37" t="str">
        <f t="shared" si="1"/>
        <v>NoNo</v>
      </c>
      <c r="AU23" s="38" t="s">
        <v>266</v>
      </c>
      <c r="AV23" s="38" t="str">
        <f t="shared" si="2"/>
        <v>Before May 31, 2014NoNo28,000 Btu/h or more</v>
      </c>
      <c r="AW23" s="39">
        <v>8.5</v>
      </c>
      <c r="AX23" s="38" t="str">
        <f t="shared" si="3"/>
        <v>After May 31, 2014NoNo28,000 Btu/h or more</v>
      </c>
      <c r="AY23" s="40">
        <v>9.4</v>
      </c>
    </row>
    <row r="24" spans="1:51" ht="102" x14ac:dyDescent="0.2">
      <c r="A24" s="19" t="str">
        <f t="shared" si="0"/>
        <v>Before September 15, 2014Compact refrigerator-freezers—automatic defrost with bottom-mounted freezer</v>
      </c>
      <c r="B24" s="19" t="s">
        <v>42</v>
      </c>
      <c r="C24" s="20" t="s">
        <v>21</v>
      </c>
      <c r="D24" s="20">
        <f>13.1*Appliances!$C$5+367</f>
        <v>367</v>
      </c>
      <c r="AD24" s="17" t="s">
        <v>177</v>
      </c>
      <c r="AE24" s="17">
        <v>9</v>
      </c>
      <c r="AQ24" s="38" t="s">
        <v>229</v>
      </c>
      <c r="AR24" s="38" t="s">
        <v>273</v>
      </c>
      <c r="AS24" s="38" t="s">
        <v>273</v>
      </c>
      <c r="AT24" s="37" t="str">
        <f t="shared" si="1"/>
        <v>YesYes</v>
      </c>
      <c r="AU24" s="38" t="s">
        <v>278</v>
      </c>
      <c r="AV24" s="38" t="str">
        <f t="shared" si="2"/>
        <v>Before May 31, 2014YesYes&lt; 20,000 Btu/h</v>
      </c>
      <c r="AW24" s="39">
        <v>9</v>
      </c>
      <c r="AX24" s="38" t="str">
        <f t="shared" si="3"/>
        <v>After May 31, 2014YesYes&lt; 20,000 Btu/h</v>
      </c>
      <c r="AY24" s="40">
        <v>9.8000000000000007</v>
      </c>
    </row>
    <row r="25" spans="1:51" ht="89.25" x14ac:dyDescent="0.2">
      <c r="A25" s="19" t="str">
        <f t="shared" si="0"/>
        <v>Before September 15, 2014Compact upright freezers with manual defrost</v>
      </c>
      <c r="B25" s="19" t="s">
        <v>43</v>
      </c>
      <c r="C25" s="20" t="s">
        <v>22</v>
      </c>
      <c r="D25" s="20">
        <f>9.78*Appliances!$C$5+250.8</f>
        <v>250.8</v>
      </c>
      <c r="AD25" s="17" t="s">
        <v>178</v>
      </c>
      <c r="AE25" s="17">
        <v>9</v>
      </c>
      <c r="AQ25" s="38" t="s">
        <v>230</v>
      </c>
      <c r="AR25" s="38" t="s">
        <v>273</v>
      </c>
      <c r="AS25" s="38" t="s">
        <v>274</v>
      </c>
      <c r="AT25" s="37" t="str">
        <f t="shared" si="1"/>
        <v>NoYes</v>
      </c>
      <c r="AU25" s="38" t="s">
        <v>270</v>
      </c>
      <c r="AV25" s="38" t="str">
        <f t="shared" si="2"/>
        <v>Before May 31, 2014NoYes14,000 Btu/h</v>
      </c>
      <c r="AW25" s="39">
        <v>8.5</v>
      </c>
      <c r="AX25" s="38" t="str">
        <f t="shared" si="3"/>
        <v>After May 31, 2014NoYes14,000 Btu/h</v>
      </c>
      <c r="AY25" s="40">
        <v>9.3000000000000007</v>
      </c>
    </row>
    <row r="26" spans="1:51" ht="114.75" x14ac:dyDescent="0.2">
      <c r="A26" s="19" t="str">
        <f t="shared" si="0"/>
        <v>Before September 15, 2014Compact upright freezers with automatic defrost</v>
      </c>
      <c r="B26" s="19" t="s">
        <v>44</v>
      </c>
      <c r="C26" s="20" t="s">
        <v>23</v>
      </c>
      <c r="D26" s="20">
        <f>11.4*Appliances!$C$5+391</f>
        <v>391</v>
      </c>
      <c r="AD26" s="17" t="s">
        <v>179</v>
      </c>
      <c r="AE26" s="17">
        <v>14</v>
      </c>
      <c r="AQ26" s="38" t="s">
        <v>231</v>
      </c>
      <c r="AR26" s="38" t="s">
        <v>273</v>
      </c>
      <c r="AS26" s="38" t="s">
        <v>273</v>
      </c>
      <c r="AT26" s="37" t="str">
        <f t="shared" si="1"/>
        <v>YesYes</v>
      </c>
      <c r="AU26" s="38" t="s">
        <v>269</v>
      </c>
      <c r="AV26" s="38" t="str">
        <f t="shared" si="2"/>
        <v>Before May 31, 2014YesYes20,000 Btu/h or more</v>
      </c>
      <c r="AW26" s="39">
        <v>8.5</v>
      </c>
      <c r="AX26" s="38" t="str">
        <f t="shared" si="3"/>
        <v>After May 31, 2014YesYes20,000 Btu/h or more</v>
      </c>
      <c r="AY26" s="40">
        <v>9.3000000000000007</v>
      </c>
    </row>
    <row r="27" spans="1:51" ht="114.75" x14ac:dyDescent="0.2">
      <c r="A27" s="19" t="str">
        <f t="shared" si="0"/>
        <v>Before September 15, 2014Compact chest freezers</v>
      </c>
      <c r="B27" s="19" t="s">
        <v>45</v>
      </c>
      <c r="C27" s="20" t="s">
        <v>24</v>
      </c>
      <c r="D27" s="20">
        <f>10.45*Appliances!$C$5+152</f>
        <v>152</v>
      </c>
      <c r="AD27" s="17" t="s">
        <v>180</v>
      </c>
      <c r="AE27" s="17">
        <v>15</v>
      </c>
      <c r="AQ27" s="38" t="s">
        <v>232</v>
      </c>
      <c r="AR27" s="38" t="s">
        <v>273</v>
      </c>
      <c r="AS27" s="38" t="s">
        <v>274</v>
      </c>
      <c r="AT27" s="37" t="str">
        <f t="shared" si="1"/>
        <v>NoYes</v>
      </c>
      <c r="AU27" s="38" t="s">
        <v>271</v>
      </c>
      <c r="AV27" s="38" t="str">
        <f t="shared" si="2"/>
        <v>Before May 31, 2014NoYes14,000 Btu/h or more</v>
      </c>
      <c r="AW27" s="39">
        <v>8</v>
      </c>
      <c r="AX27" s="38" t="str">
        <f t="shared" si="3"/>
        <v>After May 31, 2014NoYes14,000 Btu/h or more</v>
      </c>
      <c r="AY27" s="40">
        <v>8.6999999999999993</v>
      </c>
    </row>
    <row r="28" spans="1:51" ht="114.75" x14ac:dyDescent="0.5">
      <c r="AD28" s="17" t="s">
        <v>181</v>
      </c>
      <c r="AE28" s="17">
        <v>9</v>
      </c>
      <c r="AQ28" s="38" t="s">
        <v>233</v>
      </c>
      <c r="AR28" s="38" t="s">
        <v>3</v>
      </c>
      <c r="AS28" s="38" t="s">
        <v>3</v>
      </c>
      <c r="AT28" s="37" t="str">
        <f t="shared" si="1"/>
        <v>NANA</v>
      </c>
      <c r="AU28" s="38" t="s">
        <v>276</v>
      </c>
      <c r="AV28" s="38" t="str">
        <f t="shared" si="2"/>
        <v>Before May 31, 2014NANANA - Casement Only</v>
      </c>
      <c r="AW28" s="39">
        <v>8.6999999999999993</v>
      </c>
      <c r="AX28" s="38" t="str">
        <f t="shared" si="3"/>
        <v>After May 31, 2014NANANA - Casement Only</v>
      </c>
      <c r="AY28" s="40">
        <v>9.5</v>
      </c>
    </row>
    <row r="29" spans="1:51" ht="114.75" x14ac:dyDescent="0.5">
      <c r="AD29" s="17" t="s">
        <v>194</v>
      </c>
      <c r="AE29" s="17">
        <v>12</v>
      </c>
      <c r="AQ29" s="38" t="s">
        <v>234</v>
      </c>
      <c r="AR29" s="38" t="s">
        <v>3</v>
      </c>
      <c r="AS29" s="38" t="s">
        <v>3</v>
      </c>
      <c r="AT29" s="37" t="str">
        <f t="shared" si="1"/>
        <v>NANA</v>
      </c>
      <c r="AU29" s="38" t="s">
        <v>277</v>
      </c>
      <c r="AV29" s="38" t="str">
        <f t="shared" si="2"/>
        <v>Before May 31, 2014NANANA - Casement Slider</v>
      </c>
      <c r="AW29" s="39">
        <v>9.5</v>
      </c>
      <c r="AX29" s="38" t="str">
        <f t="shared" si="3"/>
        <v>After May 31, 2014NANANA - Casement Slider</v>
      </c>
      <c r="AY29" s="40">
        <v>10.4</v>
      </c>
    </row>
    <row r="30" spans="1:51" ht="55.5" x14ac:dyDescent="0.5">
      <c r="B30" s="62" t="s">
        <v>5</v>
      </c>
      <c r="C30" s="22" t="s">
        <v>6</v>
      </c>
      <c r="D30" s="22" t="s">
        <v>46</v>
      </c>
      <c r="AD30" s="17" t="s">
        <v>182</v>
      </c>
      <c r="AE30" s="17">
        <v>8</v>
      </c>
      <c r="AR30" s="37" t="s">
        <v>258</v>
      </c>
    </row>
    <row r="31" spans="1:51" ht="38.25" x14ac:dyDescent="0.5">
      <c r="B31" s="62"/>
      <c r="C31" s="22" t="s">
        <v>7</v>
      </c>
      <c r="D31" s="22" t="s">
        <v>7</v>
      </c>
      <c r="AD31" s="17" t="s">
        <v>183</v>
      </c>
      <c r="AE31" s="17">
        <v>9</v>
      </c>
      <c r="AQ31" s="38" t="s">
        <v>235</v>
      </c>
      <c r="AR31" s="38" t="s">
        <v>246</v>
      </c>
      <c r="AS31" s="38" t="s">
        <v>236</v>
      </c>
      <c r="AT31" s="38" t="s">
        <v>247</v>
      </c>
      <c r="AU31" s="49"/>
    </row>
    <row r="32" spans="1:51" ht="38.25" x14ac:dyDescent="0.2">
      <c r="A32" s="19" t="str">
        <f>"September 15, 2014 and after"&amp;B32</f>
        <v>September 15, 2014 and afterRefrigerator-freezers and refrigerators other than all-refrigerators with manual defrost</v>
      </c>
      <c r="B32" s="19" t="s">
        <v>125</v>
      </c>
      <c r="C32" s="19" t="s">
        <v>86</v>
      </c>
      <c r="D32" s="19">
        <f>7.99*Appliances!$C$5+225</f>
        <v>225</v>
      </c>
      <c r="AD32" s="17" t="s">
        <v>195</v>
      </c>
      <c r="AE32" s="17">
        <v>13</v>
      </c>
      <c r="AQ32" s="38" t="s">
        <v>237</v>
      </c>
      <c r="AR32" s="38">
        <v>13</v>
      </c>
      <c r="AS32" s="38" t="s">
        <v>3</v>
      </c>
      <c r="AT32" s="38">
        <v>30</v>
      </c>
      <c r="AU32" s="49"/>
    </row>
    <row r="33" spans="1:47" ht="25.5" x14ac:dyDescent="0.2">
      <c r="A33" s="19" t="str">
        <f t="shared" ref="A33:A73" si="5">"September 15, 2014 and after"&amp;B33</f>
        <v>September 15, 2014 and afterAll-refrigerators—manual defrost</v>
      </c>
      <c r="B33" s="19" t="s">
        <v>126</v>
      </c>
      <c r="C33" s="19" t="s">
        <v>87</v>
      </c>
      <c r="D33" s="19">
        <f>6.79*Appliances!$C$5+193.6</f>
        <v>193.6</v>
      </c>
      <c r="AD33" s="17" t="s">
        <v>184</v>
      </c>
      <c r="AE33" s="17">
        <v>15</v>
      </c>
      <c r="AQ33" s="38" t="s">
        <v>238</v>
      </c>
      <c r="AR33" s="38">
        <v>14</v>
      </c>
      <c r="AS33" s="38">
        <v>8.1999999999999993</v>
      </c>
      <c r="AT33" s="38">
        <v>33</v>
      </c>
      <c r="AU33" s="49"/>
    </row>
    <row r="34" spans="1:47" ht="25.5" x14ac:dyDescent="0.2">
      <c r="A34" s="19" t="str">
        <f t="shared" si="5"/>
        <v>September 15, 2014 and afterRefrigerator-freezers—partial automatic defrost</v>
      </c>
      <c r="B34" s="19" t="s">
        <v>29</v>
      </c>
      <c r="C34" s="19" t="s">
        <v>86</v>
      </c>
      <c r="D34" s="19">
        <f>7.99*Appliances!$C$5+225</f>
        <v>225</v>
      </c>
      <c r="AD34" s="17" t="s">
        <v>185</v>
      </c>
      <c r="AE34" s="17">
        <v>24</v>
      </c>
      <c r="AQ34" s="38" t="s">
        <v>239</v>
      </c>
      <c r="AR34" s="38">
        <v>14</v>
      </c>
      <c r="AS34" s="38" t="s">
        <v>248</v>
      </c>
      <c r="AT34" s="38">
        <v>30</v>
      </c>
      <c r="AU34" s="49"/>
    </row>
    <row r="35" spans="1:47" ht="38.25" x14ac:dyDescent="0.2">
      <c r="A35" s="19" t="str">
        <f t="shared" si="5"/>
        <v>September 15, 2014 and afterRefrigerator-freezers—automatic defrost with top-mounted freezer without an automatic icemaker</v>
      </c>
      <c r="B35" s="19" t="s">
        <v>127</v>
      </c>
      <c r="C35" s="19" t="s">
        <v>88</v>
      </c>
      <c r="D35" s="19">
        <f>8.07*Appliances!$C$5+233.7</f>
        <v>233.7</v>
      </c>
      <c r="AQ35" s="38" t="s">
        <v>240</v>
      </c>
      <c r="AR35" s="38">
        <v>14</v>
      </c>
      <c r="AS35" s="38">
        <v>8</v>
      </c>
      <c r="AT35" s="38">
        <v>33</v>
      </c>
      <c r="AU35" s="49"/>
    </row>
    <row r="36" spans="1:47" ht="38.25" x14ac:dyDescent="0.2">
      <c r="A36" s="19" t="str">
        <f t="shared" si="5"/>
        <v>September 15, 2014 and afterBuilt-in refrigerator-freezer—automatic defrost with top-mounted freezer without an automatic icemaker</v>
      </c>
      <c r="B36" s="19" t="s">
        <v>128</v>
      </c>
      <c r="C36" s="19" t="s">
        <v>89</v>
      </c>
      <c r="D36" s="19">
        <f>9.15*Appliances!$C$5+264.9</f>
        <v>264.89999999999998</v>
      </c>
      <c r="AQ36" s="38" t="s">
        <v>241</v>
      </c>
      <c r="AR36" s="38">
        <v>12</v>
      </c>
      <c r="AS36" s="38">
        <v>7.2</v>
      </c>
      <c r="AT36" s="38">
        <v>30</v>
      </c>
      <c r="AU36" s="49"/>
    </row>
    <row r="37" spans="1:47" ht="51" x14ac:dyDescent="0.2">
      <c r="A37" s="19" t="str">
        <f t="shared" si="5"/>
        <v>September 15, 2014 and afterRefrigerator-freezers—automatic defrost with top-mounted freezer with an automatic icemaker without through-the-door ice service</v>
      </c>
      <c r="B37" s="19" t="s">
        <v>129</v>
      </c>
      <c r="C37" s="19" t="s">
        <v>90</v>
      </c>
      <c r="D37" s="19">
        <f>8.07*Appliances!$C$5+317.7</f>
        <v>317.7</v>
      </c>
      <c r="AQ37" s="38" t="s">
        <v>242</v>
      </c>
      <c r="AR37" s="38">
        <v>12</v>
      </c>
      <c r="AS37" s="38" t="s">
        <v>248</v>
      </c>
      <c r="AT37" s="38">
        <v>30</v>
      </c>
      <c r="AU37" s="49"/>
    </row>
    <row r="38" spans="1:47" ht="51" x14ac:dyDescent="0.2">
      <c r="A38" s="19" t="str">
        <f t="shared" si="5"/>
        <v>September 15, 2014 and afterBuilt-in refrigerator-freezers—automatic defrost with top-mounted freezer with an automatic icemaker without through-the-door ice service</v>
      </c>
      <c r="B38" s="19" t="s">
        <v>130</v>
      </c>
      <c r="C38" s="19" t="s">
        <v>91</v>
      </c>
      <c r="D38" s="19">
        <f>9.15*Appliances!$C$5+348.9</f>
        <v>348.9</v>
      </c>
      <c r="AQ38" s="38" t="s">
        <v>243</v>
      </c>
      <c r="AR38" s="38">
        <v>12</v>
      </c>
      <c r="AS38" s="38">
        <v>7.4</v>
      </c>
      <c r="AT38" s="38">
        <v>33</v>
      </c>
      <c r="AU38" s="49"/>
    </row>
    <row r="39" spans="1:47" ht="25.5" x14ac:dyDescent="0.2">
      <c r="A39" s="19" t="str">
        <f t="shared" si="5"/>
        <v>September 15, 2014 and afterAll-refrigerators—automatic defrost</v>
      </c>
      <c r="B39" s="19" t="s">
        <v>131</v>
      </c>
      <c r="C39" s="19" t="s">
        <v>92</v>
      </c>
      <c r="D39" s="19">
        <f>7.07*Appliances!$C$5+201.6</f>
        <v>201.6</v>
      </c>
    </row>
    <row r="40" spans="1:47" ht="25.5" x14ac:dyDescent="0.2">
      <c r="A40" s="19" t="str">
        <f t="shared" si="5"/>
        <v>September 15, 2014 and afterBuilt-in All-refrigerators—automatic defrost</v>
      </c>
      <c r="B40" s="19" t="s">
        <v>132</v>
      </c>
      <c r="C40" s="19" t="s">
        <v>93</v>
      </c>
      <c r="D40" s="19">
        <f>8.02*Appliances!$C$5+228.5</f>
        <v>228.5</v>
      </c>
    </row>
    <row r="41" spans="1:47" ht="38.25" x14ac:dyDescent="0.2">
      <c r="A41" s="19" t="str">
        <f t="shared" si="5"/>
        <v>September 15, 2014 and afterRefrigerator-freezers—automatic defrost with side-mounted freezer without an automatic icemaker</v>
      </c>
      <c r="B41" s="19" t="s">
        <v>133</v>
      </c>
      <c r="C41" s="19" t="s">
        <v>94</v>
      </c>
      <c r="D41" s="19">
        <f>8.51*Appliances!$C$5+297.8</f>
        <v>297.8</v>
      </c>
    </row>
    <row r="42" spans="1:47" ht="38.25" x14ac:dyDescent="0.2">
      <c r="A42" s="19" t="str">
        <f t="shared" si="5"/>
        <v>September 15, 2014 and afterBuilt-In Refrigerator-freezers—automatic defrost with side-mounted freezer without an automatic icemaker</v>
      </c>
      <c r="B42" s="19" t="s">
        <v>134</v>
      </c>
      <c r="C42" s="19" t="s">
        <v>95</v>
      </c>
      <c r="D42" s="19">
        <f>10.22*Appliances!$C$5+357.4</f>
        <v>357.4</v>
      </c>
    </row>
    <row r="43" spans="1:47" ht="51" x14ac:dyDescent="0.2">
      <c r="A43" s="19" t="str">
        <f t="shared" si="5"/>
        <v>September 15, 2014 and afterRefrigerator-freezers—automatic defrost with side-mounted freezer with an automatic icemaker without through-the-door ice service</v>
      </c>
      <c r="B43" s="19" t="s">
        <v>135</v>
      </c>
      <c r="C43" s="19" t="s">
        <v>96</v>
      </c>
      <c r="D43" s="19">
        <f>8.51*Appliances!$C$5+381.8</f>
        <v>381.8</v>
      </c>
    </row>
    <row r="44" spans="1:47" ht="51" x14ac:dyDescent="0.2">
      <c r="A44" s="19" t="str">
        <f t="shared" si="5"/>
        <v>September 15, 2014 and afterBuilt-In Refrigerator-freezers—automatic defrost with side-mounted freezer with an automatic icemaker without through-the-door ice service</v>
      </c>
      <c r="B44" s="19" t="s">
        <v>136</v>
      </c>
      <c r="C44" s="19" t="s">
        <v>97</v>
      </c>
      <c r="D44" s="19">
        <f>10.22*Appliances!$C$5+441.4</f>
        <v>441.4</v>
      </c>
    </row>
    <row r="45" spans="1:47" ht="25.5" x14ac:dyDescent="0.2">
      <c r="A45" s="19" t="str">
        <f t="shared" si="5"/>
        <v>September 15, 2014 and after5. without an automatic icemaker</v>
      </c>
      <c r="B45" s="19" t="s">
        <v>137</v>
      </c>
      <c r="C45" s="19" t="s">
        <v>98</v>
      </c>
      <c r="D45" s="19">
        <f>8.85*Appliances!$C$5+317</f>
        <v>317</v>
      </c>
    </row>
    <row r="46" spans="1:47" ht="38.25" x14ac:dyDescent="0.2">
      <c r="A46" s="19" t="str">
        <f t="shared" si="5"/>
        <v>September 15, 2014 and afterBuilt-In Refrigerator-freezers—automatic defrost with bottom-mounted freezer without an automatic icemaker</v>
      </c>
      <c r="B46" s="19" t="s">
        <v>138</v>
      </c>
      <c r="C46" s="19" t="s">
        <v>99</v>
      </c>
      <c r="D46" s="19">
        <f>9.4*Appliances!$C$5+336.9</f>
        <v>336.9</v>
      </c>
    </row>
    <row r="47" spans="1:47" ht="51" x14ac:dyDescent="0.2">
      <c r="A47" s="19" t="str">
        <f t="shared" si="5"/>
        <v>September 15, 2014 and afterRefrigerator-freezers—automatic defrost with bottom-mounted freezer with an automatic icemaker without through-the-door ice service</v>
      </c>
      <c r="B47" s="19" t="s">
        <v>139</v>
      </c>
      <c r="C47" s="19" t="s">
        <v>100</v>
      </c>
      <c r="D47" s="19">
        <f>8.85*Appliances!$C$5+401</f>
        <v>401</v>
      </c>
    </row>
    <row r="48" spans="1:47" ht="51" x14ac:dyDescent="0.2">
      <c r="A48" s="19" t="str">
        <f t="shared" si="5"/>
        <v>September 15, 2014 and afterBuilt-In Refrigerator-freezers—automatic defrost with bottom-mounted freezer with an automatic icemaker without through-the-door ice service</v>
      </c>
      <c r="B48" s="19" t="s">
        <v>140</v>
      </c>
      <c r="C48" s="19" t="s">
        <v>101</v>
      </c>
      <c r="D48" s="19">
        <f>9.4*Appliances!$C$5+420.9</f>
        <v>420.9</v>
      </c>
    </row>
    <row r="49" spans="1:4" ht="38.25" x14ac:dyDescent="0.2">
      <c r="A49" s="19" t="str">
        <f t="shared" si="5"/>
        <v>September 15, 2014 and afterRefrigerator-freezer—automatic defrost with bottom-mounted freezer with through-the-door ice service</v>
      </c>
      <c r="B49" s="19" t="s">
        <v>141</v>
      </c>
      <c r="C49" s="19" t="s">
        <v>102</v>
      </c>
      <c r="D49" s="19">
        <f>9.25*Appliances!$C$5+475.4</f>
        <v>475.4</v>
      </c>
    </row>
    <row r="50" spans="1:4" ht="38.25" x14ac:dyDescent="0.2">
      <c r="A50" s="19" t="str">
        <f t="shared" si="5"/>
        <v>September 15, 2014 and afterBuilt-in refrigerator-freezer—automatic defrost with bottom-mounted freezer with through-the-door ice service</v>
      </c>
      <c r="B50" s="19" t="s">
        <v>142</v>
      </c>
      <c r="C50" s="19" t="s">
        <v>103</v>
      </c>
      <c r="D50" s="19">
        <f>9.83*Appliances!$C$5+499.9</f>
        <v>499.9</v>
      </c>
    </row>
    <row r="51" spans="1:4" ht="38.25" x14ac:dyDescent="0.2">
      <c r="A51" s="19" t="str">
        <f t="shared" si="5"/>
        <v>September 15, 2014 and afterRefrigerator-freezers—automatic defrost with top-mounted freezer with through-the-door ice service</v>
      </c>
      <c r="B51" s="19" t="s">
        <v>33</v>
      </c>
      <c r="C51" s="19" t="s">
        <v>104</v>
      </c>
      <c r="D51" s="19">
        <f>8.4*Appliances!$C$5+385.4</f>
        <v>385.4</v>
      </c>
    </row>
    <row r="52" spans="1:4" ht="38.25" x14ac:dyDescent="0.2">
      <c r="A52" s="19" t="str">
        <f t="shared" si="5"/>
        <v>September 15, 2014 and afterRefrigerator-freezers—automatic defrost with side-mounted freezer with through-the-door ice service</v>
      </c>
      <c r="B52" s="19" t="s">
        <v>34</v>
      </c>
      <c r="C52" s="19" t="s">
        <v>105</v>
      </c>
      <c r="D52" s="19">
        <f>8.54*Appliances!$C$5+432.8</f>
        <v>432.8</v>
      </c>
    </row>
    <row r="53" spans="1:4" ht="38.25" x14ac:dyDescent="0.2">
      <c r="A53" s="19" t="str">
        <f t="shared" si="5"/>
        <v>September 15, 2014 and afterBuilt-In Refrigerator-freezers—automatic defrost with side-mounted freezer with through-the-door ice service</v>
      </c>
      <c r="B53" s="19" t="s">
        <v>143</v>
      </c>
      <c r="C53" s="19" t="s">
        <v>106</v>
      </c>
      <c r="D53" s="19">
        <f>10.25*Appliances!$C$5+502.6</f>
        <v>502.6</v>
      </c>
    </row>
    <row r="54" spans="1:4" ht="25.5" x14ac:dyDescent="0.2">
      <c r="A54" s="19" t="str">
        <f t="shared" si="5"/>
        <v>September 15, 2014 and afterUpright freezers with manual defrost</v>
      </c>
      <c r="B54" s="19" t="s">
        <v>35</v>
      </c>
      <c r="C54" s="19" t="s">
        <v>107</v>
      </c>
      <c r="D54" s="19">
        <f>5.57*Appliances!$C$5+193.7</f>
        <v>193.7</v>
      </c>
    </row>
    <row r="55" spans="1:4" ht="38.25" x14ac:dyDescent="0.2">
      <c r="A55" s="19" t="str">
        <f t="shared" si="5"/>
        <v>September 15, 2014 and afterUpright freezers with automatic defrost without an automatic icemaker</v>
      </c>
      <c r="B55" s="19" t="s">
        <v>144</v>
      </c>
      <c r="C55" s="19" t="s">
        <v>108</v>
      </c>
      <c r="D55" s="19">
        <f>8.62*Appliances!$C$5+228.3</f>
        <v>228.3</v>
      </c>
    </row>
    <row r="56" spans="1:4" ht="38.25" x14ac:dyDescent="0.2">
      <c r="A56" s="19" t="str">
        <f t="shared" si="5"/>
        <v>September 15, 2014 and afterUpright freezers with automatic defrost with an automatic icemaker</v>
      </c>
      <c r="B56" s="19" t="s">
        <v>145</v>
      </c>
      <c r="C56" s="19" t="s">
        <v>109</v>
      </c>
      <c r="D56" s="19">
        <f>8.62*Appliances!$C$5+312.3</f>
        <v>312.3</v>
      </c>
    </row>
    <row r="57" spans="1:4" ht="38.25" x14ac:dyDescent="0.2">
      <c r="A57" s="19" t="str">
        <f t="shared" si="5"/>
        <v>September 15, 2014 and afterBuilt-In Upright freezers with automatic defrost without an automatic icemaker</v>
      </c>
      <c r="B57" s="19" t="s">
        <v>146</v>
      </c>
      <c r="C57" s="19" t="s">
        <v>110</v>
      </c>
      <c r="D57" s="19">
        <f>9.86*Appliances!$C$5+260.9</f>
        <v>260.89999999999998</v>
      </c>
    </row>
    <row r="58" spans="1:4" ht="38.25" x14ac:dyDescent="0.2">
      <c r="A58" s="19" t="str">
        <f t="shared" si="5"/>
        <v>September 15, 2014 and afterBuilt-in upright freezers with automatic defrost with an automatic icemaker</v>
      </c>
      <c r="B58" s="19" t="s">
        <v>147</v>
      </c>
      <c r="C58" s="19" t="s">
        <v>111</v>
      </c>
      <c r="D58" s="19">
        <f>9.86*Appliances!$C$5+344.9</f>
        <v>344.9</v>
      </c>
    </row>
    <row r="59" spans="1:4" ht="25.5" x14ac:dyDescent="0.2">
      <c r="A59" s="19" t="str">
        <f t="shared" si="5"/>
        <v>September 15, 2014 and afterChest freezers and all other freezers except compact freezers</v>
      </c>
      <c r="B59" s="19" t="s">
        <v>37</v>
      </c>
      <c r="C59" s="19" t="s">
        <v>112</v>
      </c>
      <c r="D59" s="19">
        <f>7.29*Appliances!$C$5+107.8</f>
        <v>107.8</v>
      </c>
    </row>
    <row r="60" spans="1:4" ht="25.5" x14ac:dyDescent="0.2">
      <c r="A60" s="19" t="str">
        <f t="shared" si="5"/>
        <v>September 15, 2014 and afterChest freezers with automatic defrost</v>
      </c>
      <c r="B60" s="19" t="s">
        <v>148</v>
      </c>
      <c r="C60" s="19" t="s">
        <v>113</v>
      </c>
      <c r="D60" s="19">
        <f>10.24*Appliances!$C$5+148.1</f>
        <v>148.1</v>
      </c>
    </row>
    <row r="61" spans="1:4" ht="38.25" x14ac:dyDescent="0.2">
      <c r="A61" s="19" t="str">
        <f t="shared" si="5"/>
        <v>September 15, 2014 and afterCompact refrigerator-freezers and refrigerators other than all-refrigerators with manual defrost</v>
      </c>
      <c r="B61" s="19" t="s">
        <v>149</v>
      </c>
      <c r="C61" s="19" t="s">
        <v>114</v>
      </c>
      <c r="D61" s="19">
        <f>9.03*Appliances!$C$5+252.3</f>
        <v>252.3</v>
      </c>
    </row>
    <row r="62" spans="1:4" ht="25.5" x14ac:dyDescent="0.2">
      <c r="A62" s="19" t="str">
        <f t="shared" si="5"/>
        <v>September 15, 2014 and afterCompact all-refrigerators—manual defrost</v>
      </c>
      <c r="B62" s="19" t="s">
        <v>150</v>
      </c>
      <c r="C62" s="19" t="s">
        <v>115</v>
      </c>
      <c r="D62" s="19">
        <f>7.84*Appliances!$C$5+219.1</f>
        <v>219.1</v>
      </c>
    </row>
    <row r="63" spans="1:4" ht="25.5" x14ac:dyDescent="0.2">
      <c r="A63" s="19" t="str">
        <f t="shared" si="5"/>
        <v>September 15, 2014 and afterCompact refrigerator-freezers—partial automatic defrost</v>
      </c>
      <c r="B63" s="19" t="s">
        <v>151</v>
      </c>
      <c r="C63" s="19" t="s">
        <v>116</v>
      </c>
      <c r="D63" s="19">
        <f>5.91*Appliances!$C$5+335.8</f>
        <v>335.8</v>
      </c>
    </row>
    <row r="64" spans="1:4" ht="38.25" x14ac:dyDescent="0.2">
      <c r="A64" s="19" t="str">
        <f t="shared" si="5"/>
        <v>September 15, 2014 and afterCompact refrigerator-freezers—automatic defrost with top-mounted freezer</v>
      </c>
      <c r="B64" s="19" t="s">
        <v>152</v>
      </c>
      <c r="C64" s="19" t="s">
        <v>117</v>
      </c>
      <c r="D64" s="19">
        <f>11.8*Appliances!$C$5+339.2</f>
        <v>339.2</v>
      </c>
    </row>
    <row r="65" spans="1:4" ht="38.25" x14ac:dyDescent="0.2">
      <c r="A65" s="19" t="str">
        <f t="shared" si="5"/>
        <v>September 15, 2014 and afterCompact refrigerator-freezers—automatic defrost with top-mounted freezer with an automatic icemaker</v>
      </c>
      <c r="B65" s="19" t="s">
        <v>153</v>
      </c>
      <c r="C65" s="19" t="s">
        <v>118</v>
      </c>
      <c r="D65" s="19">
        <f>11.8*Appliances!$C$5+423.2</f>
        <v>423.2</v>
      </c>
    </row>
    <row r="66" spans="1:4" ht="25.5" x14ac:dyDescent="0.2">
      <c r="A66" s="19" t="str">
        <f t="shared" si="5"/>
        <v>September 15, 2014 and afterCompact all-refrigerators—automatic defrost</v>
      </c>
      <c r="B66" s="19" t="s">
        <v>154</v>
      </c>
      <c r="C66" s="19" t="s">
        <v>119</v>
      </c>
      <c r="D66" s="19">
        <f>9.17*Appliances!$C$5+259.3</f>
        <v>259.3</v>
      </c>
    </row>
    <row r="67" spans="1:4" ht="38.25" x14ac:dyDescent="0.2">
      <c r="A67" s="19" t="str">
        <f t="shared" si="5"/>
        <v>September 15, 2014 and afterCompact refrigerator-freezers—automatic defrost with side-mounted freezer</v>
      </c>
      <c r="B67" s="19" t="s">
        <v>41</v>
      </c>
      <c r="C67" s="19" t="s">
        <v>120</v>
      </c>
      <c r="D67" s="19">
        <f>6.82*Appliances!$C$5+456.9</f>
        <v>456.9</v>
      </c>
    </row>
    <row r="68" spans="1:4" ht="38.25" x14ac:dyDescent="0.2">
      <c r="A68" s="19" t="str">
        <f t="shared" si="5"/>
        <v>September 15, 2014 and afterCompact refrigerator-freezers—automatic defrost with side-mounted freezer with an automatic icemaker</v>
      </c>
      <c r="B68" s="19" t="s">
        <v>155</v>
      </c>
      <c r="C68" s="19" t="s">
        <v>121</v>
      </c>
      <c r="D68" s="19">
        <f>6.82*Appliances!$C$5+540.9</f>
        <v>540.9</v>
      </c>
    </row>
    <row r="69" spans="1:4" ht="38.25" x14ac:dyDescent="0.2">
      <c r="A69" s="19" t="str">
        <f t="shared" si="5"/>
        <v>September 15, 2014 and afterCompact refrigerator-freezers—automatic defrost with bottom-mounted freezer</v>
      </c>
      <c r="B69" s="19" t="s">
        <v>42</v>
      </c>
      <c r="C69" s="19" t="s">
        <v>117</v>
      </c>
      <c r="D69" s="19">
        <f>11.8*Appliances!$C$5+339.2</f>
        <v>339.2</v>
      </c>
    </row>
    <row r="70" spans="1:4" ht="51" x14ac:dyDescent="0.2">
      <c r="A70" s="19" t="str">
        <f t="shared" si="5"/>
        <v>September 15, 2014 and afterCompact refrigerator-freezers—automatic defrost with bottom-mounted freezer with an automatic icemaker</v>
      </c>
      <c r="B70" s="19" t="s">
        <v>156</v>
      </c>
      <c r="C70" s="19" t="s">
        <v>118</v>
      </c>
      <c r="D70" s="19">
        <f>11.8*Appliances!$C$5+423.2</f>
        <v>423.2</v>
      </c>
    </row>
    <row r="71" spans="1:4" ht="25.5" x14ac:dyDescent="0.2">
      <c r="A71" s="19" t="str">
        <f t="shared" si="5"/>
        <v>September 15, 2014 and afterCompact upright freezers with manual defrost</v>
      </c>
      <c r="B71" s="19" t="s">
        <v>43</v>
      </c>
      <c r="C71" s="19" t="s">
        <v>122</v>
      </c>
      <c r="D71" s="19">
        <f>8.65*Appliances!$C$5+225.7</f>
        <v>225.7</v>
      </c>
    </row>
    <row r="72" spans="1:4" ht="25.5" x14ac:dyDescent="0.2">
      <c r="A72" s="19" t="str">
        <f t="shared" si="5"/>
        <v>September 15, 2014 and afterCompact upright freezers with automatic defrost</v>
      </c>
      <c r="B72" s="19" t="s">
        <v>44</v>
      </c>
      <c r="C72" s="19" t="s">
        <v>123</v>
      </c>
      <c r="D72" s="19">
        <f>10.17*Appliances!$C$5+351.9</f>
        <v>351.9</v>
      </c>
    </row>
    <row r="73" spans="1:4" ht="25.5" x14ac:dyDescent="0.2">
      <c r="A73" s="19" t="str">
        <f t="shared" si="5"/>
        <v>September 15, 2014 and afterCompact chest freezers</v>
      </c>
      <c r="B73" s="19" t="s">
        <v>45</v>
      </c>
      <c r="C73" s="19" t="s">
        <v>124</v>
      </c>
      <c r="D73" s="19">
        <f>9.25*Appliances!$C$5+136.8</f>
        <v>136.80000000000001</v>
      </c>
    </row>
  </sheetData>
  <sortState xmlns:xlrd2="http://schemas.microsoft.com/office/spreadsheetml/2017/richdata2" ref="AZ10:AZ21">
    <sortCondition ref="AZ21"/>
  </sortState>
  <mergeCells count="2">
    <mergeCell ref="B8:B9"/>
    <mergeCell ref="B30:B31"/>
  </mergeCells>
  <phoneticPr fontId="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Appliances</vt:lpstr>
      <vt:lpstr>Low-Flow Fixtures</vt:lpstr>
      <vt:lpstr>Lighting</vt:lpstr>
      <vt:lpstr>Cooling</vt:lpstr>
      <vt:lpstr>Lookups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Spazzarini</dc:creator>
  <cp:lastModifiedBy>Brian Cabezas</cp:lastModifiedBy>
  <dcterms:created xsi:type="dcterms:W3CDTF">2020-05-15T14:25:22Z</dcterms:created>
  <dcterms:modified xsi:type="dcterms:W3CDTF">2020-06-26T22:04:28Z</dcterms:modified>
</cp:coreProperties>
</file>