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defaultThemeVersion="124226"/>
  <mc:AlternateContent xmlns:mc="http://schemas.openxmlformats.org/markup-compatibility/2006">
    <mc:Choice Requires="x15">
      <x15ac:absPath xmlns:x15ac="http://schemas.microsoft.com/office/spreadsheetml/2010/11/ac" url="C:\Users\sbeaulieu\Documents\MF NCP\MoPP\"/>
    </mc:Choice>
  </mc:AlternateContent>
  <xr:revisionPtr revIDLastSave="0" documentId="13_ncr:1_{B77FB5B6-9BE0-4706-9CF4-D152912FEF73}" xr6:coauthVersionLast="36" xr6:coauthVersionMax="36" xr10:uidLastSave="{00000000-0000-0000-0000-000000000000}"/>
  <bookViews>
    <workbookView xWindow="0" yWindow="0" windowWidth="28800" windowHeight="11625" xr2:uid="{4051809B-03B7-4C03-BC1E-BE980D208FF8}"/>
  </bookViews>
  <sheets>
    <sheet name="Instructions" sheetId="51" r:id="rId1"/>
    <sheet name="Version History" sheetId="78" state="hidden" r:id="rId2"/>
    <sheet name="Prescriptive Path" sheetId="14" r:id="rId3"/>
    <sheet name="Baseline" sheetId="13" state="hidden" r:id="rId4"/>
    <sheet name="Proposed" sheetId="3" state="hidden" r:id="rId5"/>
    <sheet name="ClimateZoneLookup" sheetId="15" state="hidden" r:id="rId6"/>
    <sheet name="Gut Rehab Envelope" sheetId="50" state="hidden" r:id="rId7"/>
    <sheet name="Savings" sheetId="18" r:id="rId8"/>
    <sheet name="Prescriptive Tables 1, 2 &amp;  (2" sheetId="57" state="hidden" r:id="rId9"/>
    <sheet name="Prescriptive Tables 1, 2 &amp; 3" sheetId="29" state="hidden" r:id="rId10"/>
  </sheets>
  <externalReferences>
    <externalReference r:id="rId11"/>
  </externalReferences>
  <definedNames>
    <definedName name="_xlnm._FilterDatabase" localSheetId="8" hidden="1">'Prescriptive Tables 1, 2 &amp;  (2'!#REF!</definedName>
    <definedName name="AvoidCostTable">#REF!</definedName>
    <definedName name="counties">ClimateZoneLookup!$A$4:$A$65</definedName>
    <definedName name="EEPS_Funding">ClimateZoneLookup!$BA$14:$BA$15</definedName>
    <definedName name="ElecUtility">'Prescriptive Path'!$D$5</definedName>
    <definedName name="FanType">ClimateZoneLookup!$BI$4:$BI$8</definedName>
    <definedName name="Floors">'[1]MeasureQC Calcs'!$B$53</definedName>
    <definedName name="Funding_Source_Code">ClimateZoneLookup!$BA$14:$BA$15</definedName>
    <definedName name="GasList">ClimateZoneLookup!$BD$4:$BD$8</definedName>
    <definedName name="GasUtility">'Prescriptive Path'!$D$6</definedName>
    <definedName name="Location">'[1]MeasureQC Calcs'!$B$52</definedName>
    <definedName name="MeasureList">'[1]MeasureQC Calcs'!$A$6:$A$46</definedName>
    <definedName name="MeasureQCdata">'[1]MeasureQC Calcs'!$A$6:$AZ$45</definedName>
    <definedName name="_xlnm.Print_Area" localSheetId="8">'Prescriptive Tables 1, 2 &amp;  (2'!$A$2:$W$71</definedName>
    <definedName name="Rise">'[1]MeasureQC Calcs'!$B$54</definedName>
    <definedName name="RoofRValue">ClimateZoneLookup!$BO$4:$BO$10</definedName>
    <definedName name="SqFt">'[1]MeasureQC Calcs'!$B$55</definedName>
    <definedName name="Utilities">ClimateZoneLookup!$BA$4:$BA$9</definedName>
    <definedName name="WallRValue">ClimateZoneLookup!$BN$4:$BN$10</definedName>
    <definedName name="WindowType">ClimateZoneLookup!$BP$4:$BP$8</definedName>
    <definedName name="YesNo">ClimateZoneLookup!$BG$4:$BG$6</definedName>
    <definedName name="YN">ClimateZoneLookup!$BG$4:$BG$6</definedName>
    <definedName name="Z_64EBBD8A_4566_42FC_86CE_DB7AB51EA8C6_.wvu.Cols" localSheetId="8" hidden="1">'Prescriptive Tables 1, 2 &amp;  (2'!#REF!,'Prescriptive Tables 1, 2 &amp;  (2'!$F:$M</definedName>
    <definedName name="Z_64EBBD8A_4566_42FC_86CE_DB7AB51EA8C6_.wvu.PrintArea" localSheetId="8" hidden="1">'Prescriptive Tables 1, 2 &amp;  (2'!#REF!</definedName>
    <definedName name="Z_F9A20F36_B02B_42EA_9527_78282515A3BC_.wvu.Cols" localSheetId="8" hidden="1">'Prescriptive Tables 1, 2 &amp;  (2'!#REF!,'Prescriptive Tables 1, 2 &amp;  (2'!$F:$M</definedName>
    <definedName name="Z_F9A20F36_B02B_42EA_9527_78282515A3BC_.wvu.FilterData" localSheetId="8" hidden="1">'Prescriptive Tables 1, 2 &amp;  (2'!#REF!</definedName>
    <definedName name="Z_F9A20F36_B02B_42EA_9527_78282515A3BC_.wvu.PrintArea" localSheetId="8" hidden="1">'Prescriptive Tables 1, 2 &amp;  (2'!#REF!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6" i="3" l="1"/>
  <c r="D56" i="3"/>
  <c r="C44" i="18"/>
  <c r="F9" i="18"/>
  <c r="C8" i="18"/>
  <c r="L8" i="18" s="1"/>
  <c r="F7" i="18"/>
  <c r="L7" i="18" s="1"/>
  <c r="D82" i="3"/>
  <c r="C5" i="18" l="1"/>
  <c r="F87" i="3" l="1"/>
  <c r="G87" i="3"/>
  <c r="I54" i="13"/>
  <c r="I53" i="13"/>
  <c r="I52" i="13"/>
  <c r="I51" i="13"/>
  <c r="I50" i="13"/>
  <c r="J48" i="3"/>
  <c r="I48" i="13"/>
  <c r="I47" i="13"/>
  <c r="I46" i="13"/>
  <c r="I45" i="13"/>
  <c r="H53" i="13"/>
  <c r="H52" i="13"/>
  <c r="H51" i="13"/>
  <c r="H43" i="13"/>
  <c r="H42" i="13"/>
  <c r="H41" i="13"/>
  <c r="E50" i="13"/>
  <c r="H50" i="13" s="1"/>
  <c r="E36" i="18"/>
  <c r="O36" i="18" s="1"/>
  <c r="D54" i="14"/>
  <c r="E56" i="13" l="1"/>
  <c r="H56" i="13" s="1"/>
  <c r="E56" i="3"/>
  <c r="E50" i="3"/>
  <c r="F56" i="13"/>
  <c r="I56" i="13" s="1"/>
  <c r="D81" i="13" s="1"/>
  <c r="M50" i="13"/>
  <c r="Q50" i="13" s="1"/>
  <c r="D59" i="14"/>
  <c r="D60" i="14"/>
  <c r="D58" i="14"/>
  <c r="D49" i="14"/>
  <c r="D50" i="14"/>
  <c r="D48" i="14"/>
  <c r="I50" i="3" l="1"/>
  <c r="J50" i="3"/>
  <c r="I51" i="3"/>
  <c r="E75" i="3" l="1"/>
  <c r="E76" i="13"/>
  <c r="E52" i="18"/>
  <c r="D52" i="18"/>
  <c r="AY5" i="15"/>
  <c r="AY6" i="15"/>
  <c r="AY8" i="15"/>
  <c r="AY9" i="15"/>
  <c r="AY10" i="15"/>
  <c r="AY11" i="15"/>
  <c r="AY12" i="15"/>
  <c r="AY13" i="15"/>
  <c r="AY14" i="15"/>
  <c r="AY15" i="15"/>
  <c r="AY16" i="15"/>
  <c r="AY19" i="15"/>
  <c r="AY20" i="15"/>
  <c r="AY21" i="15"/>
  <c r="AY22" i="15"/>
  <c r="AY23" i="15"/>
  <c r="AY24" i="15"/>
  <c r="AY25" i="15"/>
  <c r="AY26" i="15"/>
  <c r="AY27" i="15"/>
  <c r="AY28" i="15"/>
  <c r="AY29" i="15"/>
  <c r="AY30" i="15"/>
  <c r="AY31" i="15"/>
  <c r="AY32" i="15"/>
  <c r="AY33" i="15"/>
  <c r="AY35" i="15"/>
  <c r="AY36" i="15"/>
  <c r="AY38" i="15"/>
  <c r="AY39" i="15"/>
  <c r="AY40" i="15"/>
  <c r="AY41" i="15"/>
  <c r="AY42" i="15"/>
  <c r="AY43" i="15"/>
  <c r="AY44" i="15"/>
  <c r="AY45" i="15"/>
  <c r="AY46" i="15"/>
  <c r="AY47" i="15"/>
  <c r="AY49" i="15"/>
  <c r="AY50" i="15"/>
  <c r="AY51" i="15"/>
  <c r="AY52" i="15"/>
  <c r="AY53" i="15"/>
  <c r="AY54" i="15"/>
  <c r="AY55" i="15"/>
  <c r="AY56" i="15"/>
  <c r="AY57" i="15"/>
  <c r="AY58" i="15"/>
  <c r="AY59" i="15"/>
  <c r="AY60" i="15"/>
  <c r="AY61" i="15"/>
  <c r="AY62" i="15"/>
  <c r="AY63" i="15"/>
  <c r="AY64" i="15"/>
  <c r="AY65" i="15"/>
  <c r="AX9" i="15"/>
  <c r="AX10" i="15"/>
  <c r="AX11" i="15"/>
  <c r="AX12" i="15"/>
  <c r="AX13" i="15"/>
  <c r="AX14" i="15"/>
  <c r="AX15" i="15"/>
  <c r="AX16" i="15"/>
  <c r="AX6" i="15"/>
  <c r="AX21" i="15"/>
  <c r="AX23" i="15"/>
  <c r="AX25" i="15"/>
  <c r="AX32" i="15"/>
  <c r="AX45" i="15"/>
  <c r="AX49" i="15"/>
  <c r="AX50" i="15"/>
  <c r="AX51" i="15"/>
  <c r="AX60" i="15"/>
  <c r="AX61" i="15"/>
  <c r="C47" i="18"/>
  <c r="L47" i="18"/>
  <c r="L46" i="18"/>
  <c r="C46" i="18"/>
  <c r="L45" i="18"/>
  <c r="C45" i="18"/>
  <c r="E45" i="18" s="1"/>
  <c r="O56" i="13"/>
  <c r="K56" i="13"/>
  <c r="N56" i="13"/>
  <c r="J56" i="13"/>
  <c r="D56" i="13"/>
  <c r="E42" i="18" l="1"/>
  <c r="C41" i="18"/>
  <c r="C40" i="18"/>
  <c r="C39" i="18"/>
  <c r="L41" i="18"/>
  <c r="L40" i="18"/>
  <c r="L39" i="18"/>
  <c r="L38" i="18"/>
  <c r="L33" i="18"/>
  <c r="L32" i="18"/>
  <c r="L31" i="18"/>
  <c r="W12" i="3"/>
  <c r="V12" i="3"/>
  <c r="V11" i="3"/>
  <c r="C10" i="18" l="1"/>
  <c r="F5" i="18" l="1"/>
  <c r="L5" i="18"/>
  <c r="F4" i="18"/>
  <c r="C4" i="18"/>
  <c r="L4" i="18" s="1"/>
  <c r="L2" i="18"/>
  <c r="E2" i="18"/>
  <c r="C2" i="18"/>
  <c r="M56" i="3" l="1"/>
  <c r="R56" i="3" s="1"/>
  <c r="I56" i="3"/>
  <c r="O47" i="3"/>
  <c r="T47" i="3" s="1"/>
  <c r="T46" i="3"/>
  <c r="O42" i="3"/>
  <c r="T42" i="3" s="1"/>
  <c r="O43" i="3"/>
  <c r="T43" i="3" s="1"/>
  <c r="O41" i="3"/>
  <c r="T41" i="3" s="1"/>
  <c r="E39" i="3"/>
  <c r="L39" i="3" s="1"/>
  <c r="Q39" i="3" s="1"/>
  <c r="E38" i="3"/>
  <c r="I38" i="3" s="1"/>
  <c r="K54" i="3"/>
  <c r="P54" i="3" s="1"/>
  <c r="K55" i="3"/>
  <c r="P55" i="3" s="1"/>
  <c r="M51" i="3"/>
  <c r="R51" i="3" s="1"/>
  <c r="M52" i="3"/>
  <c r="R52" i="3" s="1"/>
  <c r="M53" i="3"/>
  <c r="R53" i="3" s="1"/>
  <c r="L50" i="3"/>
  <c r="Q50" i="3" s="1"/>
  <c r="L51" i="3"/>
  <c r="Q51" i="3" s="1"/>
  <c r="L52" i="3"/>
  <c r="Q52" i="3" s="1"/>
  <c r="L53" i="3"/>
  <c r="Q53" i="3" s="1"/>
  <c r="K46" i="3"/>
  <c r="P46" i="3" s="1"/>
  <c r="K47" i="3"/>
  <c r="P47" i="3" s="1"/>
  <c r="K45" i="3"/>
  <c r="P45" i="3" s="1"/>
  <c r="L41" i="3"/>
  <c r="Q41" i="3" s="1"/>
  <c r="L42" i="3"/>
  <c r="Q42" i="3" s="1"/>
  <c r="L43" i="3"/>
  <c r="Q43" i="3" s="1"/>
  <c r="E37" i="3"/>
  <c r="I37" i="3" s="1"/>
  <c r="O76" i="13"/>
  <c r="K76" i="13"/>
  <c r="P74" i="3"/>
  <c r="K74" i="3"/>
  <c r="D74" i="3"/>
  <c r="Q75" i="3"/>
  <c r="L75" i="3"/>
  <c r="K56" i="3" l="1"/>
  <c r="P56" i="3" s="1"/>
  <c r="J56" i="3"/>
  <c r="D88" i="3" s="1"/>
  <c r="E40" i="3"/>
  <c r="L40" i="3" s="1"/>
  <c r="Q40" i="3" s="1"/>
  <c r="L56" i="3"/>
  <c r="Q56" i="3" s="1"/>
  <c r="L44" i="18"/>
  <c r="M14" i="3"/>
  <c r="R14" i="3" s="1"/>
  <c r="K14" i="3"/>
  <c r="P14" i="3" s="1"/>
  <c r="N9" i="13"/>
  <c r="J9" i="13"/>
  <c r="D9" i="13"/>
  <c r="N8" i="13"/>
  <c r="J8" i="13"/>
  <c r="D8" i="13"/>
  <c r="D44" i="18" l="1"/>
  <c r="Q55" i="13"/>
  <c r="O55" i="13"/>
  <c r="M55" i="13"/>
  <c r="K55" i="13"/>
  <c r="G55" i="13"/>
  <c r="F55" i="13"/>
  <c r="I55" i="13" s="1"/>
  <c r="O50" i="13"/>
  <c r="N50" i="13"/>
  <c r="K50" i="13"/>
  <c r="O49" i="13"/>
  <c r="K49" i="13"/>
  <c r="E49" i="13"/>
  <c r="H49" i="13" s="1"/>
  <c r="R55" i="13" l="1"/>
  <c r="E43" i="18"/>
  <c r="N19" i="13"/>
  <c r="L4" i="14" l="1"/>
  <c r="N36" i="18" s="1"/>
  <c r="P36" i="18" s="1"/>
  <c r="L38" i="3" l="1"/>
  <c r="Q38" i="3" s="1"/>
  <c r="E38" i="13"/>
  <c r="H38" i="13" s="1"/>
  <c r="L37" i="3"/>
  <c r="Q37" i="3" s="1"/>
  <c r="E37" i="13"/>
  <c r="H37" i="13" s="1"/>
  <c r="Q38" i="13"/>
  <c r="M38" i="13"/>
  <c r="G38" i="13"/>
  <c r="D79" i="13" l="1"/>
  <c r="K38" i="13"/>
  <c r="O38" i="13" s="1"/>
  <c r="R38" i="13" s="1"/>
  <c r="L28" i="18"/>
  <c r="D28" i="18"/>
  <c r="K37" i="13"/>
  <c r="D27" i="18"/>
  <c r="N27" i="18" s="1"/>
  <c r="L27" i="18"/>
  <c r="AW5" i="15"/>
  <c r="AW6" i="15"/>
  <c r="AW7" i="15"/>
  <c r="AW8" i="15"/>
  <c r="AW9" i="15"/>
  <c r="AW10" i="15"/>
  <c r="AW11" i="15"/>
  <c r="AW12" i="15"/>
  <c r="AW13" i="15"/>
  <c r="AW14" i="15"/>
  <c r="AW15" i="15"/>
  <c r="AW16" i="15"/>
  <c r="AW17" i="15"/>
  <c r="AW18" i="15"/>
  <c r="AW19" i="15"/>
  <c r="AW20" i="15"/>
  <c r="AW21" i="15"/>
  <c r="AW22" i="15"/>
  <c r="AW23" i="15"/>
  <c r="AW24" i="15"/>
  <c r="AW25" i="15"/>
  <c r="AW26" i="15"/>
  <c r="AW27" i="15"/>
  <c r="AW28" i="15"/>
  <c r="AW29" i="15"/>
  <c r="AW30" i="15"/>
  <c r="AW31" i="15"/>
  <c r="AW32" i="15"/>
  <c r="AW33" i="15"/>
  <c r="AW34" i="15"/>
  <c r="AW35" i="15"/>
  <c r="AW36" i="15"/>
  <c r="AW37" i="15"/>
  <c r="AW38" i="15"/>
  <c r="AW39" i="15"/>
  <c r="AW40" i="15"/>
  <c r="AW41" i="15"/>
  <c r="AW42" i="15"/>
  <c r="AW43" i="15"/>
  <c r="AW44" i="15"/>
  <c r="AW45" i="15"/>
  <c r="AW46" i="15"/>
  <c r="AW47" i="15"/>
  <c r="AW48" i="15"/>
  <c r="AW49" i="15"/>
  <c r="AW50" i="15"/>
  <c r="AW51" i="15"/>
  <c r="AW52" i="15"/>
  <c r="AW53" i="15"/>
  <c r="AW54" i="15"/>
  <c r="AW55" i="15"/>
  <c r="AW56" i="15"/>
  <c r="AW57" i="15"/>
  <c r="AW58" i="15"/>
  <c r="AW59" i="15"/>
  <c r="AW60" i="15"/>
  <c r="AW61" i="15"/>
  <c r="AW62" i="15"/>
  <c r="AW63" i="15"/>
  <c r="AW64" i="15"/>
  <c r="AW65" i="15"/>
  <c r="AW4" i="15"/>
  <c r="T56" i="13" s="1"/>
  <c r="AV5" i="15"/>
  <c r="AV6" i="15"/>
  <c r="AV7" i="15"/>
  <c r="AV8" i="15"/>
  <c r="AV9" i="15"/>
  <c r="AV10" i="15"/>
  <c r="AV11" i="15"/>
  <c r="AV12" i="15"/>
  <c r="AV13" i="15"/>
  <c r="AV14" i="15"/>
  <c r="AV15" i="15"/>
  <c r="AV16" i="15"/>
  <c r="AV17" i="15"/>
  <c r="AV18" i="15"/>
  <c r="AV19" i="15"/>
  <c r="AV20" i="15"/>
  <c r="AV21" i="15"/>
  <c r="AV22" i="15"/>
  <c r="AV23" i="15"/>
  <c r="AV24" i="15"/>
  <c r="AV25" i="15"/>
  <c r="AV26" i="15"/>
  <c r="AV27" i="15"/>
  <c r="AV28" i="15"/>
  <c r="AV29" i="15"/>
  <c r="AV30" i="15"/>
  <c r="AV31" i="15"/>
  <c r="AV32" i="15"/>
  <c r="AV33" i="15"/>
  <c r="AV34" i="15"/>
  <c r="AV35" i="15"/>
  <c r="AV36" i="15"/>
  <c r="AV37" i="15"/>
  <c r="AV38" i="15"/>
  <c r="AV39" i="15"/>
  <c r="AV40" i="15"/>
  <c r="AV41" i="15"/>
  <c r="AV42" i="15"/>
  <c r="AV43" i="15"/>
  <c r="AV44" i="15"/>
  <c r="AV45" i="15"/>
  <c r="AV46" i="15"/>
  <c r="AV47" i="15"/>
  <c r="AV48" i="15"/>
  <c r="AV49" i="15"/>
  <c r="AV50" i="15"/>
  <c r="AV51" i="15"/>
  <c r="AV52" i="15"/>
  <c r="AV53" i="15"/>
  <c r="AV54" i="15"/>
  <c r="AV55" i="15"/>
  <c r="AV56" i="15"/>
  <c r="AV57" i="15"/>
  <c r="AV58" i="15"/>
  <c r="AV59" i="15"/>
  <c r="AV60" i="15"/>
  <c r="AV61" i="15"/>
  <c r="AV62" i="15"/>
  <c r="AV63" i="15"/>
  <c r="AV64" i="15"/>
  <c r="AV65" i="15"/>
  <c r="AV4" i="15"/>
  <c r="S56" i="13" s="1"/>
  <c r="O37" i="13" l="1"/>
  <c r="E49" i="3"/>
  <c r="I49" i="3" s="1"/>
  <c r="D86" i="3" s="1"/>
  <c r="O49" i="3"/>
  <c r="T49" i="3" s="1"/>
  <c r="L49" i="3" l="1"/>
  <c r="L37" i="18"/>
  <c r="D37" i="18"/>
  <c r="Q49" i="3"/>
  <c r="K1" i="14" l="1"/>
  <c r="U50" i="3" l="1"/>
  <c r="C38" i="18" s="1"/>
  <c r="R48" i="13"/>
  <c r="A2" i="14"/>
  <c r="R9" i="13"/>
  <c r="D11" i="14"/>
  <c r="D44" i="57" l="1"/>
  <c r="C4" i="57"/>
  <c r="C44" i="57"/>
  <c r="D46" i="57" l="1"/>
  <c r="D52" i="57"/>
  <c r="D60" i="57"/>
  <c r="D50" i="57"/>
  <c r="D67" i="57"/>
  <c r="D55" i="57"/>
  <c r="D63" i="57"/>
  <c r="D62" i="57"/>
  <c r="D51" i="57"/>
  <c r="D70" i="57"/>
  <c r="D71" i="57"/>
  <c r="D59" i="57"/>
  <c r="D48" i="57"/>
  <c r="D58" i="57"/>
  <c r="D69" i="57"/>
  <c r="D56" i="57"/>
  <c r="D47" i="57"/>
  <c r="D65" i="57"/>
  <c r="D53" i="57"/>
  <c r="C50" i="57"/>
  <c r="C56" i="57"/>
  <c r="C65" i="57"/>
  <c r="C70" i="57"/>
  <c r="C46" i="57"/>
  <c r="C53" i="57"/>
  <c r="C58" i="57"/>
  <c r="C62" i="57"/>
  <c r="C67" i="57"/>
  <c r="C71" i="57"/>
  <c r="C47" i="57"/>
  <c r="C51" i="57"/>
  <c r="C55" i="57"/>
  <c r="C59" i="57"/>
  <c r="C63" i="57"/>
  <c r="C48" i="57"/>
  <c r="C52" i="57"/>
  <c r="C60" i="57"/>
  <c r="C69" i="57"/>
  <c r="C8" i="57"/>
  <c r="C36" i="57"/>
  <c r="C20" i="57"/>
  <c r="C16" i="57"/>
  <c r="C28" i="57"/>
  <c r="C9" i="57"/>
  <c r="C25" i="57"/>
  <c r="C6" i="57"/>
  <c r="C22" i="57"/>
  <c r="C7" i="57"/>
  <c r="C23" i="57"/>
  <c r="C12" i="57"/>
  <c r="C13" i="57"/>
  <c r="C29" i="57"/>
  <c r="C10" i="57"/>
  <c r="C26" i="57"/>
  <c r="C11" i="57"/>
  <c r="C27" i="57"/>
  <c r="C24" i="57"/>
  <c r="C17" i="57"/>
  <c r="C33" i="57"/>
  <c r="C14" i="57"/>
  <c r="C30" i="57"/>
  <c r="C15" i="57"/>
  <c r="C31" i="57"/>
  <c r="C32" i="57"/>
  <c r="C5" i="57"/>
  <c r="C21" i="57"/>
  <c r="C37" i="57"/>
  <c r="C18" i="57"/>
  <c r="C34" i="57"/>
  <c r="C19" i="57"/>
  <c r="C35" i="57"/>
  <c r="I52" i="3"/>
  <c r="I53" i="3"/>
  <c r="M5" i="18" l="1"/>
  <c r="J55" i="3" l="1"/>
  <c r="J54" i="3"/>
  <c r="J51" i="3"/>
  <c r="J52" i="3"/>
  <c r="J53" i="3"/>
  <c r="J47" i="3"/>
  <c r="J46" i="3"/>
  <c r="J45" i="3"/>
  <c r="D30" i="50" l="1"/>
  <c r="E30" i="50" s="1"/>
  <c r="D28" i="50"/>
  <c r="E28" i="50" s="1"/>
  <c r="D29" i="50"/>
  <c r="E29" i="50" s="1"/>
  <c r="D27" i="50"/>
  <c r="E27" i="50" s="1"/>
  <c r="D26" i="50"/>
  <c r="J9" i="14"/>
  <c r="D24" i="50"/>
  <c r="G24" i="50" s="1"/>
  <c r="D23" i="50"/>
  <c r="D22" i="50"/>
  <c r="F22" i="50" s="1"/>
  <c r="D16" i="50"/>
  <c r="D17" i="50"/>
  <c r="D18" i="50"/>
  <c r="H18" i="50" s="1"/>
  <c r="D19" i="50"/>
  <c r="H19" i="50" s="1"/>
  <c r="D20" i="50"/>
  <c r="H20" i="50" s="1"/>
  <c r="D21" i="50"/>
  <c r="G21" i="50" s="1"/>
  <c r="D15" i="50"/>
  <c r="B12" i="50"/>
  <c r="G19" i="50" s="1"/>
  <c r="E20" i="18" l="1"/>
  <c r="E21" i="18"/>
  <c r="E26" i="50"/>
  <c r="G23" i="50"/>
  <c r="H24" i="50"/>
  <c r="H22" i="50"/>
  <c r="F23" i="50"/>
  <c r="H21" i="50"/>
  <c r="F21" i="50"/>
  <c r="G20" i="50"/>
  <c r="F20" i="50"/>
  <c r="F19" i="50"/>
  <c r="G22" i="50"/>
  <c r="F24" i="50"/>
  <c r="F18" i="50"/>
  <c r="G18" i="50"/>
  <c r="H23" i="50"/>
  <c r="G17" i="50"/>
  <c r="H17" i="50"/>
  <c r="F17" i="50"/>
  <c r="H15" i="50"/>
  <c r="H16" i="50"/>
  <c r="G16" i="50"/>
  <c r="F16" i="50"/>
  <c r="G15" i="50"/>
  <c r="F15" i="50"/>
  <c r="M10" i="18" l="1"/>
  <c r="D71" i="29" l="1"/>
  <c r="C71" i="29"/>
  <c r="D70" i="29"/>
  <c r="C70" i="29"/>
  <c r="D69" i="29"/>
  <c r="C69" i="29"/>
  <c r="D67" i="29"/>
  <c r="C67" i="29"/>
  <c r="D65" i="29"/>
  <c r="C65" i="29"/>
  <c r="D63" i="29"/>
  <c r="C63" i="29"/>
  <c r="D62" i="29"/>
  <c r="C62" i="29"/>
  <c r="D60" i="29"/>
  <c r="C60" i="29"/>
  <c r="D59" i="29"/>
  <c r="C59" i="29"/>
  <c r="D58" i="29"/>
  <c r="C58" i="29"/>
  <c r="D56" i="29"/>
  <c r="C56" i="29"/>
  <c r="D55" i="29"/>
  <c r="C55" i="29"/>
  <c r="D53" i="29"/>
  <c r="C53" i="29"/>
  <c r="D52" i="29"/>
  <c r="C52" i="29"/>
  <c r="D51" i="29"/>
  <c r="C51" i="29"/>
  <c r="D50" i="29"/>
  <c r="C50" i="29"/>
  <c r="D48" i="29"/>
  <c r="C48" i="29"/>
  <c r="D47" i="29"/>
  <c r="C47" i="29"/>
  <c r="D46" i="29"/>
  <c r="C46" i="29"/>
  <c r="J22" i="14"/>
  <c r="N75" i="13" l="1"/>
  <c r="J75" i="13"/>
  <c r="D75" i="13"/>
  <c r="C48" i="18" l="1"/>
  <c r="N48" i="18" s="1"/>
  <c r="O48" i="18" l="1"/>
  <c r="P48" i="18"/>
  <c r="L48" i="18"/>
  <c r="C6" i="18" l="1"/>
  <c r="N6" i="18" s="1"/>
  <c r="O6" i="18" l="1"/>
  <c r="L6" i="18"/>
  <c r="P6" i="18" l="1"/>
  <c r="D80" i="13" l="1"/>
  <c r="AT62" i="15" l="1"/>
  <c r="AT58" i="15"/>
  <c r="AT54" i="15"/>
  <c r="AT51" i="15"/>
  <c r="AT50" i="15"/>
  <c r="AT49" i="15"/>
  <c r="AT45" i="15"/>
  <c r="AT42" i="15"/>
  <c r="AT65" i="15"/>
  <c r="AT33" i="15"/>
  <c r="AT30" i="15"/>
  <c r="AT28" i="15"/>
  <c r="AT26" i="15"/>
  <c r="AT25" i="15"/>
  <c r="AT24" i="15"/>
  <c r="AT23" i="15"/>
  <c r="AT21" i="15"/>
  <c r="AT20" i="15"/>
  <c r="AT19" i="15"/>
  <c r="AT29" i="15"/>
  <c r="AT56" i="15"/>
  <c r="AT14" i="15"/>
  <c r="AT13" i="15"/>
  <c r="AT11" i="15"/>
  <c r="AT10" i="15"/>
  <c r="AT9" i="15"/>
  <c r="AT57" i="15"/>
  <c r="AT6" i="15"/>
  <c r="AT61" i="15"/>
  <c r="AT38" i="15" l="1"/>
  <c r="AT46" i="15"/>
  <c r="AT15" i="15"/>
  <c r="AT27" i="15"/>
  <c r="AT31" i="15"/>
  <c r="AT35" i="15"/>
  <c r="AT39" i="15"/>
  <c r="AT43" i="15"/>
  <c r="AT47" i="15"/>
  <c r="AT55" i="15"/>
  <c r="AT59" i="15"/>
  <c r="AT63" i="15"/>
  <c r="AT8" i="15"/>
  <c r="AT12" i="15"/>
  <c r="AT16" i="15"/>
  <c r="AT32" i="15"/>
  <c r="AT36" i="15"/>
  <c r="AT40" i="15"/>
  <c r="AT44" i="15"/>
  <c r="AT52" i="15"/>
  <c r="AT60" i="15"/>
  <c r="AT64" i="15"/>
  <c r="AT22" i="15"/>
  <c r="AT5" i="15"/>
  <c r="AT41" i="15"/>
  <c r="AT53" i="15"/>
  <c r="L50" i="18"/>
  <c r="L49" i="18"/>
  <c r="C50" i="18"/>
  <c r="N50" i="18" s="1"/>
  <c r="C49" i="18"/>
  <c r="N49" i="18" s="1"/>
  <c r="O50" i="18" l="1"/>
  <c r="O49" i="18"/>
  <c r="C4" i="29"/>
  <c r="R31" i="13"/>
  <c r="R42" i="13"/>
  <c r="R46" i="13"/>
  <c r="R43" i="13"/>
  <c r="R47" i="13"/>
  <c r="R44" i="13"/>
  <c r="R54" i="13"/>
  <c r="R41" i="13"/>
  <c r="R45" i="13"/>
  <c r="R10" i="13"/>
  <c r="R34" i="13"/>
  <c r="R28" i="13"/>
  <c r="R33" i="13"/>
  <c r="R32" i="13"/>
  <c r="U31" i="3"/>
  <c r="U34" i="3"/>
  <c r="U28" i="3"/>
  <c r="U33" i="3"/>
  <c r="U32" i="3"/>
  <c r="D61" i="14"/>
  <c r="N46" i="18"/>
  <c r="D52" i="14"/>
  <c r="D57" i="14"/>
  <c r="D25" i="14"/>
  <c r="D24" i="14"/>
  <c r="D20" i="14"/>
  <c r="D19" i="14"/>
  <c r="D18" i="14"/>
  <c r="D16" i="14"/>
  <c r="D17" i="14"/>
  <c r="D12" i="14"/>
  <c r="D13" i="14"/>
  <c r="D14" i="14"/>
  <c r="D10" i="14"/>
  <c r="E22" i="18" l="1"/>
  <c r="O46" i="18"/>
  <c r="C37" i="29"/>
  <c r="C35" i="29"/>
  <c r="C23" i="29"/>
  <c r="C8" i="29"/>
  <c r="C32" i="29"/>
  <c r="C14" i="29"/>
  <c r="C30" i="29"/>
  <c r="C24" i="29"/>
  <c r="C17" i="29"/>
  <c r="C33" i="29"/>
  <c r="C7" i="29"/>
  <c r="C11" i="29"/>
  <c r="C16" i="29"/>
  <c r="C36" i="29"/>
  <c r="C18" i="29"/>
  <c r="C34" i="29"/>
  <c r="C5" i="29"/>
  <c r="C21" i="29"/>
  <c r="C27" i="29"/>
  <c r="C15" i="29"/>
  <c r="C20" i="29"/>
  <c r="C6" i="29"/>
  <c r="C22" i="29"/>
  <c r="C9" i="29"/>
  <c r="C25" i="29"/>
  <c r="C19" i="29"/>
  <c r="C31" i="29"/>
  <c r="C28" i="29"/>
  <c r="C10" i="29"/>
  <c r="C26" i="29"/>
  <c r="C12" i="29"/>
  <c r="C13" i="29"/>
  <c r="C29" i="29"/>
  <c r="N47" i="18"/>
  <c r="B1" i="15"/>
  <c r="C1" i="15" s="1"/>
  <c r="D1" i="15" s="1"/>
  <c r="E1" i="15" s="1"/>
  <c r="F1" i="15" s="1"/>
  <c r="G1" i="15" s="1"/>
  <c r="H1" i="15" s="1"/>
  <c r="I1" i="15" s="1"/>
  <c r="J1" i="15" s="1"/>
  <c r="K1" i="15" s="1"/>
  <c r="L1" i="15" s="1"/>
  <c r="M1" i="15" s="1"/>
  <c r="N1" i="15" s="1"/>
  <c r="O1" i="15" s="1"/>
  <c r="P1" i="15" s="1"/>
  <c r="Q1" i="15" s="1"/>
  <c r="R1" i="15" s="1"/>
  <c r="S1" i="15" s="1"/>
  <c r="T1" i="15" s="1"/>
  <c r="U1" i="15" s="1"/>
  <c r="V1" i="15" s="1"/>
  <c r="W1" i="15" s="1"/>
  <c r="X1" i="15" s="1"/>
  <c r="Y1" i="15" s="1"/>
  <c r="Z1" i="15" s="1"/>
  <c r="AA1" i="15" s="1"/>
  <c r="AB1" i="15" s="1"/>
  <c r="AC1" i="15" s="1"/>
  <c r="AD1" i="15" s="1"/>
  <c r="AE1" i="15" s="1"/>
  <c r="AF1" i="15" s="1"/>
  <c r="AG1" i="15" s="1"/>
  <c r="AH1" i="15" s="1"/>
  <c r="AI1" i="15" s="1"/>
  <c r="AJ1" i="15" s="1"/>
  <c r="AK1" i="15" s="1"/>
  <c r="AL1" i="15" s="1"/>
  <c r="AM1" i="15" s="1"/>
  <c r="AN1" i="15" s="1"/>
  <c r="AO1" i="15" s="1"/>
  <c r="AP1" i="15" s="1"/>
  <c r="AQ1" i="15" s="1"/>
  <c r="AR1" i="15" s="1"/>
  <c r="AS1" i="15" s="1"/>
  <c r="E40" i="13"/>
  <c r="E39" i="13"/>
  <c r="L29" i="18" l="1"/>
  <c r="H39" i="13"/>
  <c r="L30" i="18"/>
  <c r="H40" i="13"/>
  <c r="O47" i="18"/>
  <c r="R39" i="13"/>
  <c r="R40" i="13"/>
  <c r="C3" i="18" l="1"/>
  <c r="M3" i="18"/>
  <c r="N3" i="18" l="1"/>
  <c r="O3" i="18"/>
  <c r="AQ48" i="15"/>
  <c r="AQ26" i="15" s="1"/>
  <c r="AP48" i="15"/>
  <c r="AP20" i="15" s="1"/>
  <c r="AO48" i="15"/>
  <c r="AQ37" i="15"/>
  <c r="AQ62" i="15" s="1"/>
  <c r="AP37" i="15"/>
  <c r="AP52" i="15" s="1"/>
  <c r="AO37" i="15"/>
  <c r="AO41" i="15" s="1"/>
  <c r="AQ34" i="15"/>
  <c r="AP34" i="15"/>
  <c r="AP47" i="15" s="1"/>
  <c r="AO34" i="15"/>
  <c r="AO63" i="15" s="1"/>
  <c r="AQ18" i="15"/>
  <c r="AQ64" i="15" s="1"/>
  <c r="AP18" i="15"/>
  <c r="AO18" i="15"/>
  <c r="AO64" i="15" s="1"/>
  <c r="AQ17" i="15"/>
  <c r="AQ59" i="15" s="1"/>
  <c r="AP17" i="15"/>
  <c r="AP56" i="15" s="1"/>
  <c r="AO17" i="15"/>
  <c r="AO56" i="15" s="1"/>
  <c r="AQ7" i="15"/>
  <c r="AQ58" i="15" s="1"/>
  <c r="AP7" i="15"/>
  <c r="AP58" i="15" s="1"/>
  <c r="AO7" i="15"/>
  <c r="AO58" i="15" s="1"/>
  <c r="AQ4" i="15"/>
  <c r="AP4" i="15"/>
  <c r="AP60" i="15" s="1"/>
  <c r="AO4" i="15"/>
  <c r="AO25" i="15" s="1"/>
  <c r="AQ63" i="15"/>
  <c r="AQ61" i="15"/>
  <c r="AQ60" i="15"/>
  <c r="AQ55" i="15"/>
  <c r="AQ49" i="15"/>
  <c r="AQ47" i="15"/>
  <c r="AQ46" i="15"/>
  <c r="AQ44" i="15"/>
  <c r="AQ33" i="15"/>
  <c r="AQ27" i="15"/>
  <c r="AQ25" i="15"/>
  <c r="AQ21" i="15"/>
  <c r="AQ6" i="15"/>
  <c r="AQ51" i="15"/>
  <c r="AP64" i="15"/>
  <c r="AP40" i="15"/>
  <c r="AP38" i="15"/>
  <c r="AP35" i="15"/>
  <c r="AP31" i="15"/>
  <c r="AP29" i="15"/>
  <c r="AP22" i="15"/>
  <c r="AP10" i="15"/>
  <c r="AP8" i="15"/>
  <c r="AO60" i="15"/>
  <c r="AO59" i="15"/>
  <c r="AO40" i="15"/>
  <c r="AO28" i="15"/>
  <c r="AO26" i="15"/>
  <c r="AO24" i="15"/>
  <c r="AO20" i="15"/>
  <c r="AO19" i="15"/>
  <c r="AO13" i="15"/>
  <c r="E26" i="18" l="1"/>
  <c r="E23" i="18"/>
  <c r="E24" i="18"/>
  <c r="AO12" i="15"/>
  <c r="AO54" i="15"/>
  <c r="AO15" i="15"/>
  <c r="AO57" i="15"/>
  <c r="AP53" i="15"/>
  <c r="AP16" i="15"/>
  <c r="AP62" i="15"/>
  <c r="AQ43" i="15"/>
  <c r="AO21" i="15"/>
  <c r="AO44" i="15"/>
  <c r="AP5" i="15"/>
  <c r="AP41" i="15"/>
  <c r="AQ13" i="15"/>
  <c r="AQ28" i="15"/>
  <c r="AO61" i="15"/>
  <c r="AO46" i="15"/>
  <c r="AP12" i="15"/>
  <c r="AP36" i="15"/>
  <c r="AP42" i="15"/>
  <c r="AP57" i="15"/>
  <c r="AP65" i="15"/>
  <c r="AQ19" i="15"/>
  <c r="AQ56" i="15"/>
  <c r="AO27" i="15"/>
  <c r="AO55" i="15"/>
  <c r="AP11" i="15"/>
  <c r="AP54" i="15"/>
  <c r="AQ24" i="15"/>
  <c r="AO6" i="15"/>
  <c r="AO33" i="15"/>
  <c r="AO47" i="15"/>
  <c r="AP9" i="15"/>
  <c r="AP15" i="15"/>
  <c r="AP30" i="15"/>
  <c r="AQ20" i="15"/>
  <c r="AQ39" i="15"/>
  <c r="AQ65" i="15"/>
  <c r="AP26" i="15"/>
  <c r="AP59" i="15"/>
  <c r="AQ30" i="15"/>
  <c r="AQ41" i="15"/>
  <c r="AP19" i="15"/>
  <c r="AP46" i="15"/>
  <c r="AQ10" i="15"/>
  <c r="AQ36" i="15"/>
  <c r="AQ53" i="15"/>
  <c r="AO10" i="15"/>
  <c r="AO30" i="15"/>
  <c r="AO36" i="15"/>
  <c r="AO62" i="15"/>
  <c r="AP21" i="15"/>
  <c r="AP24" i="15"/>
  <c r="AP28" i="15"/>
  <c r="AP33" i="15"/>
  <c r="AP39" i="15"/>
  <c r="AP43" i="15"/>
  <c r="AP49" i="15"/>
  <c r="AP55" i="15"/>
  <c r="AP61" i="15"/>
  <c r="AP63" i="15"/>
  <c r="AQ5" i="15"/>
  <c r="AQ8" i="15"/>
  <c r="AQ12" i="15"/>
  <c r="AQ15" i="15"/>
  <c r="AQ57" i="15"/>
  <c r="AO5" i="15"/>
  <c r="AO8" i="15"/>
  <c r="AO11" i="15"/>
  <c r="AO16" i="15"/>
  <c r="AO22" i="15"/>
  <c r="AO29" i="15"/>
  <c r="AO31" i="15"/>
  <c r="AO35" i="15"/>
  <c r="AO38" i="15"/>
  <c r="AO42" i="15"/>
  <c r="AO52" i="15"/>
  <c r="AP51" i="15"/>
  <c r="AP6" i="15"/>
  <c r="AP13" i="15"/>
  <c r="AP25" i="15"/>
  <c r="AP27" i="15"/>
  <c r="AP44" i="15"/>
  <c r="AQ9" i="15"/>
  <c r="AQ11" i="15"/>
  <c r="AQ16" i="15"/>
  <c r="AQ22" i="15"/>
  <c r="AQ29" i="15"/>
  <c r="AQ31" i="15"/>
  <c r="AQ35" i="15"/>
  <c r="AQ38" i="15"/>
  <c r="AQ40" i="15"/>
  <c r="AQ42" i="15"/>
  <c r="AQ52" i="15"/>
  <c r="AQ54" i="15"/>
  <c r="AO53" i="15"/>
  <c r="AO65" i="15"/>
  <c r="AO9" i="15"/>
  <c r="AO39" i="15"/>
  <c r="AO43" i="15"/>
  <c r="AQ23" i="15"/>
  <c r="AQ45" i="15"/>
  <c r="AQ50" i="15"/>
  <c r="AQ14" i="15"/>
  <c r="AQ32" i="15"/>
  <c r="AP23" i="15"/>
  <c r="AP45" i="15"/>
  <c r="AP50" i="15"/>
  <c r="AP14" i="15"/>
  <c r="AP32" i="15"/>
  <c r="AO23" i="15"/>
  <c r="AO45" i="15"/>
  <c r="AO50" i="15"/>
  <c r="AO14" i="15"/>
  <c r="AO32" i="15"/>
  <c r="AO51" i="15"/>
  <c r="AO49" i="15"/>
  <c r="L3" i="18" l="1"/>
  <c r="AN48" i="15" l="1"/>
  <c r="AN13" i="15" s="1"/>
  <c r="AL48" i="15"/>
  <c r="AL24" i="15" s="1"/>
  <c r="AH48" i="15"/>
  <c r="AH13" i="15" s="1"/>
  <c r="AF48" i="15"/>
  <c r="AF24" i="15" s="1"/>
  <c r="AN37" i="15"/>
  <c r="AN65" i="15" s="1"/>
  <c r="AL37" i="15"/>
  <c r="AL9" i="15" s="1"/>
  <c r="AH37" i="15"/>
  <c r="AH30" i="15" s="1"/>
  <c r="AF37" i="15"/>
  <c r="AF9" i="15" s="1"/>
  <c r="AN34" i="15"/>
  <c r="AN27" i="15" s="1"/>
  <c r="AL34" i="15"/>
  <c r="AL6" i="15" s="1"/>
  <c r="AH34" i="15"/>
  <c r="AH44" i="15" s="1"/>
  <c r="AF34" i="15"/>
  <c r="AF6" i="15" s="1"/>
  <c r="AN18" i="15"/>
  <c r="AN10" i="15" s="1"/>
  <c r="AL18" i="15"/>
  <c r="AL8" i="15" s="1"/>
  <c r="AH18" i="15"/>
  <c r="AH8" i="15" s="1"/>
  <c r="AF18" i="15"/>
  <c r="AF8" i="15" s="1"/>
  <c r="AN17" i="15"/>
  <c r="AN39" i="15" s="1"/>
  <c r="AL17" i="15"/>
  <c r="AL39" i="15" s="1"/>
  <c r="AH17" i="15"/>
  <c r="AH59" i="15" s="1"/>
  <c r="AF17" i="15"/>
  <c r="AF39" i="15" s="1"/>
  <c r="AN7" i="15"/>
  <c r="AN5" i="15" s="1"/>
  <c r="AL7" i="15"/>
  <c r="AL42" i="15" s="1"/>
  <c r="AH7" i="15"/>
  <c r="AH11" i="15" s="1"/>
  <c r="AF7" i="15"/>
  <c r="AF42" i="15" s="1"/>
  <c r="AN4" i="15"/>
  <c r="AN14" i="15" s="1"/>
  <c r="AM4" i="15"/>
  <c r="AM14" i="15" s="1"/>
  <c r="AL4" i="15"/>
  <c r="AL14" i="15" s="1"/>
  <c r="AH4" i="15"/>
  <c r="AH32" i="15" s="1"/>
  <c r="AG4" i="15"/>
  <c r="AG14" i="15" s="1"/>
  <c r="AF4" i="15"/>
  <c r="AF32" i="15" s="1"/>
  <c r="U5" i="15"/>
  <c r="V5" i="15"/>
  <c r="W5" i="15"/>
  <c r="X5" i="15"/>
  <c r="Y5" i="15"/>
  <c r="Z5" i="15"/>
  <c r="AA5" i="15"/>
  <c r="AB5" i="15"/>
  <c r="AC5" i="15"/>
  <c r="AD5" i="15"/>
  <c r="AE5" i="15"/>
  <c r="AG5" i="15"/>
  <c r="AH5" i="15"/>
  <c r="AI5" i="15"/>
  <c r="AJ5" i="15"/>
  <c r="AK5" i="15"/>
  <c r="AM5" i="15"/>
  <c r="U6" i="15"/>
  <c r="V6" i="15"/>
  <c r="W6" i="15"/>
  <c r="X6" i="15"/>
  <c r="Y6" i="15"/>
  <c r="Z6" i="15"/>
  <c r="AA6" i="15"/>
  <c r="AB6" i="15"/>
  <c r="AC6" i="15"/>
  <c r="AD6" i="15"/>
  <c r="AE6" i="15"/>
  <c r="AG6" i="15"/>
  <c r="AI6" i="15"/>
  <c r="AJ6" i="15"/>
  <c r="AK6" i="15"/>
  <c r="AM6" i="15"/>
  <c r="AN6" i="15"/>
  <c r="U8" i="15"/>
  <c r="V8" i="15"/>
  <c r="W8" i="15"/>
  <c r="X8" i="15"/>
  <c r="Y8" i="15"/>
  <c r="Z8" i="15"/>
  <c r="AA8" i="15"/>
  <c r="AB8" i="15"/>
  <c r="AC8" i="15"/>
  <c r="AD8" i="15"/>
  <c r="AE8" i="15"/>
  <c r="AG8" i="15"/>
  <c r="AI8" i="15"/>
  <c r="AJ8" i="15"/>
  <c r="AK8" i="15"/>
  <c r="AM8" i="15"/>
  <c r="AN8" i="15"/>
  <c r="U9" i="15"/>
  <c r="V9" i="15"/>
  <c r="W9" i="15"/>
  <c r="X9" i="15"/>
  <c r="Y9" i="15"/>
  <c r="Z9" i="15"/>
  <c r="AA9" i="15"/>
  <c r="AB9" i="15"/>
  <c r="AC9" i="15"/>
  <c r="AD9" i="15"/>
  <c r="AE9" i="15"/>
  <c r="AG9" i="15"/>
  <c r="AI9" i="15"/>
  <c r="AJ9" i="15"/>
  <c r="AK9" i="15"/>
  <c r="AM9" i="15"/>
  <c r="U10" i="15"/>
  <c r="V10" i="15"/>
  <c r="W10" i="15"/>
  <c r="X10" i="15"/>
  <c r="Y10" i="15"/>
  <c r="Z10" i="15"/>
  <c r="AA10" i="15"/>
  <c r="AB10" i="15"/>
  <c r="AC10" i="15"/>
  <c r="AD10" i="15"/>
  <c r="AE10" i="15"/>
  <c r="AG10" i="15"/>
  <c r="AI10" i="15"/>
  <c r="AJ10" i="15"/>
  <c r="AK10" i="15"/>
  <c r="AM10" i="15"/>
  <c r="U11" i="15"/>
  <c r="V11" i="15"/>
  <c r="W11" i="15"/>
  <c r="X11" i="15"/>
  <c r="Y11" i="15"/>
  <c r="Z11" i="15"/>
  <c r="AA11" i="15"/>
  <c r="AB11" i="15"/>
  <c r="AC11" i="15"/>
  <c r="AD11" i="15"/>
  <c r="AE11" i="15"/>
  <c r="AG11" i="15"/>
  <c r="AI11" i="15"/>
  <c r="AJ11" i="15"/>
  <c r="AK11" i="15"/>
  <c r="AM11" i="15"/>
  <c r="AN11" i="15"/>
  <c r="U12" i="15"/>
  <c r="V12" i="15"/>
  <c r="W12" i="15"/>
  <c r="X12" i="15"/>
  <c r="Y12" i="15"/>
  <c r="Z12" i="15"/>
  <c r="AA12" i="15"/>
  <c r="AB12" i="15"/>
  <c r="AC12" i="15"/>
  <c r="AD12" i="15"/>
  <c r="AE12" i="15"/>
  <c r="AG12" i="15"/>
  <c r="AH12" i="15"/>
  <c r="AI12" i="15"/>
  <c r="AJ12" i="15"/>
  <c r="AK12" i="15"/>
  <c r="AM12" i="15"/>
  <c r="U13" i="15"/>
  <c r="V13" i="15"/>
  <c r="W13" i="15"/>
  <c r="X13" i="15"/>
  <c r="Y13" i="15"/>
  <c r="Z13" i="15"/>
  <c r="AA13" i="15"/>
  <c r="AB13" i="15"/>
  <c r="AC13" i="15"/>
  <c r="AD13" i="15"/>
  <c r="AE13" i="15"/>
  <c r="AG13" i="15"/>
  <c r="AI13" i="15"/>
  <c r="AJ13" i="15"/>
  <c r="AK13" i="15"/>
  <c r="AM13" i="15"/>
  <c r="U14" i="15"/>
  <c r="V14" i="15"/>
  <c r="W14" i="15"/>
  <c r="X14" i="15"/>
  <c r="Y14" i="15"/>
  <c r="Z14" i="15"/>
  <c r="AA14" i="15"/>
  <c r="AB14" i="15"/>
  <c r="AC14" i="15"/>
  <c r="AD14" i="15"/>
  <c r="AE14" i="15"/>
  <c r="AI14" i="15"/>
  <c r="AJ14" i="15"/>
  <c r="AK14" i="15"/>
  <c r="U15" i="15"/>
  <c r="V15" i="15"/>
  <c r="W15" i="15"/>
  <c r="X15" i="15"/>
  <c r="Y15" i="15"/>
  <c r="Z15" i="15"/>
  <c r="AA15" i="15"/>
  <c r="AB15" i="15"/>
  <c r="AC15" i="15"/>
  <c r="AD15" i="15"/>
  <c r="AE15" i="15"/>
  <c r="AG15" i="15"/>
  <c r="AI15" i="15"/>
  <c r="AJ15" i="15"/>
  <c r="AK15" i="15"/>
  <c r="AM15" i="15"/>
  <c r="AN15" i="15"/>
  <c r="U16" i="15"/>
  <c r="V16" i="15"/>
  <c r="W16" i="15"/>
  <c r="X16" i="15"/>
  <c r="Y16" i="15"/>
  <c r="Z16" i="15"/>
  <c r="AA16" i="15"/>
  <c r="AB16" i="15"/>
  <c r="AC16" i="15"/>
  <c r="AD16" i="15"/>
  <c r="AE16" i="15"/>
  <c r="AG16" i="15"/>
  <c r="AI16" i="15"/>
  <c r="AJ16" i="15"/>
  <c r="AK16" i="15"/>
  <c r="AM16" i="15"/>
  <c r="AN16" i="15"/>
  <c r="U19" i="15"/>
  <c r="V19" i="15"/>
  <c r="W19" i="15"/>
  <c r="X19" i="15"/>
  <c r="Y19" i="15"/>
  <c r="Z19" i="15"/>
  <c r="AA19" i="15"/>
  <c r="AB19" i="15"/>
  <c r="AC19" i="15"/>
  <c r="AD19" i="15"/>
  <c r="AE19" i="15"/>
  <c r="AG19" i="15"/>
  <c r="AI19" i="15"/>
  <c r="AJ19" i="15"/>
  <c r="AK19" i="15"/>
  <c r="AM19" i="15"/>
  <c r="U20" i="15"/>
  <c r="V20" i="15"/>
  <c r="W20" i="15"/>
  <c r="X20" i="15"/>
  <c r="Y20" i="15"/>
  <c r="Z20" i="15"/>
  <c r="AA20" i="15"/>
  <c r="AB20" i="15"/>
  <c r="AC20" i="15"/>
  <c r="AD20" i="15"/>
  <c r="AE20" i="15"/>
  <c r="AG20" i="15"/>
  <c r="AI20" i="15"/>
  <c r="AJ20" i="15"/>
  <c r="AK20" i="15"/>
  <c r="AM20" i="15"/>
  <c r="U21" i="15"/>
  <c r="V21" i="15"/>
  <c r="W21" i="15"/>
  <c r="X21" i="15"/>
  <c r="Y21" i="15"/>
  <c r="Z21" i="15"/>
  <c r="AA21" i="15"/>
  <c r="AB21" i="15"/>
  <c r="AC21" i="15"/>
  <c r="AD21" i="15"/>
  <c r="AE21" i="15"/>
  <c r="AI21" i="15"/>
  <c r="AJ21" i="15"/>
  <c r="AK21" i="15"/>
  <c r="U22" i="15"/>
  <c r="V22" i="15"/>
  <c r="W22" i="15"/>
  <c r="X22" i="15"/>
  <c r="Y22" i="15"/>
  <c r="Z22" i="15"/>
  <c r="AA22" i="15"/>
  <c r="AB22" i="15"/>
  <c r="AC22" i="15"/>
  <c r="AD22" i="15"/>
  <c r="AE22" i="15"/>
  <c r="AG22" i="15"/>
  <c r="AI22" i="15"/>
  <c r="AJ22" i="15"/>
  <c r="AK22" i="15"/>
  <c r="AM22" i="15"/>
  <c r="AN22" i="15"/>
  <c r="U23" i="15"/>
  <c r="V23" i="15"/>
  <c r="W23" i="15"/>
  <c r="X23" i="15"/>
  <c r="Y23" i="15"/>
  <c r="Z23" i="15"/>
  <c r="AA23" i="15"/>
  <c r="AB23" i="15"/>
  <c r="AC23" i="15"/>
  <c r="AD23" i="15"/>
  <c r="AE23" i="15"/>
  <c r="AG23" i="15"/>
  <c r="AI23" i="15"/>
  <c r="AJ23" i="15"/>
  <c r="AK23" i="15"/>
  <c r="AN23" i="15"/>
  <c r="U24" i="15"/>
  <c r="V24" i="15"/>
  <c r="W24" i="15"/>
  <c r="X24" i="15"/>
  <c r="Y24" i="15"/>
  <c r="Z24" i="15"/>
  <c r="AA24" i="15"/>
  <c r="AB24" i="15"/>
  <c r="AC24" i="15"/>
  <c r="AD24" i="15"/>
  <c r="AE24" i="15"/>
  <c r="AG24" i="15"/>
  <c r="AI24" i="15"/>
  <c r="AJ24" i="15"/>
  <c r="AK24" i="15"/>
  <c r="AM24" i="15"/>
  <c r="AN24" i="15"/>
  <c r="U25" i="15"/>
  <c r="V25" i="15"/>
  <c r="W25" i="15"/>
  <c r="X25" i="15"/>
  <c r="Y25" i="15"/>
  <c r="Z25" i="15"/>
  <c r="AA25" i="15"/>
  <c r="AB25" i="15"/>
  <c r="AC25" i="15"/>
  <c r="AD25" i="15"/>
  <c r="AE25" i="15"/>
  <c r="AG25" i="15"/>
  <c r="AI25" i="15"/>
  <c r="AJ25" i="15"/>
  <c r="AK25" i="15"/>
  <c r="AN25" i="15"/>
  <c r="U26" i="15"/>
  <c r="V26" i="15"/>
  <c r="W26" i="15"/>
  <c r="X26" i="15"/>
  <c r="Y26" i="15"/>
  <c r="Z26" i="15"/>
  <c r="AA26" i="15"/>
  <c r="AB26" i="15"/>
  <c r="AC26" i="15"/>
  <c r="AD26" i="15"/>
  <c r="AE26" i="15"/>
  <c r="AG26" i="15"/>
  <c r="AI26" i="15"/>
  <c r="AJ26" i="15"/>
  <c r="AK26" i="15"/>
  <c r="AM26" i="15"/>
  <c r="U27" i="15"/>
  <c r="V27" i="15"/>
  <c r="W27" i="15"/>
  <c r="X27" i="15"/>
  <c r="Y27" i="15"/>
  <c r="Z27" i="15"/>
  <c r="AA27" i="15"/>
  <c r="AB27" i="15"/>
  <c r="AC27" i="15"/>
  <c r="AD27" i="15"/>
  <c r="AE27" i="15"/>
  <c r="AG27" i="15"/>
  <c r="AI27" i="15"/>
  <c r="AJ27" i="15"/>
  <c r="AK27" i="15"/>
  <c r="AM27" i="15"/>
  <c r="U28" i="15"/>
  <c r="V28" i="15"/>
  <c r="W28" i="15"/>
  <c r="X28" i="15"/>
  <c r="Y28" i="15"/>
  <c r="Z28" i="15"/>
  <c r="AA28" i="15"/>
  <c r="AB28" i="15"/>
  <c r="AC28" i="15"/>
  <c r="AD28" i="15"/>
  <c r="AE28" i="15"/>
  <c r="AG28" i="15"/>
  <c r="AI28" i="15"/>
  <c r="AJ28" i="15"/>
  <c r="AK28" i="15"/>
  <c r="AM28" i="15"/>
  <c r="AN28" i="15"/>
  <c r="U29" i="15"/>
  <c r="V29" i="15"/>
  <c r="W29" i="15"/>
  <c r="X29" i="15"/>
  <c r="Y29" i="15"/>
  <c r="Z29" i="15"/>
  <c r="AA29" i="15"/>
  <c r="AB29" i="15"/>
  <c r="AC29" i="15"/>
  <c r="AD29" i="15"/>
  <c r="AE29" i="15"/>
  <c r="AG29" i="15"/>
  <c r="AI29" i="15"/>
  <c r="AJ29" i="15"/>
  <c r="AK29" i="15"/>
  <c r="AM29" i="15"/>
  <c r="AN29" i="15"/>
  <c r="U30" i="15"/>
  <c r="V30" i="15"/>
  <c r="W30" i="15"/>
  <c r="X30" i="15"/>
  <c r="Y30" i="15"/>
  <c r="Z30" i="15"/>
  <c r="AA30" i="15"/>
  <c r="AB30" i="15"/>
  <c r="AC30" i="15"/>
  <c r="AD30" i="15"/>
  <c r="AE30" i="15"/>
  <c r="AG30" i="15"/>
  <c r="AI30" i="15"/>
  <c r="AJ30" i="15"/>
  <c r="AK30" i="15"/>
  <c r="AM30" i="15"/>
  <c r="U31" i="15"/>
  <c r="V31" i="15"/>
  <c r="W31" i="15"/>
  <c r="X31" i="15"/>
  <c r="Y31" i="15"/>
  <c r="Z31" i="15"/>
  <c r="AA31" i="15"/>
  <c r="AB31" i="15"/>
  <c r="AC31" i="15"/>
  <c r="AD31" i="15"/>
  <c r="AE31" i="15"/>
  <c r="AG31" i="15"/>
  <c r="AI31" i="15"/>
  <c r="AJ31" i="15"/>
  <c r="AK31" i="15"/>
  <c r="AM31" i="15"/>
  <c r="U32" i="15"/>
  <c r="V32" i="15"/>
  <c r="W32" i="15"/>
  <c r="X32" i="15"/>
  <c r="Y32" i="15"/>
  <c r="Z32" i="15"/>
  <c r="AA32" i="15"/>
  <c r="AB32" i="15"/>
  <c r="AC32" i="15"/>
  <c r="AD32" i="15"/>
  <c r="AE32" i="15"/>
  <c r="AI32" i="15"/>
  <c r="AJ32" i="15"/>
  <c r="AK32" i="15"/>
  <c r="AN32" i="15"/>
  <c r="U33" i="15"/>
  <c r="V33" i="15"/>
  <c r="W33" i="15"/>
  <c r="X33" i="15"/>
  <c r="Y33" i="15"/>
  <c r="Z33" i="15"/>
  <c r="AA33" i="15"/>
  <c r="AB33" i="15"/>
  <c r="AC33" i="15"/>
  <c r="AD33" i="15"/>
  <c r="AE33" i="15"/>
  <c r="AG33" i="15"/>
  <c r="AI33" i="15"/>
  <c r="AJ33" i="15"/>
  <c r="AK33" i="15"/>
  <c r="AM33" i="15"/>
  <c r="AN33" i="15"/>
  <c r="U35" i="15"/>
  <c r="V35" i="15"/>
  <c r="W35" i="15"/>
  <c r="X35" i="15"/>
  <c r="Y35" i="15"/>
  <c r="Z35" i="15"/>
  <c r="AA35" i="15"/>
  <c r="AB35" i="15"/>
  <c r="AC35" i="15"/>
  <c r="AD35" i="15"/>
  <c r="AE35" i="15"/>
  <c r="AG35" i="15"/>
  <c r="AI35" i="15"/>
  <c r="AJ35" i="15"/>
  <c r="AK35" i="15"/>
  <c r="AM35" i="15"/>
  <c r="U36" i="15"/>
  <c r="V36" i="15"/>
  <c r="W36" i="15"/>
  <c r="X36" i="15"/>
  <c r="Y36" i="15"/>
  <c r="Z36" i="15"/>
  <c r="AA36" i="15"/>
  <c r="AB36" i="15"/>
  <c r="AC36" i="15"/>
  <c r="AD36" i="15"/>
  <c r="AE36" i="15"/>
  <c r="AG36" i="15"/>
  <c r="AI36" i="15"/>
  <c r="AJ36" i="15"/>
  <c r="AK36" i="15"/>
  <c r="AM36" i="15"/>
  <c r="AN36" i="15"/>
  <c r="U38" i="15"/>
  <c r="V38" i="15"/>
  <c r="W38" i="15"/>
  <c r="X38" i="15"/>
  <c r="Y38" i="15"/>
  <c r="Z38" i="15"/>
  <c r="AA38" i="15"/>
  <c r="AB38" i="15"/>
  <c r="AC38" i="15"/>
  <c r="AD38" i="15"/>
  <c r="AE38" i="15"/>
  <c r="AG38" i="15"/>
  <c r="AI38" i="15"/>
  <c r="AJ38" i="15"/>
  <c r="AK38" i="15"/>
  <c r="AM38" i="15"/>
  <c r="AN38" i="15"/>
  <c r="U39" i="15"/>
  <c r="V39" i="15"/>
  <c r="W39" i="15"/>
  <c r="X39" i="15"/>
  <c r="Y39" i="15"/>
  <c r="Z39" i="15"/>
  <c r="AA39" i="15"/>
  <c r="AB39" i="15"/>
  <c r="AC39" i="15"/>
  <c r="AD39" i="15"/>
  <c r="AE39" i="15"/>
  <c r="AG39" i="15"/>
  <c r="AI39" i="15"/>
  <c r="AJ39" i="15"/>
  <c r="AK39" i="15"/>
  <c r="AM39" i="15"/>
  <c r="U40" i="15"/>
  <c r="V40" i="15"/>
  <c r="W40" i="15"/>
  <c r="X40" i="15"/>
  <c r="Y40" i="15"/>
  <c r="Z40" i="15"/>
  <c r="AA40" i="15"/>
  <c r="AB40" i="15"/>
  <c r="AC40" i="15"/>
  <c r="AD40" i="15"/>
  <c r="AE40" i="15"/>
  <c r="AG40" i="15"/>
  <c r="AI40" i="15"/>
  <c r="AJ40" i="15"/>
  <c r="AK40" i="15"/>
  <c r="AM40" i="15"/>
  <c r="U41" i="15"/>
  <c r="V41" i="15"/>
  <c r="W41" i="15"/>
  <c r="X41" i="15"/>
  <c r="Y41" i="15"/>
  <c r="Z41" i="15"/>
  <c r="AA41" i="15"/>
  <c r="AB41" i="15"/>
  <c r="AC41" i="15"/>
  <c r="AD41" i="15"/>
  <c r="AE41" i="15"/>
  <c r="AG41" i="15"/>
  <c r="AI41" i="15"/>
  <c r="AJ41" i="15"/>
  <c r="AK41" i="15"/>
  <c r="AM41" i="15"/>
  <c r="AN41" i="15"/>
  <c r="U42" i="15"/>
  <c r="V42" i="15"/>
  <c r="W42" i="15"/>
  <c r="X42" i="15"/>
  <c r="Y42" i="15"/>
  <c r="Z42" i="15"/>
  <c r="AA42" i="15"/>
  <c r="AB42" i="15"/>
  <c r="AC42" i="15"/>
  <c r="AD42" i="15"/>
  <c r="AE42" i="15"/>
  <c r="AG42" i="15"/>
  <c r="AI42" i="15"/>
  <c r="AJ42" i="15"/>
  <c r="AK42" i="15"/>
  <c r="AM42" i="15"/>
  <c r="AN42" i="15"/>
  <c r="U43" i="15"/>
  <c r="V43" i="15"/>
  <c r="W43" i="15"/>
  <c r="X43" i="15"/>
  <c r="Y43" i="15"/>
  <c r="Z43" i="15"/>
  <c r="AA43" i="15"/>
  <c r="AB43" i="15"/>
  <c r="AC43" i="15"/>
  <c r="AD43" i="15"/>
  <c r="AE43" i="15"/>
  <c r="AG43" i="15"/>
  <c r="AI43" i="15"/>
  <c r="AJ43" i="15"/>
  <c r="AK43" i="15"/>
  <c r="AM43" i="15"/>
  <c r="U44" i="15"/>
  <c r="V44" i="15"/>
  <c r="W44" i="15"/>
  <c r="X44" i="15"/>
  <c r="Y44" i="15"/>
  <c r="Z44" i="15"/>
  <c r="AA44" i="15"/>
  <c r="AB44" i="15"/>
  <c r="AC44" i="15"/>
  <c r="AD44" i="15"/>
  <c r="AE44" i="15"/>
  <c r="AG44" i="15"/>
  <c r="AI44" i="15"/>
  <c r="AJ44" i="15"/>
  <c r="AK44" i="15"/>
  <c r="AM44" i="15"/>
  <c r="U45" i="15"/>
  <c r="V45" i="15"/>
  <c r="W45" i="15"/>
  <c r="X45" i="15"/>
  <c r="Y45" i="15"/>
  <c r="Z45" i="15"/>
  <c r="AA45" i="15"/>
  <c r="AB45" i="15"/>
  <c r="AC45" i="15"/>
  <c r="AD45" i="15"/>
  <c r="AE45" i="15"/>
  <c r="AI45" i="15"/>
  <c r="AJ45" i="15"/>
  <c r="AK45" i="15"/>
  <c r="AN45" i="15"/>
  <c r="U46" i="15"/>
  <c r="V46" i="15"/>
  <c r="W46" i="15"/>
  <c r="X46" i="15"/>
  <c r="Y46" i="15"/>
  <c r="Z46" i="15"/>
  <c r="AA46" i="15"/>
  <c r="AB46" i="15"/>
  <c r="AC46" i="15"/>
  <c r="AD46" i="15"/>
  <c r="AE46" i="15"/>
  <c r="AG46" i="15"/>
  <c r="AI46" i="15"/>
  <c r="AJ46" i="15"/>
  <c r="AK46" i="15"/>
  <c r="AM46" i="15"/>
  <c r="AN46" i="15"/>
  <c r="U47" i="15"/>
  <c r="V47" i="15"/>
  <c r="W47" i="15"/>
  <c r="X47" i="15"/>
  <c r="Y47" i="15"/>
  <c r="Z47" i="15"/>
  <c r="AA47" i="15"/>
  <c r="AB47" i="15"/>
  <c r="AC47" i="15"/>
  <c r="AD47" i="15"/>
  <c r="AE47" i="15"/>
  <c r="AG47" i="15"/>
  <c r="AI47" i="15"/>
  <c r="AJ47" i="15"/>
  <c r="AK47" i="15"/>
  <c r="AM47" i="15"/>
  <c r="U49" i="15"/>
  <c r="V49" i="15"/>
  <c r="W49" i="15"/>
  <c r="X49" i="15"/>
  <c r="Y49" i="15"/>
  <c r="Z49" i="15"/>
  <c r="AA49" i="15"/>
  <c r="AB49" i="15"/>
  <c r="AC49" i="15"/>
  <c r="AD49" i="15"/>
  <c r="AE49" i="15"/>
  <c r="AI49" i="15"/>
  <c r="AJ49" i="15"/>
  <c r="AK49" i="15"/>
  <c r="U50" i="15"/>
  <c r="V50" i="15"/>
  <c r="W50" i="15"/>
  <c r="X50" i="15"/>
  <c r="Y50" i="15"/>
  <c r="Z50" i="15"/>
  <c r="AA50" i="15"/>
  <c r="AB50" i="15"/>
  <c r="AC50" i="15"/>
  <c r="AD50" i="15"/>
  <c r="AE50" i="15"/>
  <c r="AI50" i="15"/>
  <c r="AJ50" i="15"/>
  <c r="AK50" i="15"/>
  <c r="U51" i="15"/>
  <c r="V51" i="15"/>
  <c r="W51" i="15"/>
  <c r="X51" i="15"/>
  <c r="Y51" i="15"/>
  <c r="Z51" i="15"/>
  <c r="AA51" i="15"/>
  <c r="AB51" i="15"/>
  <c r="AC51" i="15"/>
  <c r="AD51" i="15"/>
  <c r="AE51" i="15"/>
  <c r="AI51" i="15"/>
  <c r="AJ51" i="15"/>
  <c r="AK51" i="15"/>
  <c r="AN51" i="15"/>
  <c r="U52" i="15"/>
  <c r="V52" i="15"/>
  <c r="W52" i="15"/>
  <c r="X52" i="15"/>
  <c r="Y52" i="15"/>
  <c r="Z52" i="15"/>
  <c r="AA52" i="15"/>
  <c r="AB52" i="15"/>
  <c r="AC52" i="15"/>
  <c r="AD52" i="15"/>
  <c r="AE52" i="15"/>
  <c r="AG52" i="15"/>
  <c r="AI52" i="15"/>
  <c r="AJ52" i="15"/>
  <c r="AK52" i="15"/>
  <c r="AM52" i="15"/>
  <c r="AN52" i="15"/>
  <c r="U53" i="15"/>
  <c r="V53" i="15"/>
  <c r="W53" i="15"/>
  <c r="X53" i="15"/>
  <c r="Y53" i="15"/>
  <c r="Z53" i="15"/>
  <c r="AA53" i="15"/>
  <c r="AB53" i="15"/>
  <c r="AC53" i="15"/>
  <c r="AD53" i="15"/>
  <c r="AE53" i="15"/>
  <c r="AG53" i="15"/>
  <c r="AI53" i="15"/>
  <c r="AJ53" i="15"/>
  <c r="AK53" i="15"/>
  <c r="AM53" i="15"/>
  <c r="U54" i="15"/>
  <c r="V54" i="15"/>
  <c r="W54" i="15"/>
  <c r="X54" i="15"/>
  <c r="Y54" i="15"/>
  <c r="Z54" i="15"/>
  <c r="AA54" i="15"/>
  <c r="AB54" i="15"/>
  <c r="AC54" i="15"/>
  <c r="AD54" i="15"/>
  <c r="AE54" i="15"/>
  <c r="AG54" i="15"/>
  <c r="AH54" i="15"/>
  <c r="AI54" i="15"/>
  <c r="AJ54" i="15"/>
  <c r="AK54" i="15"/>
  <c r="AM54" i="15"/>
  <c r="AN54" i="15"/>
  <c r="U55" i="15"/>
  <c r="V55" i="15"/>
  <c r="W55" i="15"/>
  <c r="X55" i="15"/>
  <c r="Y55" i="15"/>
  <c r="Z55" i="15"/>
  <c r="AA55" i="15"/>
  <c r="AB55" i="15"/>
  <c r="AC55" i="15"/>
  <c r="AD55" i="15"/>
  <c r="AE55" i="15"/>
  <c r="AG55" i="15"/>
  <c r="AI55" i="15"/>
  <c r="AJ55" i="15"/>
  <c r="AK55" i="15"/>
  <c r="AM55" i="15"/>
  <c r="AN55" i="15"/>
  <c r="U56" i="15"/>
  <c r="V56" i="15"/>
  <c r="W56" i="15"/>
  <c r="X56" i="15"/>
  <c r="Y56" i="15"/>
  <c r="Z56" i="15"/>
  <c r="AA56" i="15"/>
  <c r="AB56" i="15"/>
  <c r="AC56" i="15"/>
  <c r="AD56" i="15"/>
  <c r="AE56" i="15"/>
  <c r="AG56" i="15"/>
  <c r="AI56" i="15"/>
  <c r="AJ56" i="15"/>
  <c r="AK56" i="15"/>
  <c r="AM56" i="15"/>
  <c r="U57" i="15"/>
  <c r="V57" i="15"/>
  <c r="W57" i="15"/>
  <c r="X57" i="15"/>
  <c r="Y57" i="15"/>
  <c r="Z57" i="15"/>
  <c r="AA57" i="15"/>
  <c r="AB57" i="15"/>
  <c r="AC57" i="15"/>
  <c r="AD57" i="15"/>
  <c r="AE57" i="15"/>
  <c r="AG57" i="15"/>
  <c r="AI57" i="15"/>
  <c r="AJ57" i="15"/>
  <c r="AK57" i="15"/>
  <c r="AM57" i="15"/>
  <c r="U58" i="15"/>
  <c r="V58" i="15"/>
  <c r="W58" i="15"/>
  <c r="X58" i="15"/>
  <c r="Y58" i="15"/>
  <c r="Z58" i="15"/>
  <c r="AA58" i="15"/>
  <c r="AB58" i="15"/>
  <c r="AC58" i="15"/>
  <c r="AD58" i="15"/>
  <c r="AE58" i="15"/>
  <c r="AG58" i="15"/>
  <c r="AI58" i="15"/>
  <c r="AJ58" i="15"/>
  <c r="AK58" i="15"/>
  <c r="AM58" i="15"/>
  <c r="AN58" i="15"/>
  <c r="U59" i="15"/>
  <c r="V59" i="15"/>
  <c r="W59" i="15"/>
  <c r="X59" i="15"/>
  <c r="Y59" i="15"/>
  <c r="Z59" i="15"/>
  <c r="AA59" i="15"/>
  <c r="AB59" i="15"/>
  <c r="AC59" i="15"/>
  <c r="AD59" i="15"/>
  <c r="AE59" i="15"/>
  <c r="AG59" i="15"/>
  <c r="AI59" i="15"/>
  <c r="AJ59" i="15"/>
  <c r="AK59" i="15"/>
  <c r="AM59" i="15"/>
  <c r="AN59" i="15"/>
  <c r="U60" i="15"/>
  <c r="V60" i="15"/>
  <c r="W60" i="15"/>
  <c r="X60" i="15"/>
  <c r="Y60" i="15"/>
  <c r="Z60" i="15"/>
  <c r="AA60" i="15"/>
  <c r="AB60" i="15"/>
  <c r="AC60" i="15"/>
  <c r="AD60" i="15"/>
  <c r="AE60" i="15"/>
  <c r="AG60" i="15"/>
  <c r="AI60" i="15"/>
  <c r="AJ60" i="15"/>
  <c r="AK60" i="15"/>
  <c r="AM60" i="15"/>
  <c r="U61" i="15"/>
  <c r="V61" i="15"/>
  <c r="W61" i="15"/>
  <c r="X61" i="15"/>
  <c r="Y61" i="15"/>
  <c r="Z61" i="15"/>
  <c r="AA61" i="15"/>
  <c r="AB61" i="15"/>
  <c r="AC61" i="15"/>
  <c r="AD61" i="15"/>
  <c r="AE61" i="15"/>
  <c r="AI61" i="15"/>
  <c r="AJ61" i="15"/>
  <c r="AK61" i="15"/>
  <c r="U62" i="15"/>
  <c r="V62" i="15"/>
  <c r="W62" i="15"/>
  <c r="X62" i="15"/>
  <c r="Y62" i="15"/>
  <c r="Z62" i="15"/>
  <c r="AA62" i="15"/>
  <c r="AB62" i="15"/>
  <c r="AC62" i="15"/>
  <c r="AD62" i="15"/>
  <c r="AE62" i="15"/>
  <c r="AG62" i="15"/>
  <c r="AH62" i="15"/>
  <c r="AI62" i="15"/>
  <c r="AJ62" i="15"/>
  <c r="AK62" i="15"/>
  <c r="AM62" i="15"/>
  <c r="AN62" i="15"/>
  <c r="U63" i="15"/>
  <c r="V63" i="15"/>
  <c r="W63" i="15"/>
  <c r="X63" i="15"/>
  <c r="Y63" i="15"/>
  <c r="Z63" i="15"/>
  <c r="AA63" i="15"/>
  <c r="AB63" i="15"/>
  <c r="AC63" i="15"/>
  <c r="AD63" i="15"/>
  <c r="AE63" i="15"/>
  <c r="AG63" i="15"/>
  <c r="AI63" i="15"/>
  <c r="AJ63" i="15"/>
  <c r="AK63" i="15"/>
  <c r="AM63" i="15"/>
  <c r="AN63" i="15"/>
  <c r="U64" i="15"/>
  <c r="V64" i="15"/>
  <c r="W64" i="15"/>
  <c r="X64" i="15"/>
  <c r="Y64" i="15"/>
  <c r="Z64" i="15"/>
  <c r="AA64" i="15"/>
  <c r="AB64" i="15"/>
  <c r="AC64" i="15"/>
  <c r="AD64" i="15"/>
  <c r="AE64" i="15"/>
  <c r="AG64" i="15"/>
  <c r="AI64" i="15"/>
  <c r="AJ64" i="15"/>
  <c r="AK64" i="15"/>
  <c r="AM64" i="15"/>
  <c r="U65" i="15"/>
  <c r="V65" i="15"/>
  <c r="W65" i="15"/>
  <c r="X65" i="15"/>
  <c r="Y65" i="15"/>
  <c r="Z65" i="15"/>
  <c r="AA65" i="15"/>
  <c r="AB65" i="15"/>
  <c r="AC65" i="15"/>
  <c r="AD65" i="15"/>
  <c r="AE65" i="15"/>
  <c r="AG65" i="15"/>
  <c r="AI65" i="15"/>
  <c r="AJ65" i="15"/>
  <c r="AK65" i="15"/>
  <c r="AM65" i="15"/>
  <c r="T5" i="15"/>
  <c r="T6" i="15"/>
  <c r="T8" i="15"/>
  <c r="T9" i="15"/>
  <c r="T10" i="15"/>
  <c r="T11" i="15"/>
  <c r="T12" i="15"/>
  <c r="T13" i="15"/>
  <c r="T14" i="15"/>
  <c r="T15" i="15"/>
  <c r="T16" i="15"/>
  <c r="T19" i="15"/>
  <c r="T20" i="15"/>
  <c r="T21" i="15"/>
  <c r="T22" i="15"/>
  <c r="T23" i="15"/>
  <c r="T24" i="15"/>
  <c r="T25" i="15"/>
  <c r="T26" i="15"/>
  <c r="T27" i="15"/>
  <c r="T28" i="15"/>
  <c r="T29" i="15"/>
  <c r="T30" i="15"/>
  <c r="T31" i="15"/>
  <c r="T32" i="15"/>
  <c r="T33" i="15"/>
  <c r="T35" i="15"/>
  <c r="T36" i="15"/>
  <c r="T38" i="15"/>
  <c r="T39" i="15"/>
  <c r="T40" i="15"/>
  <c r="T41" i="15"/>
  <c r="T42" i="15"/>
  <c r="T43" i="15"/>
  <c r="T44" i="15"/>
  <c r="T45" i="15"/>
  <c r="T46" i="15"/>
  <c r="T47" i="15"/>
  <c r="T49" i="15"/>
  <c r="T50" i="15"/>
  <c r="T51" i="15"/>
  <c r="T52" i="15"/>
  <c r="T53" i="15"/>
  <c r="T54" i="15"/>
  <c r="T55" i="15"/>
  <c r="T56" i="15"/>
  <c r="T57" i="15"/>
  <c r="T58" i="15"/>
  <c r="T59" i="15"/>
  <c r="T60" i="15"/>
  <c r="T61" i="15"/>
  <c r="T62" i="15"/>
  <c r="T63" i="15"/>
  <c r="T64" i="15"/>
  <c r="T65" i="15"/>
  <c r="I15" i="3"/>
  <c r="I16" i="3"/>
  <c r="I17" i="3"/>
  <c r="I18" i="3"/>
  <c r="I19" i="3"/>
  <c r="I21" i="3"/>
  <c r="I23" i="3"/>
  <c r="I24" i="3"/>
  <c r="I25" i="3"/>
  <c r="I14" i="3"/>
  <c r="S5" i="15"/>
  <c r="S6" i="15"/>
  <c r="S8" i="15"/>
  <c r="S9" i="15"/>
  <c r="S10" i="15"/>
  <c r="S11" i="15"/>
  <c r="S12" i="15"/>
  <c r="S13" i="15"/>
  <c r="S14" i="15"/>
  <c r="S15" i="15"/>
  <c r="S16" i="15"/>
  <c r="S19" i="15"/>
  <c r="S20" i="15"/>
  <c r="S21" i="15"/>
  <c r="S22" i="15"/>
  <c r="S23" i="15"/>
  <c r="S24" i="15"/>
  <c r="S25" i="15"/>
  <c r="S26" i="15"/>
  <c r="S27" i="15"/>
  <c r="S28" i="15"/>
  <c r="S29" i="15"/>
  <c r="S30" i="15"/>
  <c r="S31" i="15"/>
  <c r="S32" i="15"/>
  <c r="S33" i="15"/>
  <c r="S35" i="15"/>
  <c r="S36" i="15"/>
  <c r="S38" i="15"/>
  <c r="S39" i="15"/>
  <c r="S40" i="15"/>
  <c r="S41" i="15"/>
  <c r="S42" i="15"/>
  <c r="S43" i="15"/>
  <c r="S44" i="15"/>
  <c r="S45" i="15"/>
  <c r="S46" i="15"/>
  <c r="S47" i="15"/>
  <c r="S49" i="15"/>
  <c r="S50" i="15"/>
  <c r="S51" i="15"/>
  <c r="S52" i="15"/>
  <c r="S53" i="15"/>
  <c r="S54" i="15"/>
  <c r="S55" i="15"/>
  <c r="S56" i="15"/>
  <c r="S57" i="15"/>
  <c r="S58" i="15"/>
  <c r="S59" i="15"/>
  <c r="S60" i="15"/>
  <c r="S61" i="15"/>
  <c r="S62" i="15"/>
  <c r="S63" i="15"/>
  <c r="S64" i="15"/>
  <c r="S65" i="15"/>
  <c r="AH36" i="15" l="1"/>
  <c r="L53" i="18"/>
  <c r="AN57" i="15"/>
  <c r="AG51" i="15"/>
  <c r="AG50" i="15"/>
  <c r="AN49" i="15"/>
  <c r="AM45" i="15"/>
  <c r="AG45" i="15"/>
  <c r="AN64" i="15"/>
  <c r="AN61" i="15"/>
  <c r="AG61" i="15"/>
  <c r="AN60" i="15"/>
  <c r="AN56" i="15"/>
  <c r="AN53" i="15"/>
  <c r="AM49" i="15"/>
  <c r="AG49" i="15"/>
  <c r="AN47" i="15"/>
  <c r="AN43" i="15"/>
  <c r="AN35" i="15"/>
  <c r="AN30" i="15"/>
  <c r="AN26" i="15"/>
  <c r="AN19" i="15"/>
  <c r="AN12" i="15"/>
  <c r="AN9" i="15"/>
  <c r="AL5" i="15"/>
  <c r="AM51" i="15"/>
  <c r="AN50" i="15"/>
  <c r="AN44" i="15"/>
  <c r="AN40" i="15"/>
  <c r="AM32" i="15"/>
  <c r="AG32" i="15"/>
  <c r="AN31" i="15"/>
  <c r="AN21" i="15"/>
  <c r="AG21" i="15"/>
  <c r="AN20" i="15"/>
  <c r="AH56" i="15"/>
  <c r="AH39" i="15"/>
  <c r="AH27" i="15"/>
  <c r="AL23" i="15"/>
  <c r="AH15" i="15"/>
  <c r="AM61" i="15"/>
  <c r="AH58" i="15"/>
  <c r="AL51" i="15"/>
  <c r="AH47" i="15"/>
  <c r="AH41" i="15"/>
  <c r="AL32" i="15"/>
  <c r="AH29" i="15"/>
  <c r="AF23" i="15"/>
  <c r="AH19" i="15"/>
  <c r="AH6" i="15"/>
  <c r="AH64" i="15"/>
  <c r="AL49" i="15"/>
  <c r="AL61" i="15"/>
  <c r="AH52" i="15"/>
  <c r="AM50" i="15"/>
  <c r="AH43" i="15"/>
  <c r="AH33" i="15"/>
  <c r="AH31" i="15"/>
  <c r="AH22" i="15"/>
  <c r="AF26" i="15"/>
  <c r="AL60" i="15"/>
  <c r="AL50" i="15"/>
  <c r="AL45" i="15"/>
  <c r="AL25" i="15"/>
  <c r="AL21" i="15"/>
  <c r="AH9" i="15"/>
  <c r="AF5" i="15"/>
  <c r="AH23" i="15"/>
  <c r="AH65" i="15"/>
  <c r="AH63" i="15"/>
  <c r="AH57" i="15"/>
  <c r="AH55" i="15"/>
  <c r="AH53" i="15"/>
  <c r="AH46" i="15"/>
  <c r="AH42" i="15"/>
  <c r="AH40" i="15"/>
  <c r="AH38" i="15"/>
  <c r="AH35" i="15"/>
  <c r="AH28" i="15"/>
  <c r="AH26" i="15"/>
  <c r="AH24" i="15"/>
  <c r="AH20" i="15"/>
  <c r="AH16" i="15"/>
  <c r="AH25" i="15"/>
  <c r="AF25" i="15"/>
  <c r="AH21" i="15"/>
  <c r="AF21" i="15"/>
  <c r="AL20" i="15"/>
  <c r="AF20" i="15"/>
  <c r="AL19" i="15"/>
  <c r="AF19" i="15"/>
  <c r="AL16" i="15"/>
  <c r="AF16" i="15"/>
  <c r="AL15" i="15"/>
  <c r="AF15" i="15"/>
  <c r="AH14" i="15"/>
  <c r="AF14" i="15"/>
  <c r="AL13" i="15"/>
  <c r="AF13" i="15"/>
  <c r="AL12" i="15"/>
  <c r="AF12" i="15"/>
  <c r="AL11" i="15"/>
  <c r="AF11" i="15"/>
  <c r="AL10" i="15"/>
  <c r="AL65" i="15"/>
  <c r="AF65" i="15"/>
  <c r="AL64" i="15"/>
  <c r="AF64" i="15"/>
  <c r="AL63" i="15"/>
  <c r="AF63" i="15"/>
  <c r="AL62" i="15"/>
  <c r="AF62" i="15"/>
  <c r="AH61" i="15"/>
  <c r="AF61" i="15"/>
  <c r="AH60" i="15"/>
  <c r="AF60" i="15"/>
  <c r="AL59" i="15"/>
  <c r="AF59" i="15"/>
  <c r="AL58" i="15"/>
  <c r="AF58" i="15"/>
  <c r="AL57" i="15"/>
  <c r="AF57" i="15"/>
  <c r="AL56" i="15"/>
  <c r="AF56" i="15"/>
  <c r="AL55" i="15"/>
  <c r="AF55" i="15"/>
  <c r="AL54" i="15"/>
  <c r="AF54" i="15"/>
  <c r="AL53" i="15"/>
  <c r="AF53" i="15"/>
  <c r="AL52" i="15"/>
  <c r="AF52" i="15"/>
  <c r="AH51" i="15"/>
  <c r="AF51" i="15"/>
  <c r="AH50" i="15"/>
  <c r="AF50" i="15"/>
  <c r="AH49" i="15"/>
  <c r="AF49" i="15"/>
  <c r="AL47" i="15"/>
  <c r="AF47" i="15"/>
  <c r="AL46" i="15"/>
  <c r="AF46" i="15"/>
  <c r="AH45" i="15"/>
  <c r="AF45" i="15"/>
  <c r="AL44" i="15"/>
  <c r="AF44" i="15"/>
  <c r="AL43" i="15"/>
  <c r="AF43" i="15"/>
  <c r="AL41" i="15"/>
  <c r="AF41" i="15"/>
  <c r="AL40" i="15"/>
  <c r="AF40" i="15"/>
  <c r="AL38" i="15"/>
  <c r="AF38" i="15"/>
  <c r="AL36" i="15"/>
  <c r="AF36" i="15"/>
  <c r="AL35" i="15"/>
  <c r="AF35" i="15"/>
  <c r="AL33" i="15"/>
  <c r="AF33" i="15"/>
  <c r="AL31" i="15"/>
  <c r="AF31" i="15"/>
  <c r="AL30" i="15"/>
  <c r="AF30" i="15"/>
  <c r="AL29" i="15"/>
  <c r="AF29" i="15"/>
  <c r="AL28" i="15"/>
  <c r="AF28" i="15"/>
  <c r="AL27" i="15"/>
  <c r="AF27" i="15"/>
  <c r="AM25" i="15"/>
  <c r="AF22" i="15"/>
  <c r="AF10" i="15"/>
  <c r="AL26" i="15"/>
  <c r="AL22" i="15"/>
  <c r="AH10" i="15"/>
  <c r="AM23" i="15"/>
  <c r="AM21" i="15"/>
  <c r="H5" i="15"/>
  <c r="I5" i="15"/>
  <c r="J5" i="15"/>
  <c r="H6" i="15"/>
  <c r="I6" i="15"/>
  <c r="J6" i="15"/>
  <c r="H8" i="15"/>
  <c r="I8" i="15"/>
  <c r="J8" i="15"/>
  <c r="H9" i="15"/>
  <c r="I9" i="15"/>
  <c r="J9" i="15"/>
  <c r="H10" i="15"/>
  <c r="I10" i="15"/>
  <c r="J10" i="15"/>
  <c r="H11" i="15"/>
  <c r="I11" i="15"/>
  <c r="J11" i="15"/>
  <c r="H12" i="15"/>
  <c r="I12" i="15"/>
  <c r="J12" i="15"/>
  <c r="H13" i="15"/>
  <c r="I13" i="15"/>
  <c r="J13" i="15"/>
  <c r="H14" i="15"/>
  <c r="I14" i="15"/>
  <c r="J14" i="15"/>
  <c r="H15" i="15"/>
  <c r="I15" i="15"/>
  <c r="J15" i="15"/>
  <c r="H16" i="15"/>
  <c r="I16" i="15"/>
  <c r="J16" i="15"/>
  <c r="H19" i="15"/>
  <c r="I19" i="15"/>
  <c r="J19" i="15"/>
  <c r="H20" i="15"/>
  <c r="I20" i="15"/>
  <c r="J20" i="15"/>
  <c r="H21" i="15"/>
  <c r="I21" i="15"/>
  <c r="J21" i="15"/>
  <c r="H22" i="15"/>
  <c r="I22" i="15"/>
  <c r="J22" i="15"/>
  <c r="H23" i="15"/>
  <c r="I23" i="15"/>
  <c r="J23" i="15"/>
  <c r="H24" i="15"/>
  <c r="I24" i="15"/>
  <c r="J24" i="15"/>
  <c r="H25" i="15"/>
  <c r="I25" i="15"/>
  <c r="J25" i="15"/>
  <c r="H26" i="15"/>
  <c r="I26" i="15"/>
  <c r="J26" i="15"/>
  <c r="H27" i="15"/>
  <c r="I27" i="15"/>
  <c r="J27" i="15"/>
  <c r="H28" i="15"/>
  <c r="I28" i="15"/>
  <c r="J28" i="15"/>
  <c r="H29" i="15"/>
  <c r="I29" i="15"/>
  <c r="J29" i="15"/>
  <c r="H30" i="15"/>
  <c r="I30" i="15"/>
  <c r="J30" i="15"/>
  <c r="H31" i="15"/>
  <c r="I31" i="15"/>
  <c r="J31" i="15"/>
  <c r="H32" i="15"/>
  <c r="I32" i="15"/>
  <c r="J32" i="15"/>
  <c r="H33" i="15"/>
  <c r="I33" i="15"/>
  <c r="J33" i="15"/>
  <c r="H35" i="15"/>
  <c r="I35" i="15"/>
  <c r="J35" i="15"/>
  <c r="H36" i="15"/>
  <c r="I36" i="15"/>
  <c r="J36" i="15"/>
  <c r="H38" i="15"/>
  <c r="I38" i="15"/>
  <c r="J38" i="15"/>
  <c r="H39" i="15"/>
  <c r="I39" i="15"/>
  <c r="N44" i="18" s="1"/>
  <c r="J39" i="15"/>
  <c r="H40" i="15"/>
  <c r="I40" i="15"/>
  <c r="J40" i="15"/>
  <c r="H41" i="15"/>
  <c r="I41" i="15"/>
  <c r="J41" i="15"/>
  <c r="H42" i="15"/>
  <c r="I42" i="15"/>
  <c r="J42" i="15"/>
  <c r="H43" i="15"/>
  <c r="I43" i="15"/>
  <c r="J43" i="15"/>
  <c r="H44" i="15"/>
  <c r="I44" i="15"/>
  <c r="J44" i="15"/>
  <c r="H45" i="15"/>
  <c r="I45" i="15"/>
  <c r="J45" i="15"/>
  <c r="H46" i="15"/>
  <c r="I46" i="15"/>
  <c r="J46" i="15"/>
  <c r="H47" i="15"/>
  <c r="I47" i="15"/>
  <c r="J47" i="15"/>
  <c r="H49" i="15"/>
  <c r="I49" i="15"/>
  <c r="J49" i="15"/>
  <c r="H50" i="15"/>
  <c r="I50" i="15"/>
  <c r="J50" i="15"/>
  <c r="H51" i="15"/>
  <c r="I51" i="15"/>
  <c r="J51" i="15"/>
  <c r="H52" i="15"/>
  <c r="I52" i="15"/>
  <c r="J52" i="15"/>
  <c r="H53" i="15"/>
  <c r="I53" i="15"/>
  <c r="J53" i="15"/>
  <c r="H54" i="15"/>
  <c r="I54" i="15"/>
  <c r="J54" i="15"/>
  <c r="H55" i="15"/>
  <c r="I55" i="15"/>
  <c r="J55" i="15"/>
  <c r="H56" i="15"/>
  <c r="I56" i="15"/>
  <c r="J56" i="15"/>
  <c r="H57" i="15"/>
  <c r="I57" i="15"/>
  <c r="J57" i="15"/>
  <c r="H58" i="15"/>
  <c r="I58" i="15"/>
  <c r="J58" i="15"/>
  <c r="H59" i="15"/>
  <c r="I59" i="15"/>
  <c r="J59" i="15"/>
  <c r="H60" i="15"/>
  <c r="I60" i="15"/>
  <c r="J60" i="15"/>
  <c r="H61" i="15"/>
  <c r="I61" i="15"/>
  <c r="J61" i="15"/>
  <c r="H62" i="15"/>
  <c r="I62" i="15"/>
  <c r="J62" i="15"/>
  <c r="H63" i="15"/>
  <c r="I63" i="15"/>
  <c r="J63" i="15"/>
  <c r="H64" i="15"/>
  <c r="I64" i="15"/>
  <c r="J64" i="15"/>
  <c r="H65" i="15"/>
  <c r="I65" i="15"/>
  <c r="J65" i="15"/>
  <c r="M5" i="15"/>
  <c r="N5" i="15"/>
  <c r="O5" i="15"/>
  <c r="P5" i="15"/>
  <c r="Q5" i="15"/>
  <c r="R5" i="15"/>
  <c r="M6" i="15"/>
  <c r="N6" i="15"/>
  <c r="O6" i="15"/>
  <c r="P6" i="15"/>
  <c r="Q6" i="15"/>
  <c r="R6" i="15"/>
  <c r="M8" i="15"/>
  <c r="N8" i="15"/>
  <c r="O8" i="15"/>
  <c r="P8" i="15"/>
  <c r="Q8" i="15"/>
  <c r="R8" i="15"/>
  <c r="M9" i="15"/>
  <c r="N9" i="15"/>
  <c r="O9" i="15"/>
  <c r="P9" i="15"/>
  <c r="Q9" i="15"/>
  <c r="R9" i="15"/>
  <c r="M10" i="15"/>
  <c r="N10" i="15"/>
  <c r="O10" i="15"/>
  <c r="P10" i="15"/>
  <c r="Q10" i="15"/>
  <c r="R10" i="15"/>
  <c r="M11" i="15"/>
  <c r="N11" i="15"/>
  <c r="O11" i="15"/>
  <c r="P11" i="15"/>
  <c r="Q11" i="15"/>
  <c r="R11" i="15"/>
  <c r="M12" i="15"/>
  <c r="N12" i="15"/>
  <c r="O12" i="15"/>
  <c r="P12" i="15"/>
  <c r="Q12" i="15"/>
  <c r="R12" i="15"/>
  <c r="M13" i="15"/>
  <c r="N13" i="15"/>
  <c r="O13" i="15"/>
  <c r="P13" i="15"/>
  <c r="Q13" i="15"/>
  <c r="R13" i="15"/>
  <c r="M14" i="15"/>
  <c r="N14" i="15"/>
  <c r="O14" i="15"/>
  <c r="P14" i="15"/>
  <c r="Q14" i="15"/>
  <c r="R14" i="15"/>
  <c r="M15" i="15"/>
  <c r="N15" i="15"/>
  <c r="O15" i="15"/>
  <c r="P15" i="15"/>
  <c r="Q15" i="15"/>
  <c r="R15" i="15"/>
  <c r="M16" i="15"/>
  <c r="N16" i="15"/>
  <c r="O16" i="15"/>
  <c r="P16" i="15"/>
  <c r="Q16" i="15"/>
  <c r="R16" i="15"/>
  <c r="M19" i="15"/>
  <c r="N19" i="15"/>
  <c r="O19" i="15"/>
  <c r="P19" i="15"/>
  <c r="Q19" i="15"/>
  <c r="R19" i="15"/>
  <c r="M20" i="15"/>
  <c r="N20" i="15"/>
  <c r="O20" i="15"/>
  <c r="P20" i="15"/>
  <c r="Q20" i="15"/>
  <c r="R20" i="15"/>
  <c r="M21" i="15"/>
  <c r="N21" i="15"/>
  <c r="O21" i="15"/>
  <c r="P21" i="15"/>
  <c r="Q21" i="15"/>
  <c r="R21" i="15"/>
  <c r="M22" i="15"/>
  <c r="N22" i="15"/>
  <c r="O22" i="15"/>
  <c r="P22" i="15"/>
  <c r="Q22" i="15"/>
  <c r="R22" i="15"/>
  <c r="M23" i="15"/>
  <c r="N23" i="15"/>
  <c r="O23" i="15"/>
  <c r="P23" i="15"/>
  <c r="Q23" i="15"/>
  <c r="R23" i="15"/>
  <c r="M24" i="15"/>
  <c r="N24" i="15"/>
  <c r="O24" i="15"/>
  <c r="P24" i="15"/>
  <c r="Q24" i="15"/>
  <c r="R24" i="15"/>
  <c r="M25" i="15"/>
  <c r="N25" i="15"/>
  <c r="O25" i="15"/>
  <c r="P25" i="15"/>
  <c r="Q25" i="15"/>
  <c r="R25" i="15"/>
  <c r="M26" i="15"/>
  <c r="N26" i="15"/>
  <c r="O26" i="15"/>
  <c r="P26" i="15"/>
  <c r="Q26" i="15"/>
  <c r="R26" i="15"/>
  <c r="M27" i="15"/>
  <c r="N27" i="15"/>
  <c r="O27" i="15"/>
  <c r="P27" i="15"/>
  <c r="Q27" i="15"/>
  <c r="R27" i="15"/>
  <c r="M28" i="15"/>
  <c r="N28" i="15"/>
  <c r="O28" i="15"/>
  <c r="P28" i="15"/>
  <c r="Q28" i="15"/>
  <c r="R28" i="15"/>
  <c r="M29" i="15"/>
  <c r="N29" i="15"/>
  <c r="O29" i="15"/>
  <c r="P29" i="15"/>
  <c r="Q29" i="15"/>
  <c r="R29" i="15"/>
  <c r="M30" i="15"/>
  <c r="N30" i="15"/>
  <c r="O30" i="15"/>
  <c r="P30" i="15"/>
  <c r="Q30" i="15"/>
  <c r="R30" i="15"/>
  <c r="M31" i="15"/>
  <c r="N31" i="15"/>
  <c r="O31" i="15"/>
  <c r="P31" i="15"/>
  <c r="Q31" i="15"/>
  <c r="R31" i="15"/>
  <c r="M32" i="15"/>
  <c r="N32" i="15"/>
  <c r="O32" i="15"/>
  <c r="P32" i="15"/>
  <c r="Q32" i="15"/>
  <c r="R32" i="15"/>
  <c r="M33" i="15"/>
  <c r="N33" i="15"/>
  <c r="O33" i="15"/>
  <c r="P33" i="15"/>
  <c r="Q33" i="15"/>
  <c r="R33" i="15"/>
  <c r="M35" i="15"/>
  <c r="N35" i="15"/>
  <c r="O35" i="15"/>
  <c r="P35" i="15"/>
  <c r="Q35" i="15"/>
  <c r="R35" i="15"/>
  <c r="M36" i="15"/>
  <c r="N36" i="15"/>
  <c r="O36" i="15"/>
  <c r="P36" i="15"/>
  <c r="Q36" i="15"/>
  <c r="R36" i="15"/>
  <c r="M38" i="15"/>
  <c r="N38" i="15"/>
  <c r="O38" i="15"/>
  <c r="P38" i="15"/>
  <c r="Q38" i="15"/>
  <c r="R38" i="15"/>
  <c r="M39" i="15"/>
  <c r="N39" i="15"/>
  <c r="O39" i="15"/>
  <c r="P39" i="15"/>
  <c r="Q39" i="15"/>
  <c r="R39" i="15"/>
  <c r="M40" i="15"/>
  <c r="N40" i="15"/>
  <c r="O40" i="15"/>
  <c r="P40" i="15"/>
  <c r="Q40" i="15"/>
  <c r="R40" i="15"/>
  <c r="M41" i="15"/>
  <c r="N41" i="15"/>
  <c r="O41" i="15"/>
  <c r="P41" i="15"/>
  <c r="Q41" i="15"/>
  <c r="R41" i="15"/>
  <c r="M42" i="15"/>
  <c r="N42" i="15"/>
  <c r="O42" i="15"/>
  <c r="P42" i="15"/>
  <c r="Q42" i="15"/>
  <c r="R42" i="15"/>
  <c r="M43" i="15"/>
  <c r="N43" i="15"/>
  <c r="O43" i="15"/>
  <c r="P43" i="15"/>
  <c r="Q43" i="15"/>
  <c r="R43" i="15"/>
  <c r="M44" i="15"/>
  <c r="N44" i="15"/>
  <c r="O44" i="15"/>
  <c r="P44" i="15"/>
  <c r="Q44" i="15"/>
  <c r="R44" i="15"/>
  <c r="M45" i="15"/>
  <c r="N45" i="15"/>
  <c r="O45" i="15"/>
  <c r="P45" i="15"/>
  <c r="Q45" i="15"/>
  <c r="R45" i="15"/>
  <c r="M46" i="15"/>
  <c r="N46" i="15"/>
  <c r="O46" i="15"/>
  <c r="P46" i="15"/>
  <c r="Q46" i="15"/>
  <c r="R46" i="15"/>
  <c r="M47" i="15"/>
  <c r="N47" i="15"/>
  <c r="O47" i="15"/>
  <c r="P47" i="15"/>
  <c r="Q47" i="15"/>
  <c r="R47" i="15"/>
  <c r="M49" i="15"/>
  <c r="N49" i="15"/>
  <c r="O49" i="15"/>
  <c r="P49" i="15"/>
  <c r="Q49" i="15"/>
  <c r="R49" i="15"/>
  <c r="M50" i="15"/>
  <c r="N50" i="15"/>
  <c r="O50" i="15"/>
  <c r="P50" i="15"/>
  <c r="Q50" i="15"/>
  <c r="R50" i="15"/>
  <c r="M51" i="15"/>
  <c r="N51" i="15"/>
  <c r="O51" i="15"/>
  <c r="P51" i="15"/>
  <c r="Q51" i="15"/>
  <c r="R51" i="15"/>
  <c r="M52" i="15"/>
  <c r="N52" i="15"/>
  <c r="O52" i="15"/>
  <c r="P52" i="15"/>
  <c r="Q52" i="15"/>
  <c r="R52" i="15"/>
  <c r="M53" i="15"/>
  <c r="N53" i="15"/>
  <c r="O53" i="15"/>
  <c r="P53" i="15"/>
  <c r="Q53" i="15"/>
  <c r="R53" i="15"/>
  <c r="M54" i="15"/>
  <c r="N54" i="15"/>
  <c r="O54" i="15"/>
  <c r="P54" i="15"/>
  <c r="Q54" i="15"/>
  <c r="R54" i="15"/>
  <c r="M55" i="15"/>
  <c r="N55" i="15"/>
  <c r="O55" i="15"/>
  <c r="P55" i="15"/>
  <c r="Q55" i="15"/>
  <c r="R55" i="15"/>
  <c r="M56" i="15"/>
  <c r="N56" i="15"/>
  <c r="O56" i="15"/>
  <c r="P56" i="15"/>
  <c r="Q56" i="15"/>
  <c r="R56" i="15"/>
  <c r="M57" i="15"/>
  <c r="N57" i="15"/>
  <c r="O57" i="15"/>
  <c r="P57" i="15"/>
  <c r="Q57" i="15"/>
  <c r="R57" i="15"/>
  <c r="M58" i="15"/>
  <c r="N58" i="15"/>
  <c r="O58" i="15"/>
  <c r="P58" i="15"/>
  <c r="Q58" i="15"/>
  <c r="R58" i="15"/>
  <c r="M59" i="15"/>
  <c r="N59" i="15"/>
  <c r="O59" i="15"/>
  <c r="P59" i="15"/>
  <c r="Q59" i="15"/>
  <c r="R59" i="15"/>
  <c r="M60" i="15"/>
  <c r="N60" i="15"/>
  <c r="O60" i="15"/>
  <c r="P60" i="15"/>
  <c r="Q60" i="15"/>
  <c r="R60" i="15"/>
  <c r="M61" i="15"/>
  <c r="N61" i="15"/>
  <c r="O61" i="15"/>
  <c r="P61" i="15"/>
  <c r="Q61" i="15"/>
  <c r="R61" i="15"/>
  <c r="M62" i="15"/>
  <c r="N62" i="15"/>
  <c r="O62" i="15"/>
  <c r="P62" i="15"/>
  <c r="Q62" i="15"/>
  <c r="R62" i="15"/>
  <c r="M63" i="15"/>
  <c r="N63" i="15"/>
  <c r="O63" i="15"/>
  <c r="P63" i="15"/>
  <c r="Q63" i="15"/>
  <c r="R63" i="15"/>
  <c r="M64" i="15"/>
  <c r="N64" i="15"/>
  <c r="O64" i="15"/>
  <c r="P64" i="15"/>
  <c r="Q64" i="15"/>
  <c r="R64" i="15"/>
  <c r="M65" i="15"/>
  <c r="N65" i="15"/>
  <c r="O65" i="15"/>
  <c r="P65" i="15"/>
  <c r="Q65" i="15"/>
  <c r="R65" i="15"/>
  <c r="L13" i="15"/>
  <c r="L14" i="15"/>
  <c r="L21" i="15"/>
  <c r="L23" i="15"/>
  <c r="L25" i="15"/>
  <c r="L26" i="15"/>
  <c r="L32" i="15"/>
  <c r="L45" i="15"/>
  <c r="L19" i="15"/>
  <c r="L49" i="15"/>
  <c r="L50" i="15"/>
  <c r="L53" i="15"/>
  <c r="L60" i="15"/>
  <c r="L61" i="15"/>
  <c r="E53" i="18" l="1"/>
  <c r="D2" i="18"/>
  <c r="N2" i="18" s="1"/>
  <c r="N28" i="18"/>
  <c r="N37" i="18"/>
  <c r="D41" i="18"/>
  <c r="N41" i="18" s="1"/>
  <c r="D40" i="18"/>
  <c r="N40" i="18" s="1"/>
  <c r="N43" i="18"/>
  <c r="E35" i="18"/>
  <c r="N35" i="18" s="1"/>
  <c r="E34" i="18"/>
  <c r="N34" i="18" s="1"/>
  <c r="N42" i="18"/>
  <c r="D53" i="18"/>
  <c r="D39" i="18"/>
  <c r="N39" i="18" s="1"/>
  <c r="D32" i="18"/>
  <c r="N32" i="18" s="1"/>
  <c r="D33" i="18"/>
  <c r="N33" i="18" s="1"/>
  <c r="D31" i="18"/>
  <c r="N31" i="18" s="1"/>
  <c r="D38" i="18"/>
  <c r="N38" i="18" s="1"/>
  <c r="D30" i="18"/>
  <c r="N30" i="18" s="1"/>
  <c r="L28" i="15"/>
  <c r="L24" i="15"/>
  <c r="L20" i="15"/>
  <c r="I40" i="3"/>
  <c r="I41" i="3"/>
  <c r="I42" i="3"/>
  <c r="I43" i="3"/>
  <c r="I39" i="3"/>
  <c r="N53" i="18" l="1"/>
  <c r="O44" i="18"/>
  <c r="O28" i="18"/>
  <c r="P28" i="18"/>
  <c r="O40" i="18"/>
  <c r="O34" i="18"/>
  <c r="O38" i="18"/>
  <c r="O39" i="18"/>
  <c r="O30" i="18"/>
  <c r="O33" i="18"/>
  <c r="O31" i="18"/>
  <c r="O32" i="18"/>
  <c r="O35" i="18"/>
  <c r="O41" i="18"/>
  <c r="O37" i="18"/>
  <c r="O42" i="18"/>
  <c r="O43" i="18"/>
  <c r="O53" i="18"/>
  <c r="O2" i="18"/>
  <c r="P35" i="18"/>
  <c r="N45" i="18"/>
  <c r="D29" i="18"/>
  <c r="N29" i="18" s="1"/>
  <c r="D83" i="3"/>
  <c r="W11" i="3" s="1"/>
  <c r="F10" i="18" s="1"/>
  <c r="N5" i="18"/>
  <c r="D84" i="3" l="1"/>
  <c r="O5" i="18"/>
  <c r="O29" i="18"/>
  <c r="O45" i="18"/>
  <c r="P34" i="18"/>
  <c r="D20" i="18"/>
  <c r="N20" i="18" s="1"/>
  <c r="D22" i="18"/>
  <c r="N22" i="18" s="1"/>
  <c r="D21" i="18"/>
  <c r="N21" i="18" s="1"/>
  <c r="L26" i="18"/>
  <c r="L24" i="18"/>
  <c r="L23" i="18"/>
  <c r="E15" i="18"/>
  <c r="E14" i="18"/>
  <c r="E16" i="18"/>
  <c r="E12" i="18"/>
  <c r="E17" i="18"/>
  <c r="E13" i="18"/>
  <c r="E11" i="18"/>
  <c r="D87" i="3"/>
  <c r="D11" i="18" s="1"/>
  <c r="B56" i="18"/>
  <c r="B57" i="18"/>
  <c r="N9" i="18" l="1"/>
  <c r="N11" i="18"/>
  <c r="O21" i="18"/>
  <c r="O20" i="18"/>
  <c r="O22" i="18"/>
  <c r="D23" i="18"/>
  <c r="N23" i="18" s="1"/>
  <c r="L16" i="18"/>
  <c r="D14" i="18"/>
  <c r="N14" i="18" s="1"/>
  <c r="L12" i="18"/>
  <c r="D24" i="18"/>
  <c r="N24" i="18" s="1"/>
  <c r="L17" i="18"/>
  <c r="D15" i="18"/>
  <c r="N15" i="18" s="1"/>
  <c r="L13" i="18"/>
  <c r="L15" i="18"/>
  <c r="D26" i="18"/>
  <c r="N26" i="18" s="1"/>
  <c r="D16" i="18"/>
  <c r="N16" i="18" s="1"/>
  <c r="L14" i="18"/>
  <c r="D12" i="18"/>
  <c r="N12" i="18" s="1"/>
  <c r="D17" i="18"/>
  <c r="N17" i="18" s="1"/>
  <c r="D13" i="18"/>
  <c r="N13" i="18" s="1"/>
  <c r="L11" i="18"/>
  <c r="N52" i="18"/>
  <c r="M4" i="18"/>
  <c r="N4" i="18" s="1"/>
  <c r="O9" i="18" l="1"/>
  <c r="N7" i="18"/>
  <c r="O7" i="18"/>
  <c r="O15" i="18"/>
  <c r="O16" i="18"/>
  <c r="O11" i="18"/>
  <c r="O12" i="18"/>
  <c r="O24" i="18"/>
  <c r="O17" i="18"/>
  <c r="O26" i="18"/>
  <c r="O23" i="18"/>
  <c r="O4" i="18"/>
  <c r="O13" i="18"/>
  <c r="O14" i="18"/>
  <c r="O52" i="18"/>
  <c r="P47" i="18"/>
  <c r="P2" i="18" l="1"/>
  <c r="P52" i="18"/>
  <c r="P46" i="18"/>
  <c r="P53" i="18" l="1"/>
  <c r="P44" i="18" l="1"/>
  <c r="R37" i="13" l="1"/>
  <c r="P9" i="3" l="1"/>
  <c r="K9" i="3"/>
  <c r="D9" i="3"/>
  <c r="O27" i="18" l="1"/>
  <c r="R8" i="13"/>
  <c r="N8" i="18"/>
  <c r="P40" i="18"/>
  <c r="P39" i="18"/>
  <c r="O8" i="18" l="1"/>
  <c r="P41" i="18"/>
  <c r="P42" i="18"/>
  <c r="P31" i="18"/>
  <c r="P43" i="18"/>
  <c r="P32" i="18"/>
  <c r="P33" i="18"/>
  <c r="T21" i="3"/>
  <c r="O21" i="3"/>
  <c r="H21" i="3"/>
  <c r="N10" i="18" l="1"/>
  <c r="E17" i="14"/>
  <c r="O10" i="18"/>
  <c r="P37" i="18"/>
  <c r="P30" i="18"/>
  <c r="P27" i="18"/>
  <c r="P29" i="18"/>
  <c r="T19" i="3"/>
  <c r="D15" i="14"/>
  <c r="O19" i="3"/>
  <c r="H19" i="3"/>
  <c r="O19" i="13"/>
  <c r="Q19" i="13" s="1"/>
  <c r="M19" i="13"/>
  <c r="G19" i="13"/>
  <c r="E15" i="14" l="1"/>
  <c r="M54" i="18"/>
  <c r="U18" i="3" l="1"/>
  <c r="U23" i="3"/>
  <c r="U14" i="3"/>
  <c r="U15" i="3"/>
  <c r="U19" i="3"/>
  <c r="U24" i="3"/>
  <c r="U16" i="3"/>
  <c r="U20" i="3"/>
  <c r="U25" i="3"/>
  <c r="U17" i="3"/>
  <c r="U21" i="3"/>
  <c r="R15" i="13"/>
  <c r="R19" i="13"/>
  <c r="R25" i="13"/>
  <c r="R16" i="13"/>
  <c r="R20" i="13"/>
  <c r="R23" i="13"/>
  <c r="R17" i="13"/>
  <c r="R21" i="13"/>
  <c r="R14" i="13"/>
  <c r="R18" i="13"/>
  <c r="R24" i="13"/>
  <c r="E18" i="18" l="1"/>
  <c r="D18" i="18"/>
  <c r="E19" i="18"/>
  <c r="D19" i="18"/>
  <c r="P4" i="18"/>
  <c r="O18" i="18" l="1"/>
  <c r="N19" i="18"/>
  <c r="O19" i="18"/>
  <c r="N18" i="18"/>
  <c r="L20" i="18"/>
  <c r="L19" i="18"/>
  <c r="L18" i="18"/>
  <c r="L22" i="18"/>
  <c r="L21" i="18"/>
  <c r="P20" i="18"/>
  <c r="P21" i="18"/>
  <c r="P15" i="18"/>
  <c r="P16" i="18"/>
  <c r="O54" i="18" l="1"/>
  <c r="P22" i="18"/>
  <c r="P19" i="18"/>
  <c r="P50" i="18"/>
  <c r="P49" i="18"/>
  <c r="Q21" i="13" l="1"/>
  <c r="M21" i="13"/>
  <c r="G21" i="13"/>
  <c r="Q28" i="13"/>
  <c r="M28" i="13"/>
  <c r="G28" i="13"/>
  <c r="Q25" i="13"/>
  <c r="M25" i="13"/>
  <c r="G25" i="13"/>
  <c r="Q24" i="13"/>
  <c r="M24" i="13"/>
  <c r="G24" i="13"/>
  <c r="Q23" i="13"/>
  <c r="M23" i="13"/>
  <c r="G23" i="13"/>
  <c r="Q20" i="13"/>
  <c r="M20" i="13"/>
  <c r="G20" i="13"/>
  <c r="Q18" i="13"/>
  <c r="M18" i="13"/>
  <c r="G18" i="13"/>
  <c r="Q17" i="13"/>
  <c r="M17" i="13"/>
  <c r="G17" i="13"/>
  <c r="Q16" i="13"/>
  <c r="M16" i="13"/>
  <c r="G16" i="13"/>
  <c r="Q15" i="13"/>
  <c r="M15" i="13"/>
  <c r="G15" i="13"/>
  <c r="Q14" i="13"/>
  <c r="M14" i="13"/>
  <c r="G14" i="13"/>
  <c r="D54" i="18" l="1"/>
  <c r="P7" i="18"/>
  <c r="P5" i="18"/>
  <c r="P3" i="18"/>
  <c r="T28" i="3"/>
  <c r="O28" i="3"/>
  <c r="H28" i="3"/>
  <c r="T25" i="3"/>
  <c r="O25" i="3"/>
  <c r="H25" i="3"/>
  <c r="T24" i="3"/>
  <c r="O24" i="3"/>
  <c r="H24" i="3"/>
  <c r="T23" i="3"/>
  <c r="O23" i="3"/>
  <c r="H23" i="3"/>
  <c r="T20" i="3"/>
  <c r="O20" i="3"/>
  <c r="H20" i="3"/>
  <c r="T18" i="3"/>
  <c r="O18" i="3"/>
  <c r="H18" i="3"/>
  <c r="T17" i="3"/>
  <c r="O17" i="3"/>
  <c r="H17" i="3"/>
  <c r="T16" i="3"/>
  <c r="O16" i="3"/>
  <c r="H16" i="3"/>
  <c r="T15" i="3"/>
  <c r="O15" i="3"/>
  <c r="H15" i="3"/>
  <c r="T14" i="3"/>
  <c r="O14" i="3"/>
  <c r="H14" i="3"/>
  <c r="E10" i="14" l="1"/>
  <c r="E14" i="14"/>
  <c r="E20" i="14"/>
  <c r="E13" i="14"/>
  <c r="E19" i="14"/>
  <c r="E12" i="14"/>
  <c r="E18" i="14"/>
  <c r="E11" i="14"/>
  <c r="E16" i="14"/>
  <c r="E21" i="14"/>
  <c r="P38" i="18"/>
  <c r="P9" i="18"/>
  <c r="P8" i="18"/>
  <c r="P45" i="18"/>
  <c r="F54" i="18"/>
  <c r="C54" i="18"/>
  <c r="E54" i="18"/>
  <c r="B59" i="18" l="1"/>
  <c r="B58" i="18"/>
  <c r="P10" i="18"/>
  <c r="P17" i="18"/>
  <c r="P18" i="18"/>
  <c r="P11" i="18"/>
  <c r="P13" i="18"/>
  <c r="P12" i="18"/>
  <c r="P26" i="18"/>
  <c r="P14" i="18"/>
  <c r="P23" i="18"/>
  <c r="N54" i="18"/>
  <c r="P24" i="18"/>
  <c r="B60" i="18" l="1"/>
  <c r="P54" i="18"/>
  <c r="L9" i="15" l="1"/>
  <c r="L52" i="15"/>
  <c r="L41" i="15"/>
  <c r="L62" i="15"/>
  <c r="L51" i="15"/>
  <c r="L36" i="15"/>
  <c r="L65" i="15"/>
  <c r="L30" i="15"/>
  <c r="L44" i="15"/>
  <c r="L27" i="15"/>
  <c r="L46" i="15"/>
  <c r="L6" i="15"/>
  <c r="L47" i="15"/>
  <c r="L55" i="15"/>
  <c r="L33" i="15"/>
  <c r="L63" i="15"/>
  <c r="L31" i="15"/>
  <c r="L35" i="15"/>
  <c r="L8" i="15"/>
  <c r="L64" i="15"/>
  <c r="L40" i="15"/>
  <c r="L22" i="15"/>
  <c r="L10" i="15"/>
  <c r="L38" i="15"/>
  <c r="L29" i="15"/>
  <c r="L39" i="15"/>
  <c r="L59" i="15"/>
  <c r="L43" i="15"/>
  <c r="L56" i="15"/>
  <c r="L16" i="15"/>
  <c r="L15" i="15"/>
  <c r="L57" i="15"/>
  <c r="L5" i="15"/>
  <c r="L11" i="15"/>
  <c r="L58" i="15"/>
  <c r="L12" i="15"/>
  <c r="L42" i="15"/>
  <c r="L54" i="15"/>
  <c r="L54" i="18" l="1"/>
  <c r="AX20" i="15" l="1"/>
  <c r="AX28" i="15"/>
  <c r="AX24" i="15"/>
  <c r="AX19" i="15"/>
  <c r="AX26" i="15"/>
  <c r="AX52" i="15"/>
  <c r="AX41" i="15"/>
  <c r="AX65" i="15"/>
  <c r="AX36" i="15"/>
  <c r="AX30" i="15"/>
  <c r="AX53" i="15"/>
  <c r="AX62" i="15"/>
  <c r="AX46" i="15"/>
  <c r="AX44" i="15"/>
  <c r="AX63" i="15"/>
  <c r="AX47" i="15"/>
  <c r="AX27" i="15"/>
  <c r="AX33" i="15"/>
  <c r="AX55" i="15"/>
  <c r="AX35" i="15"/>
  <c r="AX8" i="15"/>
  <c r="AX64" i="15"/>
  <c r="AX40" i="15"/>
  <c r="AX29" i="15"/>
  <c r="AX38" i="15"/>
  <c r="AX22" i="15"/>
  <c r="AX31" i="15"/>
  <c r="AX56" i="15"/>
  <c r="AX39" i="15"/>
  <c r="AX59" i="15"/>
  <c r="AX43" i="15"/>
  <c r="AX58" i="15"/>
  <c r="AX42" i="15"/>
  <c r="AX57" i="15"/>
  <c r="AX5" i="15"/>
  <c r="AX5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Beaulieu, Shelley (CliftonPark,NY-US)</author>
  </authors>
  <commentList>
    <comment ref="G3" authorId="0" shapeId="0" xr:uid="{00000000-0006-0000-0200-000001000000}">
      <text>
        <r>
          <rPr>
            <sz val="9"/>
            <color indexed="81"/>
            <rFont val="Tahoma"/>
            <family val="2"/>
          </rPr>
          <t>*Occupiable space = Gross heated square footage of residential and residentially-associated spaces.   Previously called GHSF.</t>
        </r>
      </text>
    </comment>
    <comment ref="G7" authorId="0" shapeId="0" xr:uid="{00000000-0006-0000-0200-000002000000}">
      <text>
        <r>
          <rPr>
            <sz val="9"/>
            <color indexed="81"/>
            <rFont val="Tahoma"/>
            <family val="2"/>
          </rPr>
          <t xml:space="preserve">** As defined in the 2016 Supplement to the New York State Energy Conservation Construction Code (Revised August 2016).
</t>
        </r>
      </text>
    </comment>
    <comment ref="D40" authorId="0" shapeId="0" xr:uid="{00000000-0006-0000-0200-000003000000}">
      <text>
        <r>
          <rPr>
            <sz val="9"/>
            <color indexed="81"/>
            <rFont val="Tahoma"/>
            <family val="2"/>
          </rPr>
          <t>Shower flow rate per stall; Flowrates as rated at 80 psi.</t>
        </r>
      </text>
    </comment>
    <comment ref="D66" authorId="0" shapeId="0" xr:uid="{00000000-0006-0000-0200-000004000000}">
      <text>
        <r>
          <rPr>
            <sz val="9"/>
            <color indexed="81"/>
            <rFont val="Tahoma"/>
            <family val="2"/>
          </rPr>
          <t>These LPD can be adjusted using the Room Geometry Adjustment per ASHRAE 90.1-
2013 Section 9.6.4.</t>
        </r>
      </text>
    </comment>
    <comment ref="D67" authorId="0" shapeId="0" xr:uid="{00000000-0006-0000-0200-000005000000}">
      <text>
        <r>
          <rPr>
            <sz val="9"/>
            <color indexed="81"/>
            <rFont val="Tahoma"/>
            <family val="2"/>
          </rPr>
          <t>These LPD can be adjusted using the Room Geometry Adjustment per ASHRAE 90.1-2013 Section 9.6.4.</t>
        </r>
      </text>
    </comment>
    <comment ref="D68" authorId="0" shapeId="0" xr:uid="{00000000-0006-0000-0200-000006000000}">
      <text>
        <r>
          <rPr>
            <sz val="9"/>
            <color indexed="81"/>
            <rFont val="Tahoma"/>
            <family val="2"/>
          </rPr>
          <t>These LPD can be adjusted using the Room Geometry Adjustment per ASHRAE 90.1-2013 Section 9.6.4.</t>
        </r>
      </text>
    </comment>
    <comment ref="D69" authorId="0" shapeId="0" xr:uid="{00000000-0006-0000-0200-000007000000}">
      <text>
        <r>
          <rPr>
            <sz val="9"/>
            <color indexed="81"/>
            <rFont val="Tahoma"/>
            <family val="2"/>
          </rPr>
          <t>These LPD can be adjusted using the Room Geometry Adjustment per ASHRAE 90.1-2013 Section 9.6.4.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Beaulieu, Shelley (CliftonPark,NY-US)</author>
    <author>Shelley Beaulieu</author>
  </authors>
  <commentList>
    <comment ref="D8" authorId="0" shapeId="0" xr:uid="{00000000-0006-0000-0300-000001000000}">
      <text>
        <r>
          <rPr>
            <b/>
            <sz val="9"/>
            <color indexed="81"/>
            <rFont val="Tahoma"/>
            <family val="2"/>
          </rPr>
          <t>Beaulieu, Shelley (CliftonPark,NY-US):</t>
        </r>
        <r>
          <rPr>
            <sz val="9"/>
            <color indexed="81"/>
            <rFont val="Tahoma"/>
            <family val="2"/>
          </rPr>
          <t xml:space="preserve">
TRM Version 6 (1/1/2019)
</t>
        </r>
      </text>
    </comment>
    <comment ref="J8" authorId="0" shapeId="0" xr:uid="{00000000-0006-0000-0300-000002000000}">
      <text>
        <r>
          <rPr>
            <b/>
            <sz val="9"/>
            <color indexed="81"/>
            <rFont val="Tahoma"/>
            <family val="2"/>
          </rPr>
          <t>Beaulieu, Shelley (CliftonPark,NY-US):</t>
        </r>
        <r>
          <rPr>
            <sz val="9"/>
            <color indexed="81"/>
            <rFont val="Tahoma"/>
            <family val="2"/>
          </rPr>
          <t xml:space="preserve">
11-13-2</t>
        </r>
      </text>
    </comment>
    <comment ref="N8" authorId="0" shapeId="0" xr:uid="{00000000-0006-0000-0300-000003000000}">
      <text>
        <r>
          <rPr>
            <b/>
            <sz val="9"/>
            <color indexed="81"/>
            <rFont val="Tahoma"/>
            <family val="2"/>
          </rPr>
          <t>Beaulieu, Shelley (CliftonPark,NY-US):</t>
        </r>
        <r>
          <rPr>
            <sz val="9"/>
            <color indexed="81"/>
            <rFont val="Tahoma"/>
            <family val="2"/>
          </rPr>
          <t xml:space="preserve">
11-13-2</t>
        </r>
      </text>
    </comment>
    <comment ref="D9" authorId="0" shapeId="0" xr:uid="{00000000-0006-0000-0300-000004000000}">
      <text>
        <r>
          <rPr>
            <b/>
            <sz val="9"/>
            <color indexed="81"/>
            <rFont val="Tahoma"/>
            <family val="2"/>
          </rPr>
          <t>Beaulieu, Shelley (CliftonPark,NY-US):</t>
        </r>
        <r>
          <rPr>
            <sz val="9"/>
            <color indexed="81"/>
            <rFont val="Tahoma"/>
            <family val="2"/>
          </rPr>
          <t xml:space="preserve">
TRM Version 6 (1/1/2019)</t>
        </r>
      </text>
    </comment>
    <comment ref="J9" authorId="0" shapeId="0" xr:uid="{00000000-0006-0000-0300-000005000000}">
      <text>
        <r>
          <rPr>
            <b/>
            <sz val="9"/>
            <color indexed="81"/>
            <rFont val="Tahoma"/>
            <family val="2"/>
          </rPr>
          <t>Beaulieu, Shelley (CliftonPark,NY-US):</t>
        </r>
        <r>
          <rPr>
            <sz val="9"/>
            <color indexed="81"/>
            <rFont val="Tahoma"/>
            <family val="2"/>
          </rPr>
          <t xml:space="preserve">
TRM Version 6 (1/1/2019)</t>
        </r>
      </text>
    </comment>
    <comment ref="N9" authorId="0" shapeId="0" xr:uid="{00000000-0006-0000-0300-000006000000}">
      <text>
        <r>
          <rPr>
            <b/>
            <sz val="9"/>
            <color indexed="81"/>
            <rFont val="Tahoma"/>
            <family val="2"/>
          </rPr>
          <t>Beaulieu, Shelley (CliftonPark,NY-US):</t>
        </r>
        <r>
          <rPr>
            <sz val="9"/>
            <color indexed="81"/>
            <rFont val="Tahoma"/>
            <family val="2"/>
          </rPr>
          <t xml:space="preserve">
TRM Version 6 (1/1/2019)</t>
        </r>
      </text>
    </comment>
    <comment ref="D56" authorId="1" shapeId="0" xr:uid="{B03B8D20-25A8-4D2D-BAA5-9FEC06E1BD90}">
      <text>
        <r>
          <rPr>
            <b/>
            <sz val="9"/>
            <color indexed="81"/>
            <rFont val="Tahoma"/>
            <family val="2"/>
          </rPr>
          <t>Shelley Beaulieu:</t>
        </r>
        <r>
          <rPr>
            <sz val="9"/>
            <color indexed="81"/>
            <rFont val="Tahoma"/>
            <family val="2"/>
          </rPr>
          <t xml:space="preserve">
HSPF or COP at 47 degrees F db</t>
        </r>
      </text>
    </comment>
    <comment ref="F56" authorId="1" shapeId="0" xr:uid="{AFE82D74-240B-479F-9831-BB08BEACBF1C}">
      <text>
        <r>
          <rPr>
            <b/>
            <sz val="9"/>
            <color indexed="81"/>
            <rFont val="Tahoma"/>
            <family val="2"/>
          </rPr>
          <t>Shelley Beaulieu:</t>
        </r>
        <r>
          <rPr>
            <sz val="9"/>
            <color indexed="81"/>
            <rFont val="Tahoma"/>
            <family val="2"/>
          </rPr>
          <t xml:space="preserve">
HSPF or COP at 17 degrees F db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Beaulieu, Shelley (CliftonPark,NY-US)</author>
    <author>Beaulieu, Shelley</author>
  </authors>
  <commentList>
    <comment ref="D36" authorId="0" shapeId="0" xr:uid="{00000000-0006-0000-0400-000001000000}">
      <text>
        <r>
          <rPr>
            <b/>
            <sz val="9"/>
            <color indexed="81"/>
            <rFont val="Tahoma"/>
            <family val="2"/>
          </rPr>
          <t>Beaulieu, Shelley (CliftonPark,NY-US):</t>
        </r>
        <r>
          <rPr>
            <sz val="9"/>
            <color indexed="81"/>
            <rFont val="Tahoma"/>
            <family val="2"/>
          </rPr>
          <t xml:space="preserve">
For heating systems rated in COP, the Tech Manual AFUE assumptions were used.</t>
        </r>
      </text>
    </comment>
    <comment ref="D56" authorId="1" shapeId="0" xr:uid="{00000000-0006-0000-0400-000002000000}">
      <text>
        <r>
          <rPr>
            <sz val="9"/>
            <color indexed="81"/>
            <rFont val="Tahoma"/>
            <family val="2"/>
          </rPr>
          <t>COP at 17</t>
        </r>
      </text>
    </comment>
    <comment ref="F56" authorId="1" shapeId="0" xr:uid="{00000000-0006-0000-0400-000003000000}">
      <text>
        <r>
          <rPr>
            <sz val="9"/>
            <color indexed="81"/>
            <rFont val="Tahoma"/>
            <family val="2"/>
          </rPr>
          <t>COP at 47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Beaulieu, Shelley (CliftonPark,NY-US)</author>
    <author>TRC</author>
  </authors>
  <commentList>
    <comment ref="A2" authorId="0" shapeId="0" xr:uid="{00000000-0006-0000-0500-000001000000}">
      <text>
        <r>
          <rPr>
            <b/>
            <sz val="9"/>
            <color indexed="81"/>
            <rFont val="Tahoma"/>
            <family val="2"/>
          </rPr>
          <t>Beaulieu, Shelley (CliftonPark,NY-US):</t>
        </r>
        <r>
          <rPr>
            <sz val="9"/>
            <color indexed="81"/>
            <rFont val="Tahoma"/>
            <family val="2"/>
          </rPr>
          <t xml:space="preserve">
Cities highlighted in yellow are representative cities from Tech Manual Oct 2010.</t>
        </r>
      </text>
    </comment>
    <comment ref="H2" authorId="0" shapeId="0" xr:uid="{00000000-0006-0000-0500-000002000000}">
      <text>
        <r>
          <rPr>
            <b/>
            <sz val="9"/>
            <color indexed="81"/>
            <rFont val="Tahoma"/>
            <family val="2"/>
          </rPr>
          <t>Beaulieu, Shelley (CliftonPark,NY-US):</t>
        </r>
        <r>
          <rPr>
            <sz val="9"/>
            <color indexed="81"/>
            <rFont val="Tahoma"/>
            <family val="2"/>
          </rPr>
          <t xml:space="preserve">
Updated to Tech Manual Version 6</t>
        </r>
      </text>
    </comment>
    <comment ref="I2" authorId="0" shapeId="0" xr:uid="{00000000-0006-0000-0500-000003000000}">
      <text>
        <r>
          <rPr>
            <b/>
            <sz val="9"/>
            <color indexed="81"/>
            <rFont val="Tahoma"/>
            <family val="2"/>
          </rPr>
          <t>Beaulieu, Shelley (CliftonPark,NY-US):</t>
        </r>
        <r>
          <rPr>
            <sz val="9"/>
            <color indexed="81"/>
            <rFont val="Tahoma"/>
            <family val="2"/>
          </rPr>
          <t xml:space="preserve">
Updated to Tech Manual Version 6</t>
        </r>
      </text>
    </comment>
    <comment ref="J2" authorId="0" shapeId="0" xr:uid="{00000000-0006-0000-0500-000004000000}">
      <text>
        <r>
          <rPr>
            <b/>
            <sz val="9"/>
            <color indexed="81"/>
            <rFont val="Tahoma"/>
            <family val="2"/>
          </rPr>
          <t>Beaulieu, Shelley (CliftonPark,NY-US):</t>
        </r>
        <r>
          <rPr>
            <sz val="9"/>
            <color indexed="81"/>
            <rFont val="Tahoma"/>
            <family val="2"/>
          </rPr>
          <t xml:space="preserve">
Tech Manual Oct 2010, Tmains, page 95</t>
        </r>
      </text>
    </comment>
    <comment ref="L2" authorId="0" shapeId="0" xr:uid="{00000000-0006-0000-0500-000005000000}">
      <text>
        <r>
          <rPr>
            <b/>
            <sz val="9"/>
            <color indexed="81"/>
            <rFont val="Tahoma"/>
            <family val="2"/>
          </rPr>
          <t>Beaulieu, Shelley (CliftonPark,NY-US):</t>
        </r>
        <r>
          <rPr>
            <sz val="9"/>
            <color indexed="81"/>
            <rFont val="Tahoma"/>
            <family val="2"/>
          </rPr>
          <t xml:space="preserve">
Tech Manual Oct 2010 pg 290</t>
        </r>
      </text>
    </comment>
    <comment ref="M2" authorId="0" shapeId="0" xr:uid="{00000000-0006-0000-0500-000006000000}">
      <text>
        <r>
          <rPr>
            <b/>
            <sz val="9"/>
            <color indexed="81"/>
            <rFont val="Tahoma"/>
            <family val="2"/>
          </rPr>
          <t>Beaulieu, Shelley (CliftonPark,NY-US):</t>
        </r>
        <r>
          <rPr>
            <sz val="9"/>
            <color indexed="81"/>
            <rFont val="Tahoma"/>
            <family val="2"/>
          </rPr>
          <t xml:space="preserve">
Tech Manual Oct 2010 pg 290</t>
        </r>
      </text>
    </comment>
    <comment ref="N2" authorId="0" shapeId="0" xr:uid="{00000000-0006-0000-0500-000007000000}">
      <text>
        <r>
          <rPr>
            <b/>
            <sz val="9"/>
            <color indexed="81"/>
            <rFont val="Tahoma"/>
            <family val="2"/>
          </rPr>
          <t>Beaulieu, Shelley (CliftonPark,NY-US):</t>
        </r>
        <r>
          <rPr>
            <sz val="9"/>
            <color indexed="81"/>
            <rFont val="Tahoma"/>
            <family val="2"/>
          </rPr>
          <t xml:space="preserve">
Tech Manual Oct 2010 pg 290</t>
        </r>
      </text>
    </comment>
    <comment ref="P2" authorId="0" shapeId="0" xr:uid="{00000000-0006-0000-0500-000008000000}">
      <text>
        <r>
          <rPr>
            <b/>
            <sz val="9"/>
            <color indexed="81"/>
            <rFont val="Tahoma"/>
            <family val="2"/>
          </rPr>
          <t>Beaulieu, Shelley (CliftonPark,NY-US):</t>
        </r>
        <r>
          <rPr>
            <sz val="9"/>
            <color indexed="81"/>
            <rFont val="Tahoma"/>
            <family val="2"/>
          </rPr>
          <t xml:space="preserve">
Tech Manual Oct 2010 Appx J, Other category, pg 456.</t>
        </r>
      </text>
    </comment>
    <comment ref="T2" authorId="0" shapeId="0" xr:uid="{00000000-0006-0000-0500-000009000000}">
      <text>
        <r>
          <rPr>
            <b/>
            <sz val="9"/>
            <color indexed="81"/>
            <rFont val="Tahoma"/>
            <family val="2"/>
          </rPr>
          <t>Beaulieu, Shelley (CliftonPark,NY-US):</t>
        </r>
        <r>
          <rPr>
            <sz val="9"/>
            <color indexed="81"/>
            <rFont val="Tahoma"/>
            <family val="2"/>
          </rPr>
          <t xml:space="preserve">
Used values from R-19 to R-30 from tables starting on page 380 of Oct 2010 Tech Manual</t>
        </r>
      </text>
    </comment>
    <comment ref="W2" authorId="0" shapeId="0" xr:uid="{00000000-0006-0000-0500-00000A000000}">
      <text>
        <r>
          <rPr>
            <b/>
            <sz val="9"/>
            <color indexed="81"/>
            <rFont val="Tahoma"/>
            <family val="2"/>
          </rPr>
          <t>Beaulieu, Shelley (CliftonPark,NY-US):</t>
        </r>
        <r>
          <rPr>
            <sz val="9"/>
            <color indexed="81"/>
            <rFont val="Tahoma"/>
            <family val="2"/>
          </rPr>
          <t xml:space="preserve">
Used values from R-19 to R-30 from tables starting on page 380 of Oct 2010 Tech Manual</t>
        </r>
      </text>
    </comment>
    <comment ref="Z2" authorId="0" shapeId="0" xr:uid="{00000000-0006-0000-0500-00000B000000}">
      <text>
        <r>
          <rPr>
            <b/>
            <sz val="9"/>
            <color indexed="81"/>
            <rFont val="Tahoma"/>
            <family val="2"/>
          </rPr>
          <t>Beaulieu, Shelley (CliftonPark,NY-US):</t>
        </r>
        <r>
          <rPr>
            <sz val="9"/>
            <color indexed="81"/>
            <rFont val="Tahoma"/>
            <family val="2"/>
          </rPr>
          <t xml:space="preserve">
Used values from R-38 to R-49 from tables starting on page 380 of Oct 2010 Tech Manual</t>
        </r>
      </text>
    </comment>
    <comment ref="AC2" authorId="0" shapeId="0" xr:uid="{00000000-0006-0000-0500-00000C000000}">
      <text>
        <r>
          <rPr>
            <b/>
            <sz val="9"/>
            <color indexed="81"/>
            <rFont val="Tahoma"/>
            <family val="2"/>
          </rPr>
          <t>Beaulieu, Shelley (CliftonPark,NY-US):</t>
        </r>
        <r>
          <rPr>
            <sz val="9"/>
            <color indexed="81"/>
            <rFont val="Tahoma"/>
            <family val="2"/>
          </rPr>
          <t xml:space="preserve">
Used values from R-11 to R-13 from tables starting on page 380 of Oct 2010 Tech Manual</t>
        </r>
      </text>
    </comment>
    <comment ref="AF2" authorId="0" shapeId="0" xr:uid="{00000000-0006-0000-0500-00000D000000}">
      <text>
        <r>
          <rPr>
            <b/>
            <sz val="9"/>
            <color indexed="81"/>
            <rFont val="Tahoma"/>
            <family val="2"/>
          </rPr>
          <t>Beaulieu, Shelley (CliftonPark,NY-US):</t>
        </r>
        <r>
          <rPr>
            <sz val="9"/>
            <color indexed="81"/>
            <rFont val="Tahoma"/>
            <family val="2"/>
          </rPr>
          <t xml:space="preserve">
Used values from interpolated value between R-13 and R-17 to R-19 from tables starting on page 380 of Oct 2010 Tech Manual</t>
        </r>
      </text>
    </comment>
    <comment ref="AI2" authorId="0" shapeId="0" xr:uid="{00000000-0006-0000-0500-00000E000000}">
      <text>
        <r>
          <rPr>
            <b/>
            <sz val="9"/>
            <color indexed="81"/>
            <rFont val="Tahoma"/>
            <family val="2"/>
          </rPr>
          <t>Beaulieu, Shelley (CliftonPark,NY-US):</t>
        </r>
        <r>
          <rPr>
            <sz val="9"/>
            <color indexed="81"/>
            <rFont val="Tahoma"/>
            <family val="2"/>
          </rPr>
          <t xml:space="preserve">
Used values from R-11 to R-19 from tables starting on page 380 of Oct 2010 Tech Manual</t>
        </r>
      </text>
    </comment>
    <comment ref="AL2" authorId="0" shapeId="0" xr:uid="{00000000-0006-0000-0500-00000F000000}">
      <text>
        <r>
          <rPr>
            <b/>
            <sz val="9"/>
            <color indexed="81"/>
            <rFont val="Tahoma"/>
            <family val="2"/>
          </rPr>
          <t>Beaulieu, Shelley (CliftonPark,NY-US):</t>
        </r>
        <r>
          <rPr>
            <sz val="9"/>
            <color indexed="81"/>
            <rFont val="Tahoma"/>
            <family val="2"/>
          </rPr>
          <t xml:space="preserve">
Used values interpolated between R-13 and R-17 to R-21 from tables starting on page 380 of Oct 2010 Tech Manual</t>
        </r>
      </text>
    </comment>
    <comment ref="AO2" authorId="0" shapeId="0" xr:uid="{00000000-0006-0000-0500-000010000000}">
      <text>
        <r>
          <rPr>
            <b/>
            <sz val="9"/>
            <color indexed="81"/>
            <rFont val="Tahoma"/>
            <family val="2"/>
          </rPr>
          <t>Beaulieu, Shelley (CliftonPark,NY-US):</t>
        </r>
        <r>
          <rPr>
            <sz val="9"/>
            <color indexed="81"/>
            <rFont val="Tahoma"/>
            <family val="2"/>
          </rPr>
          <t xml:space="preserve">
From Tech Manual October 2010, used Multifamily Low-Rise values, as High-Rise is not represented.  Used code as baseline, but doubled, as the code reflects reduction 0.05 in U-value, but this requirement is reduction of 0.10 in U-value.  Used AC Gas heat.</t>
        </r>
      </text>
    </comment>
    <comment ref="AR2" authorId="1" shapeId="0" xr:uid="{00000000-0006-0000-0500-000011000000}">
      <text>
        <r>
          <rPr>
            <b/>
            <sz val="8"/>
            <color indexed="81"/>
            <rFont val="Tahoma"/>
            <family val="2"/>
          </rPr>
          <t>TRC:</t>
        </r>
        <r>
          <rPr>
            <sz val="8"/>
            <color indexed="81"/>
            <rFont val="Tahoma"/>
            <family val="2"/>
          </rPr>
          <t xml:space="preserve">
Appendix K (MF Values weren't provided for kWh/ton so similar building type was chosen until that information because available)</t>
        </r>
      </text>
    </comment>
    <comment ref="AS2" authorId="1" shapeId="0" xr:uid="{00000000-0006-0000-0500-000012000000}">
      <text>
        <r>
          <rPr>
            <b/>
            <sz val="8"/>
            <color indexed="81"/>
            <rFont val="Tahoma"/>
            <family val="2"/>
          </rPr>
          <t>TRC:</t>
        </r>
        <r>
          <rPr>
            <sz val="8"/>
            <color indexed="81"/>
            <rFont val="Tahoma"/>
            <family val="2"/>
          </rPr>
          <t xml:space="preserve">
kW/ton values were provided in Appendix K of the the tech manual (pg 462)</t>
        </r>
      </text>
    </comment>
    <comment ref="AT2" authorId="0" shapeId="0" xr:uid="{00000000-0006-0000-0500-000013000000}">
      <text>
        <r>
          <rPr>
            <b/>
            <sz val="9"/>
            <color indexed="81"/>
            <rFont val="Tahoma"/>
            <family val="2"/>
          </rPr>
          <t>Beaulieu, Shelley (CliftonPark,NY-US):</t>
        </r>
        <r>
          <rPr>
            <sz val="9"/>
            <color indexed="81"/>
            <rFont val="Tahoma"/>
            <family val="2"/>
          </rPr>
          <t xml:space="preserve">
Based on Q1 2012 data in RS Means CostWorks database.</t>
        </r>
      </text>
    </comment>
    <comment ref="AU2" authorId="0" shapeId="0" xr:uid="{00000000-0006-0000-0500-000014000000}">
      <text>
        <r>
          <rPr>
            <b/>
            <sz val="9"/>
            <color indexed="81"/>
            <rFont val="Tahoma"/>
            <family val="2"/>
          </rPr>
          <t>Beaulieu, Shelley (CliftonPark,NY-US):</t>
        </r>
        <r>
          <rPr>
            <sz val="9"/>
            <color indexed="81"/>
            <rFont val="Tahoma"/>
            <family val="2"/>
          </rPr>
          <t xml:space="preserve">
Based on geography and climate zones, when appropriate</t>
        </r>
      </text>
    </comment>
    <comment ref="Q3" authorId="0" shapeId="0" xr:uid="{00000000-0006-0000-0500-000015000000}">
      <text>
        <r>
          <rPr>
            <b/>
            <sz val="9"/>
            <color indexed="81"/>
            <rFont val="Tahoma"/>
            <family val="2"/>
          </rPr>
          <t>Beaulieu, Shelley (CliftonPark,NY-US):</t>
        </r>
        <r>
          <rPr>
            <sz val="9"/>
            <color indexed="81"/>
            <rFont val="Tahoma"/>
            <family val="2"/>
          </rPr>
          <t xml:space="preserve">
Tech Manual Oct 2010 pg 395</t>
        </r>
      </text>
    </comment>
    <comment ref="R3" authorId="0" shapeId="0" xr:uid="{00000000-0006-0000-0500-000016000000}">
      <text>
        <r>
          <rPr>
            <b/>
            <sz val="9"/>
            <color indexed="81"/>
            <rFont val="Tahoma"/>
            <family val="2"/>
          </rPr>
          <t>Beaulieu, Shelley (CliftonPark,NY-US):</t>
        </r>
        <r>
          <rPr>
            <sz val="9"/>
            <color indexed="81"/>
            <rFont val="Tahoma"/>
            <family val="2"/>
          </rPr>
          <t xml:space="preserve">
Tech Manual Oct 2010 pg 395</t>
        </r>
      </text>
    </comment>
    <comment ref="S3" authorId="0" shapeId="0" xr:uid="{00000000-0006-0000-0500-000017000000}">
      <text>
        <r>
          <rPr>
            <b/>
            <sz val="9"/>
            <color indexed="81"/>
            <rFont val="Tahoma"/>
            <family val="2"/>
          </rPr>
          <t>Beaulieu, Shelley (CliftonPark,NY-US):</t>
        </r>
        <r>
          <rPr>
            <sz val="9"/>
            <color indexed="81"/>
            <rFont val="Tahoma"/>
            <family val="2"/>
          </rPr>
          <t xml:space="preserve">
Tech Manual Oct 2010 pg 395</t>
        </r>
      </text>
    </comment>
    <comment ref="AT48" authorId="0" shapeId="0" xr:uid="{00000000-0006-0000-0500-000019000000}">
      <text>
        <r>
          <rPr>
            <b/>
            <sz val="9"/>
            <color indexed="81"/>
            <rFont val="Tahoma"/>
            <family val="2"/>
          </rPr>
          <t>Beaulieu, Shelley (CliftonPark,NY-US):</t>
        </r>
        <r>
          <rPr>
            <sz val="9"/>
            <color indexed="81"/>
            <rFont val="Tahoma"/>
            <family val="2"/>
          </rPr>
          <t xml:space="preserve">
Plattsburg is the closest city in the RS Means City Cost Indicator.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Shelley Beaulieu</author>
    <author>Beaulieu, Shelley (CliftonPark,NY-US)</author>
  </authors>
  <commentList>
    <comment ref="Q5" authorId="0" shapeId="0" xr:uid="{537B9F5D-CAD8-4CC4-B428-72C56A904618}">
      <text>
        <r>
          <rPr>
            <sz val="9"/>
            <color indexed="81"/>
            <rFont val="Tahoma"/>
            <family val="2"/>
          </rPr>
          <t>As the Technical Manual does not have energy savings calculations for commerical clothes washers, the savings in the MFHR Simulation Guidelines was used.</t>
        </r>
      </text>
    </comment>
    <comment ref="B25" authorId="1" shapeId="0" xr:uid="{00000000-0006-0000-0700-000001000000}">
      <text>
        <r>
          <rPr>
            <b/>
            <sz val="9"/>
            <color indexed="81"/>
            <rFont val="Tahoma"/>
            <family val="2"/>
          </rPr>
          <t>Beaulieu, Shelley (CliftonPark,NY-US):</t>
        </r>
        <r>
          <rPr>
            <sz val="9"/>
            <color indexed="81"/>
            <rFont val="Tahoma"/>
            <family val="2"/>
          </rPr>
          <t xml:space="preserve">
Per Tech Manual Oct 2010 pg 124, a window must have a U-value of less than 0.57 to be considered for incentives.</t>
        </r>
      </text>
    </comment>
    <comment ref="C49" authorId="1" shapeId="0" xr:uid="{00000000-0006-0000-0700-000002000000}">
      <text>
        <r>
          <rPr>
            <b/>
            <sz val="9"/>
            <color indexed="81"/>
            <rFont val="Tahoma"/>
            <family val="2"/>
          </rPr>
          <t>Beaulieu, Shelley (CliftonPark,NY-US):</t>
        </r>
        <r>
          <rPr>
            <sz val="9"/>
            <color indexed="81"/>
            <rFont val="Tahoma"/>
            <family val="2"/>
          </rPr>
          <t xml:space="preserve">
kWh/hp value from Tech Manual Oct 2010, Appx K, page 461 for multifamily.</t>
        </r>
      </text>
    </comment>
    <comment ref="L49" authorId="1" shapeId="0" xr:uid="{00000000-0006-0000-0700-000003000000}">
      <text>
        <r>
          <rPr>
            <b/>
            <sz val="9"/>
            <color indexed="81"/>
            <rFont val="Tahoma"/>
            <family val="2"/>
          </rPr>
          <t>Beaulieu, Shelley (CliftonPark,NY-US):</t>
        </r>
        <r>
          <rPr>
            <sz val="9"/>
            <color indexed="81"/>
            <rFont val="Tahoma"/>
            <family val="2"/>
          </rPr>
          <t xml:space="preserve">
kW/hp value from Tech Manual Oct 2010, Appx K, page 462 for multifamily.</t>
        </r>
      </text>
    </comment>
  </commentList>
</comments>
</file>

<file path=xl/sharedStrings.xml><?xml version="1.0" encoding="utf-8"?>
<sst xmlns="http://schemas.openxmlformats.org/spreadsheetml/2006/main" count="2691" uniqueCount="812">
  <si>
    <t xml:space="preserve"> </t>
  </si>
  <si>
    <t>Lighting</t>
  </si>
  <si>
    <t>ENERGY STAR</t>
  </si>
  <si>
    <t>Conditioned space</t>
  </si>
  <si>
    <t>Unconditioned space</t>
  </si>
  <si>
    <t>no requirement</t>
  </si>
  <si>
    <t>All</t>
  </si>
  <si>
    <t>Maximum allowable glazing area</t>
  </si>
  <si>
    <t>Nonmetal framing</t>
  </si>
  <si>
    <t>Metal framing (entrance door)</t>
  </si>
  <si>
    <t>Metal framing (all other)</t>
  </si>
  <si>
    <t>Doors - Opaque</t>
  </si>
  <si>
    <r>
      <t xml:space="preserve"> </t>
    </r>
    <r>
      <rPr>
        <b/>
        <sz val="10"/>
        <color indexed="8"/>
        <rFont val="Calibri"/>
        <family val="2"/>
        <scheme val="minor"/>
      </rPr>
      <t xml:space="preserve">Item </t>
    </r>
    <r>
      <rPr>
        <sz val="10"/>
        <rFont val="Calibri"/>
        <family val="2"/>
        <scheme val="minor"/>
      </rPr>
      <t xml:space="preserve"> </t>
    </r>
  </si>
  <si>
    <r>
      <t xml:space="preserve"> </t>
    </r>
    <r>
      <rPr>
        <b/>
        <sz val="10"/>
        <color indexed="8"/>
        <rFont val="Calibri"/>
        <family val="2"/>
        <scheme val="minor"/>
      </rPr>
      <t xml:space="preserve">Component </t>
    </r>
    <r>
      <rPr>
        <sz val="10"/>
        <rFont val="Calibri"/>
        <family val="2"/>
        <scheme val="minor"/>
      </rPr>
      <t xml:space="preserve"> </t>
    </r>
  </si>
  <si>
    <r>
      <rPr>
        <sz val="10"/>
        <color indexed="8"/>
        <rFont val="Calibri"/>
        <family val="2"/>
        <scheme val="minor"/>
      </rPr>
      <t xml:space="preserve">Insulation entirely above deck </t>
    </r>
    <r>
      <rPr>
        <sz val="10"/>
        <rFont val="Calibri"/>
        <family val="2"/>
        <scheme val="minor"/>
      </rPr>
      <t xml:space="preserve"> </t>
    </r>
  </si>
  <si>
    <t>Ducts</t>
  </si>
  <si>
    <t>1.00 COP / 1.05 IPLV</t>
  </si>
  <si>
    <t>1.00 COP / 1.00 IPLV</t>
  </si>
  <si>
    <t>0.70 COP</t>
  </si>
  <si>
    <r>
      <rPr>
        <b/>
        <sz val="10"/>
        <color indexed="8"/>
        <rFont val="Calibri"/>
        <family val="2"/>
        <scheme val="minor"/>
      </rPr>
      <t xml:space="preserve">Ventilation </t>
    </r>
    <r>
      <rPr>
        <b/>
        <sz val="10"/>
        <rFont val="Calibri"/>
        <family val="2"/>
        <scheme val="minor"/>
      </rPr>
      <t xml:space="preserve"> </t>
    </r>
  </si>
  <si>
    <r>
      <rPr>
        <b/>
        <sz val="10"/>
        <color indexed="8"/>
        <rFont val="Calibri"/>
        <family val="2"/>
        <scheme val="minor"/>
      </rPr>
      <t xml:space="preserve">Envelope </t>
    </r>
    <r>
      <rPr>
        <b/>
        <sz val="10"/>
        <rFont val="Calibri"/>
        <family val="2"/>
        <scheme val="minor"/>
      </rPr>
      <t xml:space="preserve"> </t>
    </r>
  </si>
  <si>
    <r>
      <rPr>
        <sz val="10"/>
        <color indexed="8"/>
        <rFont val="Calibri"/>
        <family val="2"/>
        <scheme val="minor"/>
      </rPr>
      <t xml:space="preserve">Steel-framed </t>
    </r>
    <r>
      <rPr>
        <sz val="10"/>
        <rFont val="Calibri"/>
        <family val="2"/>
        <scheme val="minor"/>
      </rPr>
      <t xml:space="preserve"> </t>
    </r>
  </si>
  <si>
    <t>R-10.0 for 24 in. vertical or horizontal</t>
  </si>
  <si>
    <t>80% Et</t>
  </si>
  <si>
    <t>Heated (radiant)</t>
  </si>
  <si>
    <t>Appliances</t>
  </si>
  <si>
    <t>Roof Insulation</t>
  </si>
  <si>
    <t>Requirement Met</t>
  </si>
  <si>
    <t>Nominal R-value (minimum)</t>
  </si>
  <si>
    <t>Oil or Gas: 85% Et</t>
  </si>
  <si>
    <t>Unheated (non-radiant) and on-grade</t>
  </si>
  <si>
    <t>Electric Resistance space heating</t>
  </si>
  <si>
    <t>Plumbing Fixtures</t>
  </si>
  <si>
    <t>Water heater efficiency: Hot Water Supply Boiler</t>
  </si>
  <si>
    <t>Heating and Cooling</t>
  </si>
  <si>
    <t xml:space="preserve">Occupancy controls  </t>
  </si>
  <si>
    <t>Common Area Lighting</t>
  </si>
  <si>
    <t>Domestic Water Heating</t>
  </si>
  <si>
    <t>Metal framing (curtainwall/storefront)</t>
  </si>
  <si>
    <t>Water heater efficiency: 
In-Unit Electric or Gas Water Heaters (storage or instantaneous)</t>
  </si>
  <si>
    <t>Motors</t>
  </si>
  <si>
    <t>Supply duct Insulation level</t>
  </si>
  <si>
    <t>Envelope</t>
  </si>
  <si>
    <t>Ventilation and Infiltration</t>
  </si>
  <si>
    <t>Direct-drive; variable speed control</t>
  </si>
  <si>
    <t>Direct-drive; variable speed control; ECM</t>
  </si>
  <si>
    <t>In-Unit Lighting</t>
  </si>
  <si>
    <t>Efficacies and location</t>
  </si>
  <si>
    <t>Metal Building</t>
  </si>
  <si>
    <t>R-38.0</t>
  </si>
  <si>
    <t>Attic and Other</t>
  </si>
  <si>
    <t>R-49.0</t>
  </si>
  <si>
    <t>R-30.0</t>
  </si>
  <si>
    <t>R-15.0 for 24 in. vertical or horizontal</t>
  </si>
  <si>
    <t>Refrigerators (where provided)</t>
  </si>
  <si>
    <t>Dishwashers (where provided)</t>
  </si>
  <si>
    <t>Above Grade Wall Insulation</t>
  </si>
  <si>
    <t>Below Grade Wall Insulation</t>
  </si>
  <si>
    <t>Floor Insulation</t>
  </si>
  <si>
    <t>Slab Insulation</t>
  </si>
  <si>
    <t>Steel-Joist</t>
  </si>
  <si>
    <t>Heating and Cooling Equipment Minimum Efficiencies</t>
  </si>
  <si>
    <t>Water heater efficiency (Gas)</t>
  </si>
  <si>
    <t>Water heater efficiency (Electric)</t>
  </si>
  <si>
    <t>Hot Water Supply Boiler (Oil or Gas)</t>
  </si>
  <si>
    <t>R Value</t>
  </si>
  <si>
    <t>U Value</t>
  </si>
  <si>
    <t>String</t>
  </si>
  <si>
    <t>Above Grade Wall</t>
  </si>
  <si>
    <t>Below Grade Wall</t>
  </si>
  <si>
    <t>Unconditioned</t>
  </si>
  <si>
    <t>Wood-framed and other</t>
  </si>
  <si>
    <t>Vertical Glazing (including partially glazed doors)</t>
  </si>
  <si>
    <t>Energy Star</t>
  </si>
  <si>
    <t>SHGC</t>
  </si>
  <si>
    <t>EER/Et</t>
  </si>
  <si>
    <t>COP</t>
  </si>
  <si>
    <t>footcandles</t>
  </si>
  <si>
    <t>Common Area Lighting (Interior)</t>
  </si>
  <si>
    <t>Stairs</t>
  </si>
  <si>
    <t>Corridors</t>
  </si>
  <si>
    <t>Lobby</t>
  </si>
  <si>
    <t>Elec/mech</t>
  </si>
  <si>
    <t>Active Storage</t>
  </si>
  <si>
    <t>Inactive Storage</t>
  </si>
  <si>
    <t>Multipurpose</t>
  </si>
  <si>
    <t>Office</t>
  </si>
  <si>
    <t>Mass Wall</t>
  </si>
  <si>
    <t>Mass Floor</t>
  </si>
  <si>
    <t xml:space="preserve">Insulation entirely above deck  </t>
  </si>
  <si>
    <t xml:space="preserve">Steel-framed  </t>
  </si>
  <si>
    <t>Assembly Max. U/SHGC</t>
  </si>
  <si>
    <t xml:space="preserve">Albany </t>
  </si>
  <si>
    <t xml:space="preserve">Allegany </t>
  </si>
  <si>
    <t xml:space="preserve">Bronx </t>
  </si>
  <si>
    <t xml:space="preserve">Broome </t>
  </si>
  <si>
    <t xml:space="preserve">Cattaraugus </t>
  </si>
  <si>
    <t xml:space="preserve">Cayuga </t>
  </si>
  <si>
    <t xml:space="preserve">Chautauqua </t>
  </si>
  <si>
    <t xml:space="preserve">Chemung </t>
  </si>
  <si>
    <t xml:space="preserve">Chenango </t>
  </si>
  <si>
    <t xml:space="preserve">Clinton </t>
  </si>
  <si>
    <t xml:space="preserve">Columbia </t>
  </si>
  <si>
    <t xml:space="preserve">Cortland </t>
  </si>
  <si>
    <t xml:space="preserve">Delaware </t>
  </si>
  <si>
    <t xml:space="preserve">Dutchess </t>
  </si>
  <si>
    <t xml:space="preserve">Erie </t>
  </si>
  <si>
    <t xml:space="preserve">Essex </t>
  </si>
  <si>
    <t xml:space="preserve">Franklin </t>
  </si>
  <si>
    <t xml:space="preserve">Fulton </t>
  </si>
  <si>
    <t xml:space="preserve">Genessee </t>
  </si>
  <si>
    <t xml:space="preserve">Greene </t>
  </si>
  <si>
    <t xml:space="preserve">Hamilton </t>
  </si>
  <si>
    <t xml:space="preserve">Herkimer </t>
  </si>
  <si>
    <t xml:space="preserve">Jefferson </t>
  </si>
  <si>
    <t xml:space="preserve">Kings </t>
  </si>
  <si>
    <t xml:space="preserve">Lewis </t>
  </si>
  <si>
    <t xml:space="preserve">Livingston </t>
  </si>
  <si>
    <t xml:space="preserve">Madison </t>
  </si>
  <si>
    <t xml:space="preserve">Monroe </t>
  </si>
  <si>
    <t xml:space="preserve">Montgomery </t>
  </si>
  <si>
    <t xml:space="preserve">Nassau </t>
  </si>
  <si>
    <t xml:space="preserve">New York </t>
  </si>
  <si>
    <t xml:space="preserve">Niagara </t>
  </si>
  <si>
    <t xml:space="preserve">Oneida </t>
  </si>
  <si>
    <t xml:space="preserve">Onondaga </t>
  </si>
  <si>
    <t xml:space="preserve">Ontario </t>
  </si>
  <si>
    <t xml:space="preserve">Orange </t>
  </si>
  <si>
    <t xml:space="preserve">Orleans </t>
  </si>
  <si>
    <t xml:space="preserve">Oswego </t>
  </si>
  <si>
    <t xml:space="preserve">Otsego </t>
  </si>
  <si>
    <t xml:space="preserve">Putnam </t>
  </si>
  <si>
    <t xml:space="preserve">Queens </t>
  </si>
  <si>
    <t xml:space="preserve">Rensselaer </t>
  </si>
  <si>
    <t xml:space="preserve">Richmond </t>
  </si>
  <si>
    <t xml:space="preserve">Rockland </t>
  </si>
  <si>
    <t xml:space="preserve">Saratoga </t>
  </si>
  <si>
    <t xml:space="preserve">Schenectady </t>
  </si>
  <si>
    <t xml:space="preserve">Schoharie </t>
  </si>
  <si>
    <t xml:space="preserve">Schuyler </t>
  </si>
  <si>
    <t xml:space="preserve">Seneca </t>
  </si>
  <si>
    <t xml:space="preserve">Steuben </t>
  </si>
  <si>
    <t xml:space="preserve">Suffolk </t>
  </si>
  <si>
    <t xml:space="preserve">Sullivan </t>
  </si>
  <si>
    <t xml:space="preserve">Tioga </t>
  </si>
  <si>
    <t xml:space="preserve">Tompkins </t>
  </si>
  <si>
    <t xml:space="preserve">Ulster </t>
  </si>
  <si>
    <t xml:space="preserve">Warren </t>
  </si>
  <si>
    <t xml:space="preserve">Washington </t>
  </si>
  <si>
    <t xml:space="preserve">Wayne </t>
  </si>
  <si>
    <t xml:space="preserve">Westchester </t>
  </si>
  <si>
    <t xml:space="preserve">Wyoming </t>
  </si>
  <si>
    <t xml:space="preserve">Yates </t>
  </si>
  <si>
    <t xml:space="preserve">COUNTY </t>
  </si>
  <si>
    <t xml:space="preserve">WINTER DESIGN DRY-BULB TEMPERATURE </t>
  </si>
  <si>
    <t xml:space="preserve">SUMMER DESIGN DRY-BULB TEMPERATURE </t>
  </si>
  <si>
    <t xml:space="preserve">COINCIDENT WET-BULB TEMPERATURE </t>
  </si>
  <si>
    <t xml:space="preserve">HEATING DEGREE DAYS </t>
  </si>
  <si>
    <t xml:space="preserve">CLIMATE ZONE </t>
  </si>
  <si>
    <t xml:space="preserve">RESIDENTIAL </t>
  </si>
  <si>
    <t>COMMERCIAL</t>
  </si>
  <si>
    <t>14A</t>
  </si>
  <si>
    <t>11B</t>
  </si>
  <si>
    <t>13A</t>
  </si>
  <si>
    <t>10B</t>
  </si>
  <si>
    <t>12B</t>
  </si>
  <si>
    <t>R-19.0</t>
  </si>
  <si>
    <t>R-11.4 c.i.</t>
  </si>
  <si>
    <t>U-0.50/SHGC-0.40</t>
  </si>
  <si>
    <t>R-13.3 c.i.</t>
  </si>
  <si>
    <t>R-15.2 c.i.</t>
  </si>
  <si>
    <t>11.0 EER</t>
  </si>
  <si>
    <t>SEER</t>
  </si>
  <si>
    <t>SqFt</t>
  </si>
  <si>
    <t>Unit</t>
  </si>
  <si>
    <t>Each</t>
  </si>
  <si>
    <t>CFM</t>
  </si>
  <si>
    <t>Clothes Washers - In-unit (where provided)</t>
  </si>
  <si>
    <t>Clothes Washers - Common-area</t>
  </si>
  <si>
    <t>EER</t>
  </si>
  <si>
    <t>Gallons Per Day Calculations</t>
  </si>
  <si>
    <t>Cold Water Temp</t>
  </si>
  <si>
    <t>Water heater eff. Gas</t>
  </si>
  <si>
    <t>Water heater eff. Electric</t>
  </si>
  <si>
    <t>Totals</t>
  </si>
  <si>
    <t>Lifetime</t>
  </si>
  <si>
    <t>Proposed</t>
  </si>
  <si>
    <t>Baseline</t>
  </si>
  <si>
    <t xml:space="preserve">COOLING DEGREE DAYS </t>
  </si>
  <si>
    <t>Apartment SqFt</t>
  </si>
  <si>
    <t>Non-24 hour space SqFt</t>
  </si>
  <si>
    <t>Baseline kWh</t>
  </si>
  <si>
    <t>Baseline Therms</t>
  </si>
  <si>
    <t>Proposed kWh</t>
  </si>
  <si>
    <t>Proposed Therms</t>
  </si>
  <si>
    <t>Performance Rating</t>
  </si>
  <si>
    <t xml:space="preserve">Appliances  </t>
  </si>
  <si>
    <t xml:space="preserve">Ventilation  </t>
  </si>
  <si>
    <t>HVAC_d
Refridge</t>
  </si>
  <si>
    <t>HVAC_c
Refridge</t>
  </si>
  <si>
    <t>HVAC_g
Refridge</t>
  </si>
  <si>
    <t>Item</t>
  </si>
  <si>
    <t>Component</t>
  </si>
  <si>
    <t>Central Hudson</t>
  </si>
  <si>
    <t>Con Ed</t>
  </si>
  <si>
    <t>NYSEG</t>
  </si>
  <si>
    <t>O &amp; R</t>
  </si>
  <si>
    <t>RG &amp; E</t>
  </si>
  <si>
    <t>Utilities</t>
  </si>
  <si>
    <t>UtilityLookup</t>
  </si>
  <si>
    <t>Metal Building Walls</t>
  </si>
  <si>
    <t>ENERGY STAR Qualified</t>
  </si>
  <si>
    <t>Infiltration Credit</t>
  </si>
  <si>
    <t>Infiltration</t>
  </si>
  <si>
    <t>kWh/1000 SF</t>
  </si>
  <si>
    <t>therms/1000 SF</t>
  </si>
  <si>
    <t>Upstate (non-cooling)</t>
  </si>
  <si>
    <t>Upstate (cooling)</t>
  </si>
  <si>
    <t>Downstate (cooling)</t>
  </si>
  <si>
    <t>Downstate (non-cooling)</t>
  </si>
  <si>
    <t>Non-Cooling kWh Savings</t>
  </si>
  <si>
    <t>Cooling kWh Savings</t>
  </si>
  <si>
    <t>Heating Therm Savings</t>
  </si>
  <si>
    <t>Non-Heating Therm Savings</t>
  </si>
  <si>
    <t>KEDLI</t>
  </si>
  <si>
    <t>GasUtility</t>
  </si>
  <si>
    <t>Other</t>
  </si>
  <si>
    <t>Wood-framed and other Walls</t>
  </si>
  <si>
    <t>R-15.2 ci</t>
  </si>
  <si>
    <t>R-13.0 + R-7.5 ci</t>
  </si>
  <si>
    <t>R-12.5 ci</t>
  </si>
  <si>
    <t>R-14.6 ci</t>
  </si>
  <si>
    <t>R-15.0 for 24 in.</t>
  </si>
  <si>
    <t>R-20.0 for 24 in.</t>
  </si>
  <si>
    <t>R-15.0 for 36 in. + R-5 ci below</t>
  </si>
  <si>
    <t>--</t>
  </si>
  <si>
    <t>Electric (EF): 0.97 - (0.001 * tank gal capacity)</t>
  </si>
  <si>
    <t>11.5 EER/12.0 IEER</t>
  </si>
  <si>
    <t>10.0 EER/10.5 IEER</t>
  </si>
  <si>
    <t>Warm air furnace (&lt;225 KBtu/h, common areas)</t>
  </si>
  <si>
    <t>Warm air furnace (&lt;225 KBtu/h, apartments)</t>
  </si>
  <si>
    <t>80% Et (gas) / 81% Et (oil)</t>
  </si>
  <si>
    <t>Packaged terminal air conditioner (PTAC)</t>
  </si>
  <si>
    <t>Air cooled heat pump (≥13 and &lt;65 KBtu/h)</t>
  </si>
  <si>
    <t>Air cooled heat pump (≥240 KBtu/h)</t>
  </si>
  <si>
    <t>Boilers, hot water (&lt;300,000 Btu/h)</t>
  </si>
  <si>
    <t>Boilers, hot water (≥300,000 Btu/hr)</t>
  </si>
  <si>
    <t>VRF Air Conditioners and Heat Pumps</t>
  </si>
  <si>
    <t>Air conditioners, air cooled (&lt;13 KBtu/h)</t>
  </si>
  <si>
    <t>Air conditioners, air cooled
(≥13 and &lt;65 KBtu/h)</t>
  </si>
  <si>
    <t>Air conditioners, air cooled
(≥65 and &lt;135 KBtu/h)</t>
  </si>
  <si>
    <t>Air conditioners, air cooled
(≥135 and &lt;240 KBtu/h)</t>
  </si>
  <si>
    <t>Air conditioners, air cooled
(≥240 and &lt;760 KBtu/h)</t>
  </si>
  <si>
    <t>Air cooled heat pump (≥65 and &lt;135 KBtu/h)</t>
  </si>
  <si>
    <t>Air cooled heat pump (≥135 and &lt;240 KBtu/h)</t>
  </si>
  <si>
    <t>&gt;40 gpm/hp (@95°F entering water, 85°F leaving water, 75°F wb entering air)</t>
  </si>
  <si>
    <t>&gt;15 gpm/hp (@102°F entering water, 90°F leaving water, 75°F wb entering air)</t>
  </si>
  <si>
    <t>&gt;22 gpm/hp (@95°F entering water, 85°F leaving water, 75°F wb entering air)</t>
  </si>
  <si>
    <t>&gt;8 gpm/hp (@102°F entering water, 90°F leaving water, 75°F wb entering air)</t>
  </si>
  <si>
    <r>
      <t xml:space="preserve"> </t>
    </r>
    <r>
      <rPr>
        <b/>
        <sz val="10"/>
        <color indexed="8"/>
        <rFont val="Calibri"/>
        <family val="2"/>
        <scheme val="minor"/>
      </rPr>
      <t>Requirement (Minimum or Maximum)</t>
    </r>
  </si>
  <si>
    <t>NYC</t>
  </si>
  <si>
    <t>Yes</t>
  </si>
  <si>
    <t>N/A</t>
  </si>
  <si>
    <t>No</t>
  </si>
  <si>
    <t>Not Applicable</t>
  </si>
  <si>
    <t xml:space="preserve">Project Name: </t>
  </si>
  <si>
    <t xml:space="preserve">Select County: </t>
  </si>
  <si>
    <t xml:space="preserve">Select Electric Utility: </t>
  </si>
  <si>
    <t xml:space="preserve">Select Gas Utility: </t>
  </si>
  <si>
    <t xml:space="preserve">Located in NYC? </t>
  </si>
  <si>
    <t>gallons/unit</t>
  </si>
  <si>
    <t>MMBtu/unit</t>
  </si>
  <si>
    <t>EEPS-Gas</t>
  </si>
  <si>
    <t>EEPS-Electric</t>
  </si>
  <si>
    <t>Cost Savings</t>
  </si>
  <si>
    <t>Weighted Lifetime</t>
  </si>
  <si>
    <t>Refrigerators</t>
  </si>
  <si>
    <t>Clothes Dryers</t>
  </si>
  <si>
    <t>HVAC_g</t>
  </si>
  <si>
    <t>Fan Cooling Tower - CV no Econ kWh/ton</t>
  </si>
  <si>
    <t>Motors serving hydronic heating w/ VFD &gt; 5 HP</t>
  </si>
  <si>
    <t>Motors serving hydronic cooling w/ VFD &gt; 5 HP</t>
  </si>
  <si>
    <t>Fan Motors &gt; 5 HP</t>
  </si>
  <si>
    <t>Clothes Washers - In-unit</t>
  </si>
  <si>
    <t>Total # of bedrooms in building</t>
  </si>
  <si>
    <t>Occupants:</t>
  </si>
  <si>
    <t>Avg Occupants/Apt:</t>
  </si>
  <si>
    <t># Apts</t>
  </si>
  <si>
    <t># Bathrooms</t>
  </si>
  <si>
    <t>Proposed EER (averaged)</t>
  </si>
  <si>
    <t>Proposed SEER (averaged)</t>
  </si>
  <si>
    <t>Proposed AFUE (averaged)</t>
  </si>
  <si>
    <t>AFUE</t>
  </si>
  <si>
    <t>Total Heating MMBtu/hr</t>
  </si>
  <si>
    <t>Total Cooling MMBtu/hr</t>
  </si>
  <si>
    <t>Use Data From</t>
  </si>
  <si>
    <t>Albany</t>
  </si>
  <si>
    <t>Binghamton</t>
  </si>
  <si>
    <t>Buffalo</t>
  </si>
  <si>
    <t>Syracuse</t>
  </si>
  <si>
    <t>Massena</t>
  </si>
  <si>
    <t>Poughkeepsie</t>
  </si>
  <si>
    <t>kW/1000 SF</t>
  </si>
  <si>
    <t>R-Value (Assembly)</t>
  </si>
  <si>
    <t>therm/1000 SF</t>
  </si>
  <si>
    <t>Steel-framed  walls</t>
  </si>
  <si>
    <t>Metal Building Roof</t>
  </si>
  <si>
    <t>Saint Lawrence</t>
  </si>
  <si>
    <t>Water Savings (gallons)</t>
  </si>
  <si>
    <t>Demand Savings (kW)</t>
  </si>
  <si>
    <t>kWh/100 SF</t>
  </si>
  <si>
    <t>kW/100 SF</t>
  </si>
  <si>
    <t>therm/100 SF</t>
  </si>
  <si>
    <t>Windows</t>
  </si>
  <si>
    <t>10.8 EER</t>
  </si>
  <si>
    <t>9.8 EER/9.5 IPLV</t>
  </si>
  <si>
    <t>WLHP Pump
kWh/hp</t>
  </si>
  <si>
    <t>WLHP
kW/hp</t>
  </si>
  <si>
    <t>HP (Sum of motors serving hydronic heating &gt; 5 HP)</t>
  </si>
  <si>
    <t>HP (Sum of motors serving hydronic cooling &gt; 5 HP)</t>
  </si>
  <si>
    <t>Motors in circulating pumps serving hydronic heating or cooling &gt; 5 HP</t>
  </si>
  <si>
    <t>Central exhaust fans &lt; 1/16 HP</t>
  </si>
  <si>
    <t>Central exhaust fans 1/16 &lt; HP &lt; 1</t>
  </si>
  <si>
    <t>Central exhaust fans &gt; 1 HP</t>
  </si>
  <si>
    <t>Powered common area laundry ventilation</t>
  </si>
  <si>
    <t>Automatic demand control required to turn off ventilation fans when no dryers are operating.</t>
  </si>
  <si>
    <t>R-10.0 for 24 in. + R-5 ci below</t>
  </si>
  <si>
    <t>R-16.7 ci</t>
  </si>
  <si>
    <t>Number of occupancy sensors in stairs, corridors and lobby</t>
  </si>
  <si>
    <t>RS Mean City Cost Indicator</t>
  </si>
  <si>
    <t>Technical Manual</t>
  </si>
  <si>
    <t>Energy savings calculation source</t>
  </si>
  <si>
    <t>Project Quantity</t>
  </si>
  <si>
    <t>ASHRAE Handbook of Fundamentals</t>
  </si>
  <si>
    <t>Occupancy Sensors</t>
  </si>
  <si>
    <t>Ventilation</t>
  </si>
  <si>
    <t>n/a</t>
  </si>
  <si>
    <t>HP (Sum of motors &lt; 1/16 HP)</t>
  </si>
  <si>
    <t>HP (Sum of motors  1/16 &lt; HP &lt; 1)</t>
  </si>
  <si>
    <t>Dishwashers</t>
  </si>
  <si>
    <t>Ceiling Fans</t>
  </si>
  <si>
    <t>ENERGY STAR Calculator for Ceiling Fans</t>
  </si>
  <si>
    <t>Ceiling Fan</t>
  </si>
  <si>
    <t>All non-apartment spaces, except those where automatic shutoff would endanger the safety of occupants, must have occupancy sensors or automatic bi-level lighting controls. This includes spaces intended for 24-hour operation such as corridors and stairwells.</t>
  </si>
  <si>
    <t>24 Hour Spaces</t>
  </si>
  <si>
    <t>Non-24 Hour Spaces</t>
  </si>
  <si>
    <t>Water heater eff. Hot Water Supply Boiler</t>
  </si>
  <si>
    <t>Value for selected Climate Zone</t>
  </si>
  <si>
    <t>Measure</t>
  </si>
  <si>
    <t>Climate Zone
4</t>
  </si>
  <si>
    <t>Climate Zone
5</t>
  </si>
  <si>
    <t>Climate Zone
6</t>
  </si>
  <si>
    <t>Apartment in-line and ceiling exhaust fans</t>
  </si>
  <si>
    <t>Select type of fan</t>
  </si>
  <si>
    <t>CFM/W</t>
  </si>
  <si>
    <t>Shower Flow Rate (gpm)</t>
  </si>
  <si>
    <t>Efficiency or GPM</t>
  </si>
  <si>
    <t>COP/SEER</t>
  </si>
  <si>
    <t>Not permitted</t>
  </si>
  <si>
    <t>Bathroom and Utility Room Fans (10 - 89 CFM)</t>
  </si>
  <si>
    <t>In-line Fans</t>
  </si>
  <si>
    <t>Fan Type</t>
  </si>
  <si>
    <t>CO Demand Controls of Garage</t>
  </si>
  <si>
    <t>Faucet Flow Rate (gpm)</t>
  </si>
  <si>
    <t>Garage Exhaust</t>
  </si>
  <si>
    <t>Climate Zone 4</t>
  </si>
  <si>
    <t>Climate Zone 5</t>
  </si>
  <si>
    <t>Climate Zone 6</t>
  </si>
  <si>
    <t>Not Permitted</t>
  </si>
  <si>
    <t>Duct leakage</t>
  </si>
  <si>
    <t>Infiltration reduction</t>
  </si>
  <si>
    <t>EPA Simulation Guidelines</t>
  </si>
  <si>
    <t>ENERGY STAR Qualified; 9.25 HSPF</t>
  </si>
  <si>
    <t>ENERGY STAR Qualified; 9.5 HSPF</t>
  </si>
  <si>
    <t>ENERGY STAR Qualified; 90% AFUE</t>
  </si>
  <si>
    <t>Stairs: 0.69 W/SF, 15 fc</t>
  </si>
  <si>
    <t>Corridors: 0.66 W/SF, 10 fc</t>
  </si>
  <si>
    <t>Lobby: 0.9 W/SF, 16 fc</t>
  </si>
  <si>
    <t>NatGrid</t>
  </si>
  <si>
    <t>KEDNY</t>
  </si>
  <si>
    <t>Number of Units:</t>
  </si>
  <si>
    <t>Housing Income Classification:</t>
  </si>
  <si>
    <t>Gut Rehab?</t>
  </si>
  <si>
    <t>Exterior Doors</t>
  </si>
  <si>
    <t>-</t>
  </si>
  <si>
    <r>
      <t>Table 1</t>
    </r>
    <r>
      <rPr>
        <b/>
        <i/>
        <sz val="10"/>
        <rFont val="Arial"/>
        <family val="2"/>
      </rPr>
      <t xml:space="preserve"> Modified Prescriptive Path</t>
    </r>
    <r>
      <rPr>
        <b/>
        <sz val="10"/>
        <rFont val="Arial"/>
        <family val="2"/>
      </rPr>
      <t xml:space="preserve"> – Minimum Heating and Cooling Equipment Efficiencies</t>
    </r>
  </si>
  <si>
    <t>Equipment Type</t>
  </si>
  <si>
    <t>Minimum Efficiency per ASHRAE 90.1 2007 Climate Zones</t>
  </si>
  <si>
    <t>Room AC ( window, through-wall, ductless  mini-splits)</t>
  </si>
  <si>
    <t xml:space="preserve">ENERGY STAR qualified </t>
  </si>
  <si>
    <t>Air conditioner (&lt;13 KBtu/h)</t>
  </si>
  <si>
    <t>Air conditioner (≥13 and &lt;65 KBtu/h)</t>
  </si>
  <si>
    <t>Air conditioner ((≥65 and &lt;240 KBtu/h)</t>
  </si>
  <si>
    <t>Air conditioner (≥240  and &lt; 760 KBtu/h)</t>
  </si>
  <si>
    <t>Electric resistance space heating</t>
  </si>
  <si>
    <t xml:space="preserve">Not permitted in any space using this approach </t>
  </si>
  <si>
    <t>Warm-Air Furnace (&lt;225 KBtu/h, common areas)</t>
  </si>
  <si>
    <r>
      <t>Warm-Air Furnace (</t>
    </r>
    <r>
      <rPr>
        <b/>
        <u/>
        <sz val="8"/>
        <color indexed="8"/>
        <rFont val="Arial"/>
        <family val="2"/>
      </rPr>
      <t>&gt;</t>
    </r>
    <r>
      <rPr>
        <b/>
        <sz val="8"/>
        <color indexed="8"/>
        <rFont val="Arial"/>
        <family val="2"/>
      </rPr>
      <t>225 KBtu/h)</t>
    </r>
  </si>
  <si>
    <t>80% Et (gas)    or 81% Et (oil)</t>
  </si>
  <si>
    <t>Packaged Terminal Air Conditioner (PTAC)</t>
  </si>
  <si>
    <t>13.8 – (0.300 X Cap/1000) EER</t>
  </si>
  <si>
    <t xml:space="preserve">Packaged Terminal Heat Pump (PTHP) </t>
  </si>
  <si>
    <t>Cooling: 14.0– (0.3 X Cap/1000) EER        Heating:  3.7– (0.052 X Cap/1000) COP</t>
  </si>
  <si>
    <t xml:space="preserve">ENERGY STAR qualified
8.5HSPF </t>
  </si>
  <si>
    <t xml:space="preserve">ENERGY STAR qualified
9.25HSPF </t>
  </si>
  <si>
    <t xml:space="preserve">ENERGY STAR qualified
9.5HSPF </t>
  </si>
  <si>
    <t>Air cooled heat pump (≥65 and &lt;240 KBtu/h)</t>
  </si>
  <si>
    <t>Cooling: 11.1 EER/11.6 IEER                     Heating: 3.3 COP (@47°F DB)</t>
  </si>
  <si>
    <t>Cooling:   9.6 EER/9.6 IEER                      Heating: 3.2 COP (@47°F DB)</t>
  </si>
  <si>
    <t>Water-source  heat pump (&lt;135 KBtu/h)</t>
  </si>
  <si>
    <t>Cooling: 14.0 EER(86°F entering water) Heating: 4.2 COP(68°F entering water)</t>
  </si>
  <si>
    <t xml:space="preserve">90% AFUE </t>
  </si>
  <si>
    <t>Boilers, hot water (≥300,000 Btu/h)</t>
  </si>
  <si>
    <t>86% Et  (89% Et if using heat pumps)</t>
  </si>
  <si>
    <t>See Tables 6.8.1I and 6.8.1J of ASHRAE 90.1-2010</t>
  </si>
  <si>
    <t xml:space="preserve">Air-cooled chillers with or without condenser </t>
  </si>
  <si>
    <t xml:space="preserve">10.0 EER / 12.5 IPLV </t>
  </si>
  <si>
    <t>Water-cooled chiller, positive displacement (&lt;75 tons)</t>
  </si>
  <si>
    <t xml:space="preserve">0.780 kW/ton (Full load) /  0.630 kW/ton (IPLV) </t>
  </si>
  <si>
    <t>Water-cooled chiller, positive displacement (75-150 tons)</t>
  </si>
  <si>
    <t xml:space="preserve">0.775 kW/ton (Full load) /  0.615 kW/ton (IPLV) </t>
  </si>
  <si>
    <t>Water-cooled chiller, positive displacement (150-300tons)</t>
  </si>
  <si>
    <t xml:space="preserve">0.680 kW/ton (Full load) /  0.580 kW/ton (IPLV) </t>
  </si>
  <si>
    <t>Water-cooled chiller, positive displacement (&gt;300 tons)</t>
  </si>
  <si>
    <t xml:space="preserve">0.620 kW/ton (Full load) /  0.540 kW/ton (IPLV) </t>
  </si>
  <si>
    <t>Water-cooled, centrifugal ( &lt;300  tons)</t>
  </si>
  <si>
    <t>0.634 kW/ton (Full load) /  0.596 kW/ton (IPLV)</t>
  </si>
  <si>
    <t>Water-cooled, centrifugal (≥300 and &lt;600  tons)</t>
  </si>
  <si>
    <t>0.576 kW/ton (Full load) /  0.549 kW/ton (IPLV)</t>
  </si>
  <si>
    <t>Water-cooled, centrifugal (≥600 tons)</t>
  </si>
  <si>
    <t>0.570 kW/ton (Full load) /  0.539 kW/ton (IPLV)</t>
  </si>
  <si>
    <t>Air-cooled absorption single effect chiller</t>
  </si>
  <si>
    <t>0.6 COP</t>
  </si>
  <si>
    <t>Water-cooled absorption single effect chiller</t>
  </si>
  <si>
    <t>Absorption double effect indirect-fired chiller</t>
  </si>
  <si>
    <t>Absorption double effect direct-fired chiller</t>
  </si>
  <si>
    <r>
      <t>Open-loop propeller or axial fan cooling towers</t>
    </r>
    <r>
      <rPr>
        <b/>
        <vertAlign val="superscript"/>
        <sz val="8"/>
        <rFont val="Arial"/>
        <family val="2"/>
      </rPr>
      <t>2</t>
    </r>
  </si>
  <si>
    <t>&gt;40 gpm/hp (@95°F entering water, 85°F leaving water, 75°F web entering air)</t>
  </si>
  <si>
    <r>
      <t>Closed-loop propeller or axial fan cooling towers</t>
    </r>
    <r>
      <rPr>
        <b/>
        <vertAlign val="superscript"/>
        <sz val="8"/>
        <rFont val="Arial"/>
        <family val="2"/>
      </rPr>
      <t>2</t>
    </r>
  </si>
  <si>
    <r>
      <t>Open-loop centrifugal fan cooling towers</t>
    </r>
    <r>
      <rPr>
        <b/>
        <vertAlign val="superscript"/>
        <sz val="8"/>
        <rFont val="Arial"/>
        <family val="2"/>
      </rPr>
      <t>2</t>
    </r>
  </si>
  <si>
    <r>
      <t>Closed-loop centrifugal fan cooling towers</t>
    </r>
    <r>
      <rPr>
        <b/>
        <vertAlign val="superscript"/>
        <sz val="8"/>
        <rFont val="Arial"/>
        <family val="2"/>
      </rPr>
      <t>2</t>
    </r>
  </si>
  <si>
    <t>1.    In Climates Zones 1 through 6, if the prescriptive Heating Season Performance Factors are met for air-source heat pumps, electric resistance back-up heating is allowed, if programmable thermostats with adaptive recovery technology are installed.</t>
  </si>
  <si>
    <t xml:space="preserve">2.     In Climate Zone 7 and 8, dual-fuel backup is not required for ENERGY STAR qualified heat pumps that have no backup heating because the heat pump is capable of meeting 100% of the design heating load. </t>
  </si>
  <si>
    <t>3.     Cooling tower fan motors must be equipped with VFD controlled by a temperature sensor on the condenser water supply pipe.</t>
  </si>
  <si>
    <t>Tables 2 &amp; 3 Climate Specific Envelope Requirements for Climate Zones 1-8</t>
  </si>
  <si>
    <t>Envelope Component</t>
  </si>
  <si>
    <t>Nominal   R Value (Minimum)</t>
  </si>
  <si>
    <t>Assembly U-Value (maximum)</t>
  </si>
  <si>
    <t>Climate Zone 1</t>
  </si>
  <si>
    <t>Climate Zone 2</t>
  </si>
  <si>
    <t>Climate Zone 3</t>
  </si>
  <si>
    <t>Climate Zone 7</t>
  </si>
  <si>
    <t>Climate Zone 8</t>
  </si>
  <si>
    <t>Insulation entirely above deck</t>
  </si>
  <si>
    <t>R-25.0 continuous</t>
  </si>
  <si>
    <t>R-30.0 continuous</t>
  </si>
  <si>
    <t>U-0.039</t>
  </si>
  <si>
    <t>U-0.032</t>
  </si>
  <si>
    <t>U-0.028</t>
  </si>
  <si>
    <t>R-19.0 +    R-11.0 Ls</t>
  </si>
  <si>
    <t>R-25.0 +    R-11.0 Ls</t>
  </si>
  <si>
    <t>U-0.035</t>
  </si>
  <si>
    <t>U-0.031</t>
  </si>
  <si>
    <t>U-0.029</t>
  </si>
  <si>
    <t>U-0.021</t>
  </si>
  <si>
    <t>U-0.017</t>
  </si>
  <si>
    <t>Mass</t>
  </si>
  <si>
    <t>R-13.3 continuous</t>
  </si>
  <si>
    <t>R-15.2 continuous</t>
  </si>
  <si>
    <t>R-20.0 continuous</t>
  </si>
  <si>
    <t>U-0.123</t>
  </si>
  <si>
    <t>U-0.104</t>
  </si>
  <si>
    <t>U-0.090</t>
  </si>
  <si>
    <t>U-0.080</t>
  </si>
  <si>
    <t>U-0.071</t>
  </si>
  <si>
    <t>U-0.060</t>
  </si>
  <si>
    <t>U-0.043</t>
  </si>
  <si>
    <t>R-13.0 +  R-13.0 ci</t>
  </si>
  <si>
    <t>U-0.079</t>
  </si>
  <si>
    <t>U-0.052</t>
  </si>
  <si>
    <t>Steel-Framed</t>
  </si>
  <si>
    <t>R-13.0 + R-10.0 c.i.</t>
  </si>
  <si>
    <t>U-0.077</t>
  </si>
  <si>
    <t>U-0.055</t>
  </si>
  <si>
    <t>U-0.037</t>
  </si>
  <si>
    <t>U-0.033</t>
  </si>
  <si>
    <t>R-13.0 +  R-7.5 ci</t>
  </si>
  <si>
    <t>U-0.064</t>
  </si>
  <si>
    <t>U-0.051</t>
  </si>
  <si>
    <t>U-0.045</t>
  </si>
  <si>
    <t>Conditioned and Indirectly Conditioned space</t>
  </si>
  <si>
    <t>R-10.0 continuous</t>
  </si>
  <si>
    <t xml:space="preserve">R-10.0 continuous </t>
  </si>
  <si>
    <t>NR</t>
  </si>
  <si>
    <t>U-0.092</t>
  </si>
  <si>
    <t>U-0.075</t>
  </si>
  <si>
    <t>U-0.063</t>
  </si>
  <si>
    <t>U-0.137</t>
  </si>
  <si>
    <t>U-0.087</t>
  </si>
  <si>
    <t>U-0.057</t>
  </si>
  <si>
    <t>R-38.0 +  R-12.5 ci</t>
  </si>
  <si>
    <t>U-0.038</t>
  </si>
  <si>
    <t>U-0.023</t>
  </si>
  <si>
    <t>R-30.0 +  R-7.5 ci</t>
  </si>
  <si>
    <t>U-0.026</t>
  </si>
  <si>
    <t>R-15.0 for 24 in. + R-5 ci below</t>
  </si>
  <si>
    <t>R-10.0 for 24 in. + R-5 ci  below</t>
  </si>
  <si>
    <t>R-7.5 for 12 in. + R-5 ci below</t>
  </si>
  <si>
    <t xml:space="preserve">R-20.0 for 36 in. + R-5 ci below </t>
  </si>
  <si>
    <t>Opaque - All</t>
  </si>
  <si>
    <t>U-0.6</t>
  </si>
  <si>
    <t>U-0.4</t>
  </si>
  <si>
    <t>Vertical Glazing</t>
  </si>
  <si>
    <t>Assembly Max U.</t>
  </si>
  <si>
    <t>Assembly Max. SHGC</t>
  </si>
  <si>
    <t xml:space="preserve">Metal framing (curtain wall/ storefront) </t>
  </si>
  <si>
    <t>U-0.40</t>
  </si>
  <si>
    <t>U-0.35</t>
  </si>
  <si>
    <t>SHGC-0.25</t>
  </si>
  <si>
    <t>SHGC-0.40</t>
  </si>
  <si>
    <t>SHGC-NR</t>
  </si>
  <si>
    <t>U-0.75</t>
  </si>
  <si>
    <t>U-0.70</t>
  </si>
  <si>
    <t>U-0.45</t>
  </si>
  <si>
    <t>86% Et (89% if using heat pumps)</t>
  </si>
  <si>
    <t>Wall Insulation Levels</t>
  </si>
  <si>
    <t>R-0</t>
  </si>
  <si>
    <t>R-11</t>
  </si>
  <si>
    <t>R-13</t>
  </si>
  <si>
    <t>R-17</t>
  </si>
  <si>
    <t>R-19</t>
  </si>
  <si>
    <t>R-30</t>
  </si>
  <si>
    <t>R-38</t>
  </si>
  <si>
    <t>Roof Insulation Levels</t>
  </si>
  <si>
    <t>&lt;Select R-value&gt;</t>
  </si>
  <si>
    <t>Window Types</t>
  </si>
  <si>
    <t>&lt;Select Type&gt;</t>
  </si>
  <si>
    <t>Single pane clear</t>
  </si>
  <si>
    <t>Double pane clear</t>
  </si>
  <si>
    <t>Double pane, low e</t>
  </si>
  <si>
    <t>City</t>
  </si>
  <si>
    <t>Wall 0 to 13</t>
  </si>
  <si>
    <t>Wall 11 to 13</t>
  </si>
  <si>
    <t>Wall 0 to 19</t>
  </si>
  <si>
    <t>Wall 11 to 19</t>
  </si>
  <si>
    <t>Wall 13 to 19</t>
  </si>
  <si>
    <t>Wall 17 to 19</t>
  </si>
  <si>
    <t>Wall 0 to 21</t>
  </si>
  <si>
    <t>Wall 11 to 21</t>
  </si>
  <si>
    <t>Wall 13 to 21</t>
  </si>
  <si>
    <t>Wall 17 to 21</t>
  </si>
  <si>
    <t>Wall 19 to 21</t>
  </si>
  <si>
    <t>Roof 0 to 30</t>
  </si>
  <si>
    <t>Roof 0 to 49</t>
  </si>
  <si>
    <t>Roof 11 to 30</t>
  </si>
  <si>
    <t>Roof 11 to 49</t>
  </si>
  <si>
    <t>Roof 19 to 30</t>
  </si>
  <si>
    <t>Roof 19 to 49</t>
  </si>
  <si>
    <t>Roof 30 to 49</t>
  </si>
  <si>
    <t>Roof 38 to 49</t>
  </si>
  <si>
    <t>kWh/ kSF</t>
  </si>
  <si>
    <t>kW/ kSF</t>
  </si>
  <si>
    <t>therm/ kSF</t>
  </si>
  <si>
    <t>Therm/100 SF</t>
  </si>
  <si>
    <t>Representative City:</t>
  </si>
  <si>
    <t>kWh/kSF</t>
  </si>
  <si>
    <t>kW/kSF</t>
  </si>
  <si>
    <t>therm/kSF</t>
  </si>
  <si>
    <t>R-49</t>
  </si>
  <si>
    <t>R-21</t>
  </si>
  <si>
    <t>Metal framing (curtainwall)</t>
  </si>
  <si>
    <t>Baseline Text</t>
  </si>
  <si>
    <t>Baseline Value</t>
  </si>
  <si>
    <t>Assembly U-factor (maximum)</t>
  </si>
  <si>
    <t>Tons per Unit</t>
  </si>
  <si>
    <t>Number of Units Installed</t>
  </si>
  <si>
    <t>Occupiable space*:</t>
  </si>
  <si>
    <t>*Occupiable space = Gross heated square footage of residential and residentially-associated spaces.   Previously called GHSF.</t>
  </si>
  <si>
    <t>Note that throughout these worksheets, common information from cells are linked and should automatically update.  Only cells shaded in blue need to be entered manually. Entering values into white cells will override pre-determined formulas.  However, depending on the project, there may be reason to write over the pre-determined formulas.</t>
  </si>
  <si>
    <t xml:space="preserve">Prescriptive Path </t>
  </si>
  <si>
    <t>Savings</t>
  </si>
  <si>
    <t>T&amp;V Worksheets</t>
  </si>
  <si>
    <t xml:space="preserve">Modified Prescriptive Path Calculator </t>
  </si>
  <si>
    <t>Historic Building**?</t>
  </si>
  <si>
    <t>** As defined per NYS ECCC 2010 Section 101.4.2.</t>
  </si>
  <si>
    <t>Tons (total)</t>
  </si>
  <si>
    <t>MMBtu/h (total)</t>
  </si>
  <si>
    <t>MMBtu (total)</t>
  </si>
  <si>
    <t>CFM (total)</t>
  </si>
  <si>
    <t>U-0.55</t>
  </si>
  <si>
    <t>U-1.20</t>
  </si>
  <si>
    <t>U-0.80</t>
  </si>
  <si>
    <t>U-1.10</t>
  </si>
  <si>
    <t>U-0.30</t>
  </si>
  <si>
    <t>U-0.50</t>
  </si>
  <si>
    <t>R-20.0 for 24 in. vertical or horizontal</t>
  </si>
  <si>
    <t>R-20.0 ci</t>
  </si>
  <si>
    <t>R-8.3 ci</t>
  </si>
  <si>
    <t>R-4.2 ci</t>
  </si>
  <si>
    <t>R-15.0 continuous</t>
  </si>
  <si>
    <t>R-12.5 continuous</t>
  </si>
  <si>
    <t>R-13.0 +  R-18.8 ci</t>
  </si>
  <si>
    <t>R-13.0 +  R-21.9 ci.</t>
  </si>
  <si>
    <t>R-13.0 +  R-3.8 ci</t>
  </si>
  <si>
    <t>R-13.0 +    R-3.8 ci</t>
  </si>
  <si>
    <t>R-13.0 +  R-21.9 ci</t>
  </si>
  <si>
    <t>R-13.0 +  R-10.0 ci</t>
  </si>
  <si>
    <t>R-13.0 + R-5.0 c.i.</t>
  </si>
  <si>
    <t>R-13.0 +  R-26.0 ci</t>
  </si>
  <si>
    <t>R-13.0 +  R-19.5 ci</t>
  </si>
  <si>
    <t>R-13.0 +    R-6.5 ci</t>
  </si>
  <si>
    <t>R-31.3 continuous</t>
  </si>
  <si>
    <t>R-11.4 continuous</t>
  </si>
  <si>
    <t>R-9.5 continuous</t>
  </si>
  <si>
    <t>R-7.6 continuous</t>
  </si>
  <si>
    <t>R-60.0</t>
  </si>
  <si>
    <t>R-30.0 +    R-11.0 Ls</t>
  </si>
  <si>
    <t>R-35.0 continuous</t>
  </si>
  <si>
    <t xml:space="preserve">2.     In Climate Zone 7 and 8, dual-fuel backup is not required for ENERGY STAR certified heat pumps that have no backup heating because the heat pump is capable of meeting 100% of the design heating load. </t>
  </si>
  <si>
    <t>87% Et  (86% Et with additional requirements; 
89% Et if using heat pumps)</t>
  </si>
  <si>
    <t>ENERGY STAR certified</t>
  </si>
  <si>
    <t xml:space="preserve">85% AFUE </t>
  </si>
  <si>
    <t>Duel fuel back-up</t>
  </si>
  <si>
    <t xml:space="preserve">ENERGY STAR certified
9.5HSPF </t>
  </si>
  <si>
    <t xml:space="preserve">ENERGY STAR certified
9.25HSPF </t>
  </si>
  <si>
    <t xml:space="preserve">ENERGY STAR certified
8.5HSPF </t>
  </si>
  <si>
    <t xml:space="preserve">ENERGY STAR certified
8.2HSPF </t>
  </si>
  <si>
    <t>15.0 SEER/ 12.5 EER/ 8.2 HSPF</t>
  </si>
  <si>
    <t>78% AFUE or 80% Et</t>
  </si>
  <si>
    <t xml:space="preserve">ENERGY STAR certified </t>
  </si>
  <si>
    <t xml:space="preserve">Not permitted in any space using the Prescriptive Path </t>
  </si>
  <si>
    <t xml:space="preserve">13 SEER </t>
  </si>
  <si>
    <t>16 SEER</t>
  </si>
  <si>
    <r>
      <t xml:space="preserve">Table 1 </t>
    </r>
    <r>
      <rPr>
        <b/>
        <i/>
        <sz val="10"/>
        <rFont val="Arial"/>
        <family val="2"/>
      </rPr>
      <t>Modified Prescriptive Path</t>
    </r>
    <r>
      <rPr>
        <b/>
        <sz val="10"/>
        <rFont val="Arial"/>
        <family val="2"/>
      </rPr>
      <t xml:space="preserve"> – Minimum Heating and Cooling Equipment Efficiencies</t>
    </r>
  </si>
  <si>
    <r>
      <rPr>
        <b/>
        <u/>
        <sz val="10"/>
        <color rgb="FFC00000"/>
        <rFont val="Calibri"/>
        <family val="2"/>
        <scheme val="minor"/>
      </rPr>
      <t>Important note</t>
    </r>
    <r>
      <rPr>
        <b/>
        <sz val="10"/>
        <color rgb="FFC00000"/>
        <rFont val="Calibri"/>
        <family val="2"/>
        <scheme val="minor"/>
      </rPr>
      <t>: This spreadsheet does not include all program requirements.  This is a supplemental document to help calculate savings for Program-level reporting.</t>
    </r>
  </si>
  <si>
    <t>Prescriptive Path</t>
  </si>
  <si>
    <t>Added Historic building field.</t>
  </si>
  <si>
    <t>Updated unit column to clarify what is being asked for.</t>
  </si>
  <si>
    <t>Split apart different Partner fee types.</t>
  </si>
  <si>
    <t>Added note emphasizing that this spreadsheet/checklist does not capture all program requirements.</t>
  </si>
  <si>
    <t>Minimized number of inputs/listed components to only those necessary to calculate reportable savings.</t>
  </si>
  <si>
    <t>Updated some calculations based on Tech Manual updates.</t>
  </si>
  <si>
    <t>Updated these to match EPA's most recent changes.  Multiple changes have been incorporated and are not explicitly listed.  For a list of changes, please refer to the EPA's T&amp;V Worksheet.</t>
  </si>
  <si>
    <t>Btu/h (heating)</t>
  </si>
  <si>
    <t>Btu/h (cooling)</t>
  </si>
  <si>
    <t xml:space="preserve">        VRF Service?</t>
  </si>
  <si>
    <t>Total MMBtu Savings</t>
  </si>
  <si>
    <t>Updated VRF savings calculations.</t>
  </si>
  <si>
    <t>Updated costs for a few measures (dishwashers, boilers and VRF systems).</t>
  </si>
  <si>
    <t>&lt;Enter Assembly C-factor; e.g., "C-0.092"&gt;</t>
  </si>
  <si>
    <t>&lt;Enter Assembly U-factor; e.g., "U-0.057"&gt;</t>
  </si>
  <si>
    <t>&lt;Enter Assembly U-factor; e.g., "U-0.032"&gt;</t>
  </si>
  <si>
    <t>&lt;Enter Assembly U-factor; e.g., "U-0.026"&gt;</t>
  </si>
  <si>
    <t>&lt;Enter Assembly U-factor; e.g., "U-0.4"&gt;</t>
  </si>
  <si>
    <t>Corrected instructions on ERMs tab.</t>
  </si>
  <si>
    <t>Fixed typo in AGW requirements.</t>
  </si>
  <si>
    <t>Updated energy rates.</t>
  </si>
  <si>
    <t>Reference</t>
  </si>
  <si>
    <t>No code</t>
  </si>
  <si>
    <t>MPP (still less than all codes)</t>
  </si>
  <si>
    <t>ENERGY STAR KEY PRODUCT CRITERIA
http://www.energystar.gov/index.cfm?c=furnaces.pr_crit_furnaces</t>
  </si>
  <si>
    <t>ENERGY STAR KEY CRITERIA
http://www.energystar.gov/products/certified-products/detail/boilers</t>
  </si>
  <si>
    <t>ENERGY STAR KEY PRODUCT CRITERIA 
https://www.energystar.gov/index.cfm?c=vent_fans.pr_crit_vent_fans
IECC 2012</t>
  </si>
  <si>
    <t>Adjusted to be the highest non-condensing efficiency available - source?</t>
  </si>
  <si>
    <t xml:space="preserve">ENERGY STAR KEY PRODUCT CRITERIA 
https://www.energystar.gov/index.cfm?c=vent_fans.pr_crit_vent_fans
IECC 2012  - Baseline is derated by 20% </t>
  </si>
  <si>
    <t>ASHRAE 90.1-2010; Table 9.6.1</t>
  </si>
  <si>
    <t>ENERGY STAR KEY PRODUCT CRITERIA
https://www.energystar.gov/index.cfm?c=airsrc_heat.pr_crit_as_heat_pumps</t>
  </si>
  <si>
    <t>ENERGY STAR boilers &gt; 85% AFUE</t>
  </si>
  <si>
    <t>&lt;7,000 Btu/h: 11.9 EER
≥7,000 and &lt;10,000 Btu/h:  11.3 EER
≥10,000 and &lt;13,000 Btu/h:  10.7 EER
≥13,000 Btu/h:  9.5 EER</t>
  </si>
  <si>
    <t>Updated PTAC and PTHP requirements.</t>
  </si>
  <si>
    <t>ABV</t>
  </si>
  <si>
    <t>VRF Calc</t>
  </si>
  <si>
    <t>BLW</t>
  </si>
  <si>
    <t>Removed ability to include PTHP.</t>
  </si>
  <si>
    <t xml:space="preserve">ENERGY STAR KEY PRODUCT CRITERIA
https://www.energystar.gov/index.cfm?c=windows_doors.pr_anat_window
</t>
  </si>
  <si>
    <t>Updated nonmetal window savings.</t>
  </si>
  <si>
    <t>Room AC (with louvered sides)</t>
  </si>
  <si>
    <t>Room AC (without louvered sides)</t>
  </si>
  <si>
    <t>14 – (0.300 X (Cap/1000) EER</t>
  </si>
  <si>
    <t>https://www.energystar.gov/index.cfm?c=roomac.pr_crit_room_ac</t>
  </si>
  <si>
    <t>Tons/unit</t>
  </si>
  <si>
    <t>updated room AC savings</t>
  </si>
  <si>
    <t>Split room AC category between ones with louvered sides, and ones without louvered sides.</t>
  </si>
  <si>
    <t>Updated code references, and associated requirements, to reflect updated state energy code.</t>
  </si>
  <si>
    <t>Version 6 - ASHRAE 2007 Version, released November 2014</t>
  </si>
  <si>
    <t>Added program version field, to determine incentive schedule.</t>
  </si>
  <si>
    <t>Added baseline and proposed cost columns.</t>
  </si>
  <si>
    <t>Updated several measure costs, based on additional projects in our database.</t>
  </si>
  <si>
    <t>Version 6 - ASHRAE 2010 Version, released May 2015</t>
  </si>
  <si>
    <t>MF NCP - ASHRAE 2010 Version, June 2016</t>
  </si>
  <si>
    <t>Removed Program Version pull-down menu.</t>
  </si>
  <si>
    <t>Removed all costs and cost-effectiveness fields.</t>
  </si>
  <si>
    <r>
      <t xml:space="preserve">This tab outlines the Modified Prescriptive Path Requirements in checklist form.  In addition to checking each box to indicate that the requirement has been met, certain components require basic information to be entered. Please enter this information into only the blue cells that are applicable to the measures included in your scope of work. 
Gut-rehab buildings must be indicated in cell I6. Upon indication, additional blue cells will appear in column J that require the existing envelope conditions of the building to be entered as applicable.  Note that the Partners should only complete the blue cells for envelope systems that are part of the scope of work.  If the envelope system does not apply to the project, or if it is not included in the scope of work, the cell should be left blank.  Also note that for the cells with pull-down menus, the Partner should choose the insulation value that </t>
    </r>
    <r>
      <rPr>
        <i/>
        <sz val="11"/>
        <rFont val="Calibri"/>
        <family val="2"/>
      </rPr>
      <t>best matches</t>
    </r>
    <r>
      <rPr>
        <sz val="11"/>
        <rFont val="Calibri"/>
        <family val="2"/>
      </rPr>
      <t xml:space="preserve"> the existing conditions.</t>
    </r>
  </si>
  <si>
    <t>ASHRAE 90.1-2013; Table 7.8</t>
  </si>
  <si>
    <t>NYS Plumbing Code, Table 604.4</t>
  </si>
  <si>
    <t>ASHRAE 90.1-2013; Table 5.5</t>
  </si>
  <si>
    <t>R-10 c.i.</t>
  </si>
  <si>
    <t>R-16.7 c.i.</t>
  </si>
  <si>
    <t>R-13 + R-10 c.i.</t>
  </si>
  <si>
    <t>R-0 + R-19 c.i.</t>
  </si>
  <si>
    <t>R-20 for 24 in.</t>
  </si>
  <si>
    <t>R-20 for 48 in.</t>
  </si>
  <si>
    <t>R-30+R-11 ci</t>
  </si>
  <si>
    <t>R-15 c.i.</t>
  </si>
  <si>
    <t>R-19 + R-11 Ls</t>
  </si>
  <si>
    <t>R-30 c.i.</t>
  </si>
  <si>
    <t>R-13 + R-7.5 c.i.</t>
  </si>
  <si>
    <t>R-13 + R-3.8 c.i., or R-20</t>
  </si>
  <si>
    <t>R-15 for 24 in.</t>
  </si>
  <si>
    <t>R-13 + R-7.5 c.i., or R-19 + R-5 c.i.</t>
  </si>
  <si>
    <t>R-13 + R-12.5 c.i.</t>
  </si>
  <si>
    <t>R-25 for 48 in.</t>
  </si>
  <si>
    <t>40% WWR</t>
  </si>
  <si>
    <t>MF NCP Requirement (still less than all codes)</t>
  </si>
  <si>
    <t>Metal framing (fixed)</t>
  </si>
  <si>
    <t>U-0.42/SHGC-0.40</t>
  </si>
  <si>
    <t>U-0.68/SHGC-0.40</t>
  </si>
  <si>
    <t>ENERGY STAR KEY PRODUCT CRITERIA 
https://www.energystar.gov/products/building_products/residential_windows_doors_and_skylights/key_product_criteria</t>
  </si>
  <si>
    <t>ASHRAE 90.1-2013; Table 9.6.1</t>
  </si>
  <si>
    <t>ASHRAE 90.1 - 2013 Table 6.8.1-1</t>
  </si>
  <si>
    <t>ASHRAE 90.1 - 2013 Table 6.8.1-4</t>
  </si>
  <si>
    <t>ASHRAE 90.1-2013 Table 6.8.1-5</t>
  </si>
  <si>
    <t>ASHRAE 90.1-2013 Table 6.8.1-6</t>
  </si>
  <si>
    <t>ASHRAE 90.1-2013 Table 6.8.1-4</t>
  </si>
  <si>
    <t>ASHRAE 90.1-2013 Table 6.8.1-2</t>
  </si>
  <si>
    <t>EER =14.0-(0.3 X Cap/1000)</t>
  </si>
  <si>
    <t>10.8 EER/12.0 IEER/3.3 Htg COP</t>
  </si>
  <si>
    <t>10.4 EER/11.4 IEER/3.2 Htg COP</t>
  </si>
  <si>
    <t>9.3 EER/10.4 IEER/3.2 Htg COP</t>
  </si>
  <si>
    <t>82% AFUE</t>
  </si>
  <si>
    <t xml:space="preserve">        Heat Recovery?</t>
  </si>
  <si>
    <t>ASHRAE 90.1-2013 Table 6.8.1-10</t>
  </si>
  <si>
    <t>R-3.5</t>
  </si>
  <si>
    <t>ASHRAE 90.1-2013; Table 6.8.2-2, Unconditioned Space</t>
  </si>
  <si>
    <t>Bathroom and Utility Room Fans (90 - 200 CFM)</t>
  </si>
  <si>
    <t>Bathroom and Utility Room Fans (201 - 500 CFM)</t>
  </si>
  <si>
    <t>Range Hoods (up to 75 W)</t>
  </si>
  <si>
    <t>10 CFR 430.32(d) (from TM)</t>
  </si>
  <si>
    <t>R-35 ci</t>
  </si>
  <si>
    <t>ASHRAE 189.1-2014 Table E4-E6</t>
  </si>
  <si>
    <t>ASHRAE 189.1-2014 Table B9</t>
  </si>
  <si>
    <t>Gas (EF): 0.93</t>
  </si>
  <si>
    <t>Cooling</t>
  </si>
  <si>
    <t>EPA</t>
  </si>
  <si>
    <t>R-13 + R-25 c.i.</t>
  </si>
  <si>
    <t>R-60</t>
  </si>
  <si>
    <t>R-13.0</t>
  </si>
  <si>
    <t>R-16 + R-15.8 ci</t>
  </si>
  <si>
    <t>R13.0 + R-12.5 c.i.</t>
  </si>
  <si>
    <t>R-18.7 ci</t>
  </si>
  <si>
    <t>R-20.0 for 48 in.</t>
  </si>
  <si>
    <t>R-15.0 full slab</t>
  </si>
  <si>
    <t>U-0.38 / SHGC-0.36-0.50</t>
  </si>
  <si>
    <t>U-0.61 / SHGC-0.36-0.50</t>
  </si>
  <si>
    <t>U-0.45 / SHGC-0.36-0.50</t>
  </si>
  <si>
    <t>40% Window-to-Wall Ratio</t>
  </si>
  <si>
    <t>R-13.0 + R-12.5 ci</t>
  </si>
  <si>
    <t>R-19 + R-32 c.i.</t>
  </si>
  <si>
    <t>R-19.6 ci</t>
  </si>
  <si>
    <t>R-13.0 + R-15.6 ci</t>
  </si>
  <si>
    <t>R-17.5 ci</t>
  </si>
  <si>
    <t>R-38.0 + R-7.5 ci</t>
  </si>
  <si>
    <t>ASHRAE 189.1-2014 Table B-1</t>
  </si>
  <si>
    <t>ASHRAE 189.1-2014 Table B-2</t>
  </si>
  <si>
    <t>11.7 EER/13.0 IEER</t>
  </si>
  <si>
    <t>11.7 EER/12.5 IEER</t>
  </si>
  <si>
    <t>10.5 EER/11.3 IEER</t>
  </si>
  <si>
    <t>80% Ec</t>
  </si>
  <si>
    <t>ASHRAE 189.1-2014 Table B-4</t>
  </si>
  <si>
    <t>ENERGY STAR Qualified; 8.5 HSPF</t>
  </si>
  <si>
    <t>Cooling: 11.1 EER/12.1 IEER
Heating: 3.3 COP (@47°F DB)</t>
  </si>
  <si>
    <t>Cooling: 10.7 EER/11.7 IEER
Heating: 3.2 COP (@47°F DB)</t>
  </si>
  <si>
    <t>Cooling: 10.1 EER/10.7 IEER
Heating: 3.2 COP (@47°F DB)</t>
  </si>
  <si>
    <t>ASHRAE 189.1-2014 Tables B-13</t>
  </si>
  <si>
    <t>Kwh Savings</t>
  </si>
  <si>
    <t>Therm Savings</t>
  </si>
  <si>
    <t>EFLH Heating</t>
  </si>
  <si>
    <t>EFLH Cooling</t>
  </si>
  <si>
    <r>
      <t>This tab calculates the savings</t>
    </r>
    <r>
      <rPr>
        <sz val="11"/>
        <rFont val="Calibri"/>
        <family val="2"/>
      </rPr>
      <t xml:space="preserve"> of each measure and the project as a whole, based on Program-wide assumptions.</t>
    </r>
    <r>
      <rPr>
        <sz val="11"/>
        <color rgb="FFFF0000"/>
        <rFont val="Calibri"/>
        <family val="2"/>
      </rPr>
      <t/>
    </r>
  </si>
  <si>
    <t>Added pull down for heat recovery (Y/N) for VRF measure.</t>
  </si>
  <si>
    <t>ESF</t>
  </si>
  <si>
    <t>Heating</t>
  </si>
  <si>
    <t>Laundry Room SqFt</t>
  </si>
  <si>
    <r>
      <t>W/ft</t>
    </r>
    <r>
      <rPr>
        <b/>
        <vertAlign val="superscript"/>
        <sz val="11"/>
        <rFont val="Calibri"/>
        <family val="2"/>
        <scheme val="minor"/>
      </rPr>
      <t>2</t>
    </r>
  </si>
  <si>
    <r>
      <t xml:space="preserve">Motors serving ventilation 1 </t>
    </r>
    <r>
      <rPr>
        <u/>
        <sz val="10"/>
        <rFont val="Calibri"/>
        <family val="2"/>
        <scheme val="minor"/>
      </rPr>
      <t>&lt;</t>
    </r>
    <r>
      <rPr>
        <sz val="10"/>
        <rFont val="Calibri"/>
        <family val="2"/>
        <scheme val="minor"/>
      </rPr>
      <t xml:space="preserve"> HP </t>
    </r>
    <r>
      <rPr>
        <u/>
        <sz val="10"/>
        <rFont val="Calibri"/>
        <family val="2"/>
        <scheme val="minor"/>
      </rPr>
      <t>&lt;</t>
    </r>
    <r>
      <rPr>
        <sz val="10"/>
        <rFont val="Calibri"/>
        <family val="2"/>
        <scheme val="minor"/>
      </rPr>
      <t xml:space="preserve"> 5</t>
    </r>
  </si>
  <si>
    <r>
      <t xml:space="preserve">Motors serving hydronic heating 1 </t>
    </r>
    <r>
      <rPr>
        <u/>
        <sz val="10"/>
        <rFont val="Calibri"/>
        <family val="2"/>
        <scheme val="minor"/>
      </rPr>
      <t>&lt;</t>
    </r>
    <r>
      <rPr>
        <sz val="10"/>
        <rFont val="Calibri"/>
        <family val="2"/>
        <scheme val="minor"/>
      </rPr>
      <t xml:space="preserve"> HP </t>
    </r>
    <r>
      <rPr>
        <u/>
        <sz val="10"/>
        <rFont val="Calibri"/>
        <family val="2"/>
        <scheme val="minor"/>
      </rPr>
      <t>&lt;</t>
    </r>
    <r>
      <rPr>
        <sz val="10"/>
        <rFont val="Calibri"/>
        <family val="2"/>
        <scheme val="minor"/>
      </rPr>
      <t xml:space="preserve"> 5</t>
    </r>
  </si>
  <si>
    <r>
      <t xml:space="preserve">Motors serving hydronic cooling 1 </t>
    </r>
    <r>
      <rPr>
        <u/>
        <sz val="10"/>
        <rFont val="Calibri"/>
        <family val="2"/>
        <scheme val="minor"/>
      </rPr>
      <t>&lt;</t>
    </r>
    <r>
      <rPr>
        <sz val="10"/>
        <rFont val="Calibri"/>
        <family val="2"/>
        <scheme val="minor"/>
      </rPr>
      <t xml:space="preserve"> HP </t>
    </r>
    <r>
      <rPr>
        <u/>
        <sz val="10"/>
        <rFont val="Calibri"/>
        <family val="2"/>
        <scheme val="minor"/>
      </rPr>
      <t>&lt;</t>
    </r>
    <r>
      <rPr>
        <sz val="10"/>
        <rFont val="Calibri"/>
        <family val="2"/>
        <scheme val="minor"/>
      </rPr>
      <t xml:space="preserve"> 5</t>
    </r>
  </si>
  <si>
    <r>
      <t>W/ft</t>
    </r>
    <r>
      <rPr>
        <b/>
        <strike/>
        <vertAlign val="superscript"/>
        <sz val="11"/>
        <rFont val="Calibri"/>
        <family val="2"/>
        <scheme val="minor"/>
      </rPr>
      <t>2</t>
    </r>
  </si>
  <si>
    <r>
      <t xml:space="preserve">Motors serving ventilation 1 </t>
    </r>
    <r>
      <rPr>
        <strike/>
        <u/>
        <sz val="11"/>
        <rFont val="Calibri"/>
        <family val="2"/>
        <scheme val="minor"/>
      </rPr>
      <t>&lt;</t>
    </r>
    <r>
      <rPr>
        <strike/>
        <sz val="11"/>
        <rFont val="Calibri"/>
        <family val="2"/>
        <scheme val="minor"/>
      </rPr>
      <t xml:space="preserve"> HP </t>
    </r>
    <r>
      <rPr>
        <strike/>
        <u/>
        <sz val="11"/>
        <rFont val="Calibri"/>
        <family val="2"/>
        <scheme val="minor"/>
      </rPr>
      <t>&lt;</t>
    </r>
    <r>
      <rPr>
        <strike/>
        <sz val="11"/>
        <rFont val="Calibri"/>
        <family val="2"/>
        <scheme val="minor"/>
      </rPr>
      <t xml:space="preserve"> 5</t>
    </r>
  </si>
  <si>
    <r>
      <t xml:space="preserve">Motors serving hydronic heating 1 </t>
    </r>
    <r>
      <rPr>
        <strike/>
        <u/>
        <sz val="11"/>
        <rFont val="Calibri"/>
        <family val="2"/>
        <scheme val="minor"/>
      </rPr>
      <t>&lt;</t>
    </r>
    <r>
      <rPr>
        <strike/>
        <sz val="11"/>
        <rFont val="Calibri"/>
        <family val="2"/>
        <scheme val="minor"/>
      </rPr>
      <t xml:space="preserve"> HP </t>
    </r>
    <r>
      <rPr>
        <strike/>
        <u/>
        <sz val="11"/>
        <rFont val="Calibri"/>
        <family val="2"/>
        <scheme val="minor"/>
      </rPr>
      <t>&lt;</t>
    </r>
    <r>
      <rPr>
        <strike/>
        <sz val="11"/>
        <rFont val="Calibri"/>
        <family val="2"/>
        <scheme val="minor"/>
      </rPr>
      <t xml:space="preserve"> 5</t>
    </r>
  </si>
  <si>
    <r>
      <t xml:space="preserve">Motors serving hydronic cooling 1 </t>
    </r>
    <r>
      <rPr>
        <strike/>
        <u/>
        <sz val="11"/>
        <rFont val="Calibri"/>
        <family val="2"/>
        <scheme val="minor"/>
      </rPr>
      <t>&lt;</t>
    </r>
    <r>
      <rPr>
        <strike/>
        <sz val="11"/>
        <rFont val="Calibri"/>
        <family val="2"/>
        <scheme val="minor"/>
      </rPr>
      <t xml:space="preserve"> HP </t>
    </r>
    <r>
      <rPr>
        <strike/>
        <u/>
        <sz val="11"/>
        <rFont val="Calibri"/>
        <family val="2"/>
        <scheme val="minor"/>
      </rPr>
      <t>&lt;</t>
    </r>
    <r>
      <rPr>
        <strike/>
        <sz val="11"/>
        <rFont val="Calibri"/>
        <family val="2"/>
        <scheme val="minor"/>
      </rPr>
      <t xml:space="preserve"> 5</t>
    </r>
  </si>
  <si>
    <t>MF NCP - ASHRAE 2013 Baseline - January 2019</t>
  </si>
  <si>
    <t>Shower: Max 1.75 gpm and WaterSense labeled;
Lavatory faucets and aerators: WaterSense labeled;
All other faucets: Max average of 2.0 gpm</t>
  </si>
  <si>
    <t>See Tables B-12 and B-13 of ASHRAE 189.1-2014</t>
  </si>
  <si>
    <t>Elec/mech: 0.42 W/SF, 30 fc
Storage: 0.63 W/SF, 20 fc
Multipurpose: 1.23 W/SF, 30 fc
Office: 1.11 W/SF, 35 fc</t>
  </si>
  <si>
    <t>80% of installed lighting fixtures within apartments must be ENERGY STAR certified or have ENERGY STAR certified lamps installed. Alternatively, 100% of installed light fixtures within apartments must have high-efficacy lamps installed.  Overall in-unit LPD may not exceed 0.7 W/SF.  When calculating overall LPD, use 0.7 W/SF for spaces where lighting is not specified.</t>
  </si>
  <si>
    <r>
      <t xml:space="preserve">NEMA </t>
    </r>
    <r>
      <rPr>
        <b/>
        <u/>
        <sz val="10"/>
        <color indexed="8"/>
        <rFont val="Calibri"/>
        <family val="2"/>
        <scheme val="minor"/>
      </rPr>
      <t>Premium</t>
    </r>
    <r>
      <rPr>
        <b/>
        <sz val="10"/>
        <color indexed="8"/>
        <rFont val="Calibri"/>
        <family val="2"/>
        <scheme val="minor"/>
      </rPr>
      <t xml:space="preserve"> </t>
    </r>
    <r>
      <rPr>
        <sz val="10"/>
        <color indexed="8"/>
        <rFont val="Calibri"/>
        <family val="2"/>
        <scheme val="minor"/>
      </rPr>
      <t xml:space="preserve">motors and variable frequency drives. </t>
    </r>
  </si>
  <si>
    <t>Updated requirements to match MoPP-ASHRAE 90.1-2013 requirements.</t>
  </si>
  <si>
    <t>13.0 SEER/8.2 HSPF</t>
  </si>
  <si>
    <t>EER x MMBtu/hr</t>
  </si>
  <si>
    <t>AFUE x MMBtu/hr</t>
  </si>
  <si>
    <t>Warm air furnace (&gt;225 KBtu/h), weatherized</t>
  </si>
  <si>
    <t>Warm air furnace (&gt;225 KBtu/h), nonweatherized</t>
  </si>
  <si>
    <t>92% Ec</t>
  </si>
  <si>
    <t>Baseline EER (averaged)</t>
  </si>
  <si>
    <t>Baseline SEER (averaged)</t>
  </si>
  <si>
    <t>Baseline AFUE (averaged)</t>
  </si>
  <si>
    <t>MF NCP - ASHRAE 2013 Version, January 2019</t>
  </si>
  <si>
    <t>Updated savings calculations based on updated code and updated tech manual.</t>
  </si>
  <si>
    <t>&lt;Please Select&gt;</t>
  </si>
  <si>
    <t>&lt;Please select&gt;</t>
  </si>
  <si>
    <r>
      <t xml:space="preserve">The Modified </t>
    </r>
    <r>
      <rPr>
        <i/>
        <sz val="11"/>
        <rFont val="Calibri"/>
        <family val="2"/>
      </rPr>
      <t xml:space="preserve">Prescriptive Path Calculator </t>
    </r>
    <r>
      <rPr>
        <sz val="11"/>
        <rFont val="Calibri"/>
        <family val="2"/>
      </rPr>
      <t xml:space="preserve">calculates estimated savings based on project specific data. It also includes a checklist for the Partner and Participant to confirm that all Modified Prescriptive Path Requirements are met.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</si>
</sst>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0.0"/>
    <numFmt numFmtId="166" formatCode="0.000"/>
    <numFmt numFmtId="167" formatCode="&quot;$&quot;#,##0.00_);[Red]\(&quot;$&quot;#,##0.00\);&quot;&quot;"/>
    <numFmt numFmtId="168" formatCode="#,##0_);[Red]\(#,##0\);&quot;&quot;"/>
    <numFmt numFmtId="169" formatCode="_(* #,##0_);_(* \(#,##0\);_(* &quot;-&quot;??_);_(@_)"/>
    <numFmt numFmtId="170" formatCode="_(* #,##0.0_);_(* \(#,##0.0\);_(* &quot;-&quot;??_);_(@_)"/>
  </numFmts>
  <fonts count="91">
    <font>
      <sz val="11"/>
      <color theme="1"/>
      <name val="Calibri"/>
      <family val="2"/>
      <scheme val="minor"/>
    </font>
    <font>
      <sz val="10"/>
      <color theme="1"/>
      <name val="Calibri"/>
      <family val="2"/>
      <scheme val="minor"/>
    </font>
    <font>
      <sz val="10"/>
      <name val="Calibri"/>
      <family val="2"/>
      <scheme val="minor"/>
    </font>
    <font>
      <b/>
      <sz val="10"/>
      <color indexed="8"/>
      <name val="Calibri"/>
      <family val="2"/>
      <scheme val="minor"/>
    </font>
    <font>
      <sz val="10"/>
      <color indexed="8"/>
      <name val="Calibri"/>
      <family val="2"/>
      <scheme val="minor"/>
    </font>
    <font>
      <b/>
      <sz val="10"/>
      <name val="Calibri"/>
      <family val="2"/>
      <scheme val="minor"/>
    </font>
    <font>
      <b/>
      <sz val="10"/>
      <color theme="1"/>
      <name val="Calibri"/>
      <family val="2"/>
      <scheme val="minor"/>
    </font>
    <font>
      <sz val="10"/>
      <name val="Wingdings"/>
      <charset val="2"/>
    </font>
    <font>
      <b/>
      <sz val="14"/>
      <color theme="1"/>
      <name val="Calibri"/>
      <family val="2"/>
      <scheme val="minor"/>
    </font>
    <font>
      <b/>
      <u/>
      <sz val="10"/>
      <color indexed="8"/>
      <name val="Calibri"/>
      <family val="2"/>
      <scheme val="minor"/>
    </font>
    <font>
      <b/>
      <sz val="11"/>
      <color theme="1"/>
      <name val="Calibri"/>
      <family val="2"/>
      <scheme val="minor"/>
    </font>
    <font>
      <sz val="10"/>
      <color indexed="8"/>
      <name val="Arial"/>
      <family val="2"/>
    </font>
    <font>
      <sz val="11"/>
      <color theme="1"/>
      <name val="Calibri"/>
      <family val="2"/>
      <scheme val="minor"/>
    </font>
    <font>
      <sz val="10"/>
      <name val="Arial"/>
      <family val="2"/>
    </font>
    <font>
      <sz val="10"/>
      <color indexed="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b/>
      <sz val="14"/>
      <name val="Calibri"/>
      <family val="2"/>
      <scheme val="minor"/>
    </font>
    <font>
      <b/>
      <sz val="11"/>
      <name val="Calibri"/>
      <family val="2"/>
      <scheme val="minor"/>
    </font>
    <font>
      <sz val="11"/>
      <color indexed="8"/>
      <name val="Calibri"/>
      <family val="2"/>
    </font>
    <font>
      <sz val="9"/>
      <name val="Geneva"/>
      <family val="2"/>
    </font>
    <font>
      <sz val="9"/>
      <color indexed="12"/>
      <name val="Geneva"/>
      <family val="2"/>
    </font>
    <font>
      <b/>
      <sz val="9"/>
      <color indexed="12"/>
      <name val="Geneva"/>
      <family val="2"/>
    </font>
    <font>
      <u/>
      <sz val="11"/>
      <color theme="10"/>
      <name val="Calibri"/>
      <family val="2"/>
    </font>
    <font>
      <sz val="9"/>
      <color indexed="10"/>
      <name val="Geneva"/>
      <family val="2"/>
    </font>
    <font>
      <sz val="10"/>
      <name val="Geneva"/>
      <family val="2"/>
    </font>
    <font>
      <sz val="11"/>
      <name val="Calibri"/>
      <family val="2"/>
      <scheme val="minor"/>
    </font>
    <font>
      <sz val="12"/>
      <color theme="1"/>
      <name val="Calibri"/>
      <family val="2"/>
      <scheme val="minor"/>
    </font>
    <font>
      <u/>
      <sz val="10"/>
      <color indexed="12"/>
      <name val="Arial"/>
      <family val="2"/>
    </font>
    <font>
      <sz val="10"/>
      <name val="Arial"/>
      <family val="2"/>
    </font>
    <font>
      <sz val="10"/>
      <color theme="0"/>
      <name val="Arial"/>
      <family val="2"/>
    </font>
    <font>
      <sz val="10"/>
      <color theme="0"/>
      <name val="Wingdings"/>
      <charset val="2"/>
    </font>
    <font>
      <sz val="9"/>
      <color indexed="81"/>
      <name val="Tahoma"/>
      <family val="2"/>
    </font>
    <font>
      <b/>
      <sz val="9"/>
      <color indexed="81"/>
      <name val="Tahoma"/>
      <family val="2"/>
    </font>
    <font>
      <sz val="11"/>
      <color theme="0"/>
      <name val="Calibri"/>
      <family val="2"/>
      <scheme val="minor"/>
    </font>
    <font>
      <sz val="8"/>
      <color indexed="81"/>
      <name val="Tahoma"/>
      <family val="2"/>
    </font>
    <font>
      <b/>
      <sz val="8"/>
      <color indexed="81"/>
      <name val="Tahoma"/>
      <family val="2"/>
    </font>
    <font>
      <sz val="10"/>
      <color theme="0"/>
      <name val="Calibri"/>
      <family val="2"/>
      <scheme val="minor"/>
    </font>
    <font>
      <sz val="9"/>
      <name val="Calibri"/>
      <family val="2"/>
    </font>
    <font>
      <b/>
      <sz val="14"/>
      <name val="Calibri"/>
      <family val="2"/>
    </font>
    <font>
      <b/>
      <sz val="11"/>
      <name val="Calibri"/>
      <family val="2"/>
    </font>
    <font>
      <sz val="1"/>
      <color theme="0"/>
      <name val="Calibri"/>
      <family val="2"/>
      <scheme val="minor"/>
    </font>
    <font>
      <b/>
      <sz val="10"/>
      <name val="Arial"/>
      <family val="2"/>
    </font>
    <font>
      <b/>
      <i/>
      <sz val="10"/>
      <name val="Arial"/>
      <family val="2"/>
    </font>
    <font>
      <sz val="11"/>
      <name val="Calibri"/>
      <family val="2"/>
    </font>
    <font>
      <b/>
      <sz val="8"/>
      <color indexed="8"/>
      <name val="Arial"/>
      <family val="2"/>
    </font>
    <font>
      <b/>
      <sz val="8"/>
      <name val="Arial"/>
      <family val="2"/>
    </font>
    <font>
      <sz val="8"/>
      <name val="Arial"/>
      <family val="2"/>
    </font>
    <font>
      <sz val="8"/>
      <color indexed="8"/>
      <name val="Arial"/>
      <family val="2"/>
    </font>
    <font>
      <b/>
      <u/>
      <sz val="8"/>
      <color indexed="8"/>
      <name val="Arial"/>
      <family val="2"/>
    </font>
    <font>
      <b/>
      <vertAlign val="superscript"/>
      <sz val="8"/>
      <name val="Arial"/>
      <family val="2"/>
    </font>
    <font>
      <b/>
      <sz val="8"/>
      <color indexed="9"/>
      <name val="Arial"/>
      <family val="2"/>
    </font>
    <font>
      <sz val="10"/>
      <name val="MS Sans Serif"/>
      <family val="2"/>
    </font>
    <font>
      <sz val="10"/>
      <color theme="1"/>
      <name val="Arial"/>
      <family val="2"/>
    </font>
    <font>
      <b/>
      <u/>
      <sz val="9"/>
      <name val="Calibri"/>
      <family val="2"/>
    </font>
    <font>
      <i/>
      <sz val="11"/>
      <name val="Calibri"/>
      <family val="2"/>
    </font>
    <font>
      <b/>
      <sz val="11"/>
      <color rgb="FFFF0000"/>
      <name val="Calibri"/>
      <family val="2"/>
      <scheme val="minor"/>
    </font>
    <font>
      <b/>
      <sz val="10"/>
      <color rgb="FFC00000"/>
      <name val="Calibri"/>
      <family val="2"/>
      <scheme val="minor"/>
    </font>
    <font>
      <b/>
      <u/>
      <sz val="10"/>
      <color rgb="FFC00000"/>
      <name val="Calibri"/>
      <family val="2"/>
      <scheme val="minor"/>
    </font>
    <font>
      <i/>
      <sz val="11"/>
      <color theme="1"/>
      <name val="Calibri"/>
      <family val="2"/>
      <scheme val="minor"/>
    </font>
    <font>
      <sz val="11"/>
      <color rgb="FF000000"/>
      <name val="Calibri"/>
      <family val="2"/>
    </font>
    <font>
      <u/>
      <sz val="10"/>
      <color indexed="12"/>
      <name val="MS Sans Serif"/>
      <family val="2"/>
    </font>
    <font>
      <sz val="9"/>
      <name val="Geneva"/>
    </font>
    <font>
      <sz val="9"/>
      <color indexed="12"/>
      <name val="Geneva"/>
    </font>
    <font>
      <b/>
      <sz val="9"/>
      <color indexed="12"/>
      <name val="Geneva"/>
    </font>
    <font>
      <sz val="9"/>
      <color indexed="10"/>
      <name val="Geneva"/>
    </font>
    <font>
      <sz val="10"/>
      <name val="Geneva"/>
    </font>
    <font>
      <u/>
      <sz val="11"/>
      <color theme="10"/>
      <name val="Calibri"/>
      <family val="2"/>
      <scheme val="minor"/>
    </font>
    <font>
      <sz val="11"/>
      <color rgb="FFFF0000"/>
      <name val="Calibri"/>
      <family val="2"/>
    </font>
    <font>
      <sz val="8"/>
      <name val="Calibri"/>
      <family val="2"/>
      <scheme val="minor"/>
    </font>
    <font>
      <b/>
      <sz val="16"/>
      <name val="Calibri"/>
      <family val="2"/>
      <scheme val="minor"/>
    </font>
    <font>
      <b/>
      <vertAlign val="superscript"/>
      <sz val="11"/>
      <name val="Calibri"/>
      <family val="2"/>
      <scheme val="minor"/>
    </font>
    <font>
      <u/>
      <sz val="10"/>
      <name val="Calibri"/>
      <family val="2"/>
      <scheme val="minor"/>
    </font>
    <font>
      <u/>
      <sz val="11"/>
      <name val="Calibri"/>
      <family val="2"/>
      <scheme val="minor"/>
    </font>
    <font>
      <b/>
      <strike/>
      <sz val="11"/>
      <name val="Calibri"/>
      <family val="2"/>
      <scheme val="minor"/>
    </font>
    <font>
      <strike/>
      <sz val="11"/>
      <name val="Calibri"/>
      <family val="2"/>
      <scheme val="minor"/>
    </font>
    <font>
      <b/>
      <strike/>
      <vertAlign val="superscript"/>
      <sz val="11"/>
      <name val="Calibri"/>
      <family val="2"/>
      <scheme val="minor"/>
    </font>
    <font>
      <strike/>
      <u/>
      <sz val="11"/>
      <name val="Calibri"/>
      <family val="2"/>
      <scheme val="minor"/>
    </font>
  </fonts>
  <fills count="47">
    <fill>
      <patternFill patternType="none"/>
    </fill>
    <fill>
      <patternFill patternType="gray125"/>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27"/>
        <bgColor indexed="64"/>
      </patternFill>
    </fill>
    <fill>
      <patternFill patternType="solid">
        <fgColor indexed="13"/>
        <bgColor indexed="64"/>
      </patternFill>
    </fill>
    <fill>
      <patternFill patternType="solid">
        <fgColor indexed="29"/>
        <bgColor indexed="64"/>
      </patternFill>
    </fill>
    <fill>
      <patternFill patternType="lightUp">
        <bgColor theme="0" tint="-4.9989318521683403E-2"/>
      </patternFill>
    </fill>
    <fill>
      <patternFill patternType="solid">
        <fgColor theme="6" tint="0.79998168889431442"/>
        <bgColor indexed="64"/>
      </patternFill>
    </fill>
    <fill>
      <patternFill patternType="lightUp">
        <fgColor theme="0" tint="-0.34998626667073579"/>
        <bgColor indexed="65"/>
      </patternFill>
    </fill>
    <fill>
      <patternFill patternType="lightUp">
        <fgColor theme="0" tint="-0.34998626667073579"/>
        <bgColor theme="0"/>
      </patternFill>
    </fill>
    <fill>
      <patternFill patternType="solid">
        <fgColor theme="6" tint="0.39994506668294322"/>
        <bgColor theme="0"/>
      </patternFill>
    </fill>
    <fill>
      <patternFill patternType="solid">
        <fgColor indexed="9"/>
        <bgColor indexed="64"/>
      </patternFill>
    </fill>
    <fill>
      <patternFill patternType="solid">
        <fgColor indexed="53"/>
        <bgColor indexed="64"/>
      </patternFill>
    </fill>
    <fill>
      <patternFill patternType="solid">
        <fgColor rgb="FF0099FF"/>
        <bgColor indexed="64"/>
      </patternFill>
    </fill>
    <fill>
      <patternFill patternType="solid">
        <fgColor rgb="FF0033CC"/>
        <bgColor indexed="64"/>
      </patternFill>
    </fill>
    <fill>
      <patternFill patternType="solid">
        <fgColor indexed="62"/>
        <bgColor indexed="64"/>
      </patternFill>
    </fill>
    <fill>
      <patternFill patternType="lightUp">
        <fgColor theme="0" tint="-0.34998626667073579"/>
        <bgColor theme="6" tint="0.39997558519241921"/>
      </patternFill>
    </fill>
    <fill>
      <patternFill patternType="solid">
        <fgColor theme="0"/>
        <bgColor theme="0"/>
      </patternFill>
    </fill>
    <fill>
      <patternFill patternType="solid">
        <fgColor theme="4"/>
      </patternFill>
    </fill>
    <fill>
      <patternFill patternType="lightUp">
        <fgColor theme="0"/>
        <bgColor theme="0" tint="-0.24994659260841701"/>
      </patternFill>
    </fill>
    <fill>
      <patternFill patternType="solid">
        <fgColor rgb="FFFF0000"/>
        <bgColor indexed="64"/>
      </patternFill>
    </fill>
    <fill>
      <patternFill patternType="solid">
        <fgColor theme="9" tint="-0.249977111117893"/>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hair">
        <color indexed="64"/>
      </left>
      <right style="thin">
        <color indexed="64"/>
      </right>
      <top/>
      <bottom/>
      <diagonal/>
    </border>
    <border>
      <left style="thin">
        <color indexed="22"/>
      </left>
      <right/>
      <top/>
      <bottom style="thin">
        <color indexed="22"/>
      </bottom>
      <diagonal/>
    </border>
    <border>
      <left style="thin">
        <color indexed="22"/>
      </left>
      <right/>
      <top/>
      <bottom/>
      <diagonal/>
    </border>
    <border>
      <left style="thin">
        <color indexed="64"/>
      </left>
      <right/>
      <top/>
      <bottom style="hair">
        <color indexed="64"/>
      </bottom>
      <diagonal/>
    </border>
    <border>
      <left/>
      <right/>
      <top style="thin">
        <color indexed="23"/>
      </top>
      <bottom style="thin">
        <color indexed="12"/>
      </bottom>
      <diagonal/>
    </border>
    <border>
      <left/>
      <right/>
      <top style="thin">
        <color indexed="21"/>
      </top>
      <bottom/>
      <diagonal/>
    </border>
    <border>
      <left style="hair">
        <color indexed="64"/>
      </left>
      <right/>
      <top/>
      <bottom style="hair">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22"/>
      </left>
      <right/>
      <top/>
      <bottom style="thin">
        <color indexed="22"/>
      </bottom>
      <diagonal/>
    </border>
    <border>
      <left style="thin">
        <color indexed="22"/>
      </left>
      <right/>
      <top/>
      <bottom style="thin">
        <color indexed="22"/>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style="thin">
        <color indexed="23"/>
      </top>
      <bottom style="thin">
        <color indexed="12"/>
      </bottom>
      <diagonal/>
    </border>
    <border>
      <left/>
      <right/>
      <top style="thin">
        <color indexed="21"/>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medium">
        <color indexed="64"/>
      </right>
      <top/>
      <bottom style="thin">
        <color auto="1"/>
      </bottom>
      <diagonal/>
    </border>
    <border>
      <left style="thin">
        <color indexed="64"/>
      </left>
      <right/>
      <top/>
      <bottom style="thin">
        <color indexed="64"/>
      </bottom>
      <diagonal/>
    </border>
    <border>
      <left style="medium">
        <color indexed="64"/>
      </left>
      <right style="medium">
        <color indexed="64"/>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style="medium">
        <color indexed="64"/>
      </right>
      <top style="medium">
        <color theme="0"/>
      </top>
      <bottom style="thin">
        <color indexed="64"/>
      </bottom>
      <diagonal/>
    </border>
  </borders>
  <cellStyleXfs count="718">
    <xf numFmtId="0" fontId="0" fillId="0" borderId="0"/>
    <xf numFmtId="9" fontId="12"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51" applyNumberFormat="0" applyAlignment="0" applyProtection="0"/>
    <xf numFmtId="0" fontId="18" fillId="22" borderId="52"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0" borderId="53" applyNumberFormat="0" applyFill="0" applyAlignment="0" applyProtection="0"/>
    <xf numFmtId="0" fontId="22" fillId="0" borderId="54" applyNumberFormat="0" applyFill="0" applyAlignment="0" applyProtection="0"/>
    <xf numFmtId="0" fontId="23" fillId="0" borderId="55" applyNumberFormat="0" applyFill="0" applyAlignment="0" applyProtection="0"/>
    <xf numFmtId="0" fontId="23" fillId="0" borderId="0" applyNumberFormat="0" applyFill="0" applyBorder="0" applyAlignment="0" applyProtection="0"/>
    <xf numFmtId="0" fontId="24" fillId="8" borderId="51" applyNumberFormat="0" applyAlignment="0" applyProtection="0"/>
    <xf numFmtId="0" fontId="25" fillId="0" borderId="56" applyNumberFormat="0" applyFill="0" applyAlignment="0" applyProtection="0"/>
    <xf numFmtId="0" fontId="26" fillId="23" borderId="0" applyNumberFormat="0" applyBorder="0" applyAlignment="0" applyProtection="0"/>
    <xf numFmtId="0" fontId="13" fillId="0" borderId="0"/>
    <xf numFmtId="0" fontId="13" fillId="24" borderId="57" applyNumberFormat="0" applyFont="0" applyAlignment="0" applyProtection="0"/>
    <xf numFmtId="0" fontId="27" fillId="21" borderId="58" applyNumberFormat="0" applyAlignment="0" applyProtection="0"/>
    <xf numFmtId="9" fontId="13" fillId="0" borderId="0" applyFont="0" applyFill="0" applyBorder="0" applyAlignment="0" applyProtection="0"/>
    <xf numFmtId="0" fontId="28" fillId="0" borderId="0" applyNumberFormat="0" applyFill="0" applyBorder="0" applyAlignment="0" applyProtection="0"/>
    <xf numFmtId="0" fontId="29" fillId="0" borderId="59" applyNumberFormat="0" applyFill="0" applyAlignment="0" applyProtection="0"/>
    <xf numFmtId="0" fontId="14" fillId="0" borderId="0" applyNumberFormat="0" applyFill="0" applyBorder="0" applyAlignment="0" applyProtection="0"/>
    <xf numFmtId="0" fontId="13" fillId="0" borderId="0"/>
    <xf numFmtId="9" fontId="13" fillId="0" borderId="0" applyFont="0" applyFill="0" applyBorder="0" applyAlignment="0" applyProtection="0"/>
    <xf numFmtId="44" fontId="12"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10" fontId="33" fillId="0" borderId="70" applyFont="0" applyFill="0" applyBorder="0" applyAlignment="0" applyProtection="0">
      <alignment horizontal="right"/>
    </xf>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3" fontId="34" fillId="0" borderId="0" applyNumberFormat="0" applyFill="0" applyBorder="0" applyAlignment="0" applyProtection="0"/>
    <xf numFmtId="3" fontId="35" fillId="0" borderId="0" applyNumberFormat="0" applyFill="0" applyBorder="0" applyAlignment="0" applyProtection="0"/>
    <xf numFmtId="166" fontId="33" fillId="0" borderId="71" applyNumberFormat="0" applyFont="0" applyFill="0" applyAlignment="0">
      <protection locked="0"/>
    </xf>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7" fillId="21" borderId="51"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0" fontId="18" fillId="22" borderId="52"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13" fillId="0" borderId="0" applyFont="0" applyBorder="0" applyAlignment="0">
      <alignment horizontal="center"/>
    </xf>
    <xf numFmtId="167" fontId="13" fillId="0" borderId="0" applyFont="0" applyBorder="0" applyAlignment="0">
      <alignment horizont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1" fillId="0" borderId="53"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55"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6" fillId="0" borderId="0" applyNumberFormat="0" applyFill="0" applyBorder="0" applyAlignment="0" applyProtection="0">
      <alignment vertical="top"/>
      <protection locked="0"/>
    </xf>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0" fontId="24" fillId="8" borderId="51" applyNumberFormat="0" applyAlignment="0" applyProtection="0"/>
    <xf numFmtId="4" fontId="34" fillId="28" borderId="72" applyNumberFormat="0" applyFont="0" applyBorder="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5" fillId="0" borderId="56" applyNumberFormat="0" applyFill="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0" fontId="13" fillId="24" borderId="57" applyNumberFormat="0" applyFont="0" applyAlignment="0" applyProtection="0"/>
    <xf numFmtId="168" fontId="13" fillId="0" borderId="40" applyFont="0" applyFill="0" applyBorder="0" applyAlignment="0" applyProtection="0">
      <alignment horizontal="center"/>
    </xf>
    <xf numFmtId="168" fontId="13" fillId="0" borderId="40" applyFont="0" applyFill="0" applyBorder="0" applyAlignment="0" applyProtection="0">
      <alignment horizontal="center"/>
    </xf>
    <xf numFmtId="3" fontId="33" fillId="29" borderId="72" applyNumberFormat="0" applyFont="0" applyBorder="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0" fontId="27" fillId="21" borderId="58"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2" fillId="0" borderId="0" applyFont="0" applyFill="0" applyBorder="0" applyAlignment="0" applyProtection="0"/>
    <xf numFmtId="10" fontId="33" fillId="30" borderId="0" applyNumberFormat="0" applyFont="0" applyBorder="0" applyAlignment="0" applyProtection="0"/>
    <xf numFmtId="3" fontId="37" fillId="0" borderId="73" applyNumberFormat="0" applyFill="0" applyBorder="0" applyAlignment="0" applyProtection="0">
      <protection locked="0"/>
    </xf>
    <xf numFmtId="165" fontId="34" fillId="0" borderId="74" applyNumberFormat="0" applyFon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 fontId="33" fillId="0" borderId="75" applyNumberFormat="0" applyFont="0" applyFill="0" applyAlignment="0" applyProtection="0">
      <alignment horizontal="right"/>
    </xf>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29" fillId="0" borderId="59" applyNumberFormat="0" applyFill="0" applyAlignment="0" applyProtection="0"/>
    <xf numFmtId="0" fontId="38" fillId="0" borderId="76" applyNumberFormat="0" applyFont="0" applyFill="0" applyAlignment="0">
      <protection locked="0"/>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3" fontId="12" fillId="0" borderId="0" applyFont="0" applyFill="0" applyBorder="0" applyAlignment="0" applyProtection="0"/>
    <xf numFmtId="0" fontId="12" fillId="0" borderId="0"/>
    <xf numFmtId="0" fontId="41" fillId="0" borderId="0" applyNumberFormat="0" applyFill="0" applyBorder="0" applyAlignment="0" applyProtection="0">
      <alignment vertical="top"/>
      <protection locked="0"/>
    </xf>
    <xf numFmtId="0" fontId="42" fillId="0" borderId="0"/>
    <xf numFmtId="44" fontId="13" fillId="0" borderId="0" applyFont="0" applyFill="0" applyBorder="0" applyAlignment="0" applyProtection="0"/>
    <xf numFmtId="166" fontId="33" fillId="0" borderId="94" applyNumberFormat="0" applyFont="0" applyFill="0" applyAlignment="0">
      <protection locked="0"/>
    </xf>
    <xf numFmtId="166" fontId="33" fillId="0" borderId="93" applyNumberFormat="0" applyFont="0" applyFill="0" applyAlignment="0">
      <protection locked="0"/>
    </xf>
    <xf numFmtId="0" fontId="13" fillId="0" borderId="0"/>
    <xf numFmtId="0" fontId="65" fillId="0" borderId="0"/>
    <xf numFmtId="0" fontId="74" fillId="0" borderId="0" applyNumberFormat="0" applyFill="0" applyBorder="0" applyAlignment="0" applyProtection="0"/>
    <xf numFmtId="10" fontId="75" fillId="0" borderId="70" applyFont="0" applyFill="0" applyBorder="0" applyAlignment="0" applyProtection="0">
      <alignment horizontal="right"/>
    </xf>
    <xf numFmtId="3" fontId="76" fillId="0" borderId="0" applyNumberFormat="0" applyFill="0" applyBorder="0" applyAlignment="0" applyProtection="0"/>
    <xf numFmtId="3" fontId="77" fillId="0" borderId="0" applyNumberFormat="0" applyFill="0" applyBorder="0" applyAlignment="0" applyProtection="0"/>
    <xf numFmtId="166" fontId="75" fillId="0" borderId="71" applyNumberFormat="0" applyFont="0" applyFill="0" applyAlignment="0">
      <protection locked="0"/>
    </xf>
    <xf numFmtId="4" fontId="76" fillId="28" borderId="72" applyNumberFormat="0" applyFont="0" applyBorder="0" applyAlignment="0" applyProtection="0"/>
    <xf numFmtId="3" fontId="75" fillId="29" borderId="72" applyNumberFormat="0" applyFont="0" applyBorder="0" applyAlignment="0" applyProtection="0"/>
    <xf numFmtId="10" fontId="75" fillId="30" borderId="0" applyNumberFormat="0" applyFont="0" applyBorder="0" applyAlignment="0" applyProtection="0"/>
    <xf numFmtId="3" fontId="78" fillId="0" borderId="73" applyNumberFormat="0" applyFill="0" applyBorder="0" applyAlignment="0" applyProtection="0">
      <protection locked="0"/>
    </xf>
    <xf numFmtId="165" fontId="76" fillId="0" borderId="74" applyNumberFormat="0" applyFont="0" applyFill="0" applyAlignment="0" applyProtection="0"/>
    <xf numFmtId="3" fontId="75" fillId="0" borderId="75" applyNumberFormat="0" applyFont="0" applyFill="0" applyAlignment="0" applyProtection="0">
      <alignment horizontal="right"/>
    </xf>
    <xf numFmtId="0" fontId="79" fillId="0" borderId="76" applyNumberFormat="0" applyFont="0" applyFill="0" applyAlignment="0">
      <protection locked="0"/>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13" fillId="0" borderId="0" applyFont="0" applyBorder="0" applyAlignment="0">
      <alignment horizontal="center"/>
    </xf>
    <xf numFmtId="167" fontId="13" fillId="0" borderId="0" applyFont="0" applyBorder="0" applyAlignment="0">
      <alignment horizontal="center"/>
    </xf>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13"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4" borderId="100" applyNumberFormat="0" applyFont="0" applyAlignment="0" applyProtection="0"/>
    <xf numFmtId="0" fontId="13" fillId="24" borderId="100" applyNumberFormat="0" applyFont="0" applyAlignment="0" applyProtection="0"/>
    <xf numFmtId="0" fontId="13" fillId="24" borderId="100" applyNumberFormat="0" applyFont="0" applyAlignment="0" applyProtection="0"/>
    <xf numFmtId="0" fontId="13" fillId="24" borderId="100" applyNumberFormat="0" applyFont="0" applyAlignment="0" applyProtection="0"/>
    <xf numFmtId="0" fontId="13" fillId="24" borderId="100" applyNumberFormat="0" applyFont="0" applyAlignment="0" applyProtection="0"/>
    <xf numFmtId="0" fontId="13" fillId="24" borderId="100" applyNumberFormat="0" applyFont="0" applyAlignment="0" applyProtection="0"/>
    <xf numFmtId="0" fontId="13" fillId="24" borderId="100" applyNumberFormat="0" applyFont="0" applyAlignment="0" applyProtection="0"/>
    <xf numFmtId="168" fontId="13" fillId="0" borderId="40" applyFont="0" applyFill="0" applyBorder="0" applyAlignment="0" applyProtection="0">
      <alignment horizontal="center"/>
    </xf>
    <xf numFmtId="168" fontId="13" fillId="0" borderId="40" applyFont="0" applyFill="0" applyBorder="0" applyAlignment="0" applyProtection="0">
      <alignment horizontal="center"/>
    </xf>
    <xf numFmtId="168" fontId="13" fillId="0" borderId="40" applyFont="0" applyFill="0" applyBorder="0" applyAlignment="0" applyProtection="0">
      <alignment horizontal="center"/>
    </xf>
    <xf numFmtId="168" fontId="13" fillId="0" borderId="40" applyFont="0" applyFill="0" applyBorder="0" applyAlignment="0" applyProtection="0">
      <alignment horizont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76" fillId="0" borderId="101" applyNumberFormat="0" applyFont="0" applyFill="0" applyAlignment="0" applyProtection="0"/>
    <xf numFmtId="3" fontId="75" fillId="0" borderId="102" applyNumberFormat="0" applyFont="0" applyFill="0" applyAlignment="0" applyProtection="0">
      <alignment horizontal="right"/>
    </xf>
    <xf numFmtId="0" fontId="12" fillId="0" borderId="0"/>
    <xf numFmtId="44" fontId="12" fillId="0" borderId="0" applyFont="0" applyFill="0" applyBorder="0" applyAlignment="0" applyProtection="0"/>
    <xf numFmtId="9" fontId="12" fillId="0" borderId="0" applyFont="0" applyFill="0" applyBorder="0" applyAlignment="0" applyProtection="0"/>
    <xf numFmtId="0" fontId="47" fillId="43" borderId="0" applyNumberFormat="0" applyBorder="0" applyAlignment="0" applyProtection="0"/>
    <xf numFmtId="0" fontId="17" fillId="21" borderId="103" applyNumberFormat="0" applyAlignment="0" applyProtection="0"/>
    <xf numFmtId="0" fontId="24" fillId="8" borderId="103" applyNumberFormat="0" applyAlignment="0" applyProtection="0"/>
    <xf numFmtId="0" fontId="13" fillId="0" borderId="0"/>
    <xf numFmtId="0" fontId="27" fillId="21" borderId="104" applyNumberFormat="0" applyAlignment="0" applyProtection="0"/>
    <xf numFmtId="0" fontId="29" fillId="0" borderId="105" applyNumberFormat="0" applyFill="0" applyAlignment="0" applyProtection="0"/>
    <xf numFmtId="0" fontId="80" fillId="0" borderId="0" applyNumberFormat="0" applyFill="0" applyBorder="0" applyAlignment="0" applyProtection="0"/>
  </cellStyleXfs>
  <cellXfs count="1163">
    <xf numFmtId="0" fontId="0" fillId="0" borderId="0" xfId="0"/>
    <xf numFmtId="0" fontId="6" fillId="2" borderId="4" xfId="0" applyFont="1" applyFill="1" applyBorder="1" applyAlignment="1">
      <alignment vertical="center" textRotation="90" wrapText="1"/>
    </xf>
    <xf numFmtId="0" fontId="2" fillId="2" borderId="21" xfId="0" applyNumberFormat="1" applyFont="1" applyFill="1" applyBorder="1" applyAlignment="1" applyProtection="1">
      <alignment horizontal="left" wrapText="1"/>
    </xf>
    <xf numFmtId="0" fontId="7" fillId="0" borderId="13"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left" vertical="top" wrapText="1"/>
    </xf>
    <xf numFmtId="0" fontId="2" fillId="0" borderId="1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10" fillId="0" borderId="0" xfId="0" applyFont="1"/>
    <xf numFmtId="0" fontId="2" fillId="25" borderId="28"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left" vertical="center" wrapText="1"/>
    </xf>
    <xf numFmtId="0" fontId="2" fillId="25" borderId="1" xfId="0" applyNumberFormat="1" applyFont="1" applyFill="1" applyBorder="1" applyAlignment="1" applyProtection="1">
      <alignment horizontal="center" vertical="center" wrapText="1"/>
    </xf>
    <xf numFmtId="0" fontId="5" fillId="25" borderId="13" xfId="0" applyNumberFormat="1" applyFont="1" applyFill="1" applyBorder="1" applyAlignment="1" applyProtection="1">
      <alignment horizontal="left" vertical="center" wrapText="1"/>
    </xf>
    <xf numFmtId="0" fontId="2" fillId="25" borderId="9" xfId="0" applyNumberFormat="1" applyFont="1" applyFill="1" applyBorder="1" applyAlignment="1" applyProtection="1">
      <alignment horizontal="center" vertical="center" wrapText="1"/>
    </xf>
    <xf numFmtId="9" fontId="5" fillId="25" borderId="13" xfId="0" applyNumberFormat="1" applyFont="1" applyFill="1" applyBorder="1" applyAlignment="1" applyProtection="1">
      <alignment horizontal="left" vertical="center" wrapText="1"/>
    </xf>
    <xf numFmtId="9" fontId="5" fillId="25" borderId="14"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13" fillId="0" borderId="0" xfId="0" applyFont="1" applyFill="1" applyBorder="1"/>
    <xf numFmtId="0" fontId="0" fillId="0" borderId="0" xfId="0" applyFont="1" applyFill="1" applyBorder="1"/>
    <xf numFmtId="0" fontId="0" fillId="0" borderId="0" xfId="0"/>
    <xf numFmtId="0" fontId="0" fillId="0" borderId="0" xfId="0" applyBorder="1"/>
    <xf numFmtId="0" fontId="2" fillId="0" borderId="28" xfId="0" applyNumberFormat="1" applyFont="1" applyFill="1" applyBorder="1" applyAlignment="1" applyProtection="1">
      <alignment horizontal="center" wrapText="1"/>
    </xf>
    <xf numFmtId="0" fontId="2" fillId="2" borderId="4" xfId="0" applyNumberFormat="1" applyFont="1" applyFill="1" applyBorder="1" applyAlignment="1" applyProtection="1">
      <alignment horizontal="left" wrapText="1"/>
    </xf>
    <xf numFmtId="0" fontId="5" fillId="2" borderId="4" xfId="0" applyNumberFormat="1" applyFont="1" applyFill="1" applyBorder="1" applyAlignment="1" applyProtection="1">
      <alignment horizontal="center" vertical="center" wrapText="1"/>
    </xf>
    <xf numFmtId="0" fontId="5" fillId="2" borderId="23" xfId="0" applyNumberFormat="1" applyFont="1" applyFill="1" applyBorder="1" applyAlignment="1" applyProtection="1">
      <alignment horizontal="center" vertical="center" wrapText="1"/>
    </xf>
    <xf numFmtId="0" fontId="30" fillId="25" borderId="0" xfId="0" applyNumberFormat="1" applyFont="1" applyFill="1" applyBorder="1" applyAlignment="1" applyProtection="1">
      <alignment vertical="center" wrapText="1"/>
    </xf>
    <xf numFmtId="0" fontId="2" fillId="0" borderId="17"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left" vertical="center" wrapText="1"/>
    </xf>
    <xf numFmtId="0" fontId="2" fillId="2" borderId="45" xfId="0" applyNumberFormat="1" applyFont="1" applyFill="1" applyBorder="1" applyAlignment="1" applyProtection="1">
      <alignment horizontal="left" wrapText="1"/>
    </xf>
    <xf numFmtId="0" fontId="2" fillId="2" borderId="46" xfId="0" applyNumberFormat="1" applyFont="1" applyFill="1" applyBorder="1" applyAlignment="1" applyProtection="1">
      <alignment horizontal="left" wrapText="1"/>
    </xf>
    <xf numFmtId="0" fontId="5" fillId="2" borderId="23" xfId="0" applyNumberFormat="1" applyFont="1" applyFill="1" applyBorder="1" applyAlignment="1" applyProtection="1">
      <alignment horizontal="left" wrapText="1"/>
    </xf>
    <xf numFmtId="0" fontId="5" fillId="2" borderId="64" xfId="0" applyNumberFormat="1" applyFont="1" applyFill="1" applyBorder="1" applyAlignment="1" applyProtection="1">
      <alignment horizontal="center" vertical="center" wrapText="1"/>
    </xf>
    <xf numFmtId="0" fontId="5" fillId="2" borderId="65"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left" wrapText="1"/>
    </xf>
    <xf numFmtId="0" fontId="1" fillId="0" borderId="28" xfId="0" applyFont="1" applyBorder="1" applyAlignment="1">
      <alignment horizontal="left" vertical="center"/>
    </xf>
    <xf numFmtId="0" fontId="4" fillId="0" borderId="28"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7" fillId="0" borderId="28" xfId="0" applyNumberFormat="1" applyFont="1" applyFill="1" applyBorder="1" applyAlignment="1" applyProtection="1">
      <alignment vertical="center" wrapText="1"/>
    </xf>
    <xf numFmtId="0" fontId="7" fillId="0" borderId="37" xfId="0" applyNumberFormat="1" applyFont="1" applyFill="1" applyBorder="1" applyAlignment="1" applyProtection="1">
      <alignment horizontal="center" vertical="center" wrapText="1"/>
    </xf>
    <xf numFmtId="0" fontId="31" fillId="25" borderId="4" xfId="0" applyNumberFormat="1" applyFont="1" applyFill="1" applyBorder="1" applyAlignment="1" applyProtection="1">
      <alignment horizontal="right" vertical="center" wrapText="1"/>
    </xf>
    <xf numFmtId="0" fontId="0" fillId="2" borderId="0" xfId="0" applyFill="1"/>
    <xf numFmtId="0" fontId="0" fillId="0" borderId="33" xfId="0" applyFont="1" applyBorder="1" applyAlignment="1">
      <alignment horizontal="center"/>
    </xf>
    <xf numFmtId="0" fontId="5" fillId="25" borderId="13" xfId="0" applyNumberFormat="1" applyFont="1" applyFill="1" applyBorder="1" applyAlignment="1" applyProtection="1">
      <alignment horizontal="left" vertical="top" wrapText="1"/>
    </xf>
    <xf numFmtId="0" fontId="44" fillId="0" borderId="13" xfId="0" applyNumberFormat="1" applyFont="1" applyFill="1" applyBorder="1" applyAlignment="1" applyProtection="1">
      <alignment horizontal="center" vertical="center" wrapText="1"/>
    </xf>
    <xf numFmtId="0" fontId="43" fillId="0" borderId="17" xfId="0" applyNumberFormat="1" applyFont="1" applyFill="1" applyBorder="1" applyAlignment="1" applyProtection="1">
      <alignment vertical="center" wrapText="1"/>
    </xf>
    <xf numFmtId="0" fontId="2" fillId="0" borderId="28" xfId="0" applyNumberFormat="1" applyFont="1" applyFill="1" applyBorder="1" applyAlignment="1" applyProtection="1">
      <alignment horizontal="center" vertical="center" wrapText="1"/>
    </xf>
    <xf numFmtId="0" fontId="5" fillId="25" borderId="60" xfId="0" applyNumberFormat="1" applyFont="1" applyFill="1" applyBorder="1" applyAlignment="1" applyProtection="1">
      <alignment horizontal="left" vertical="center" wrapText="1"/>
    </xf>
    <xf numFmtId="0" fontId="5" fillId="25" borderId="20" xfId="0" applyNumberFormat="1" applyFont="1" applyFill="1" applyBorder="1" applyAlignment="1" applyProtection="1">
      <alignment horizontal="left" vertical="center" wrapText="1"/>
    </xf>
    <xf numFmtId="0" fontId="5" fillId="25" borderId="12" xfId="0" applyNumberFormat="1" applyFont="1" applyFill="1" applyBorder="1" applyAlignment="1" applyProtection="1">
      <alignment horizontal="left" vertical="center" wrapText="1"/>
    </xf>
    <xf numFmtId="0" fontId="2" fillId="0" borderId="83" xfId="0" applyNumberFormat="1" applyFont="1" applyFill="1" applyBorder="1" applyAlignment="1" applyProtection="1">
      <alignment horizontal="left" vertical="center" wrapText="1"/>
    </xf>
    <xf numFmtId="0" fontId="44" fillId="0" borderId="12" xfId="0" applyNumberFormat="1" applyFont="1" applyFill="1" applyBorder="1" applyAlignment="1" applyProtection="1">
      <alignment horizontal="center" vertical="center" wrapText="1"/>
    </xf>
    <xf numFmtId="0" fontId="5" fillId="32" borderId="14" xfId="0" applyNumberFormat="1" applyFont="1" applyFill="1" applyBorder="1" applyAlignment="1" applyProtection="1">
      <alignment horizontal="left" vertical="center" wrapText="1"/>
    </xf>
    <xf numFmtId="0" fontId="5" fillId="32" borderId="15" xfId="0" applyNumberFormat="1" applyFont="1" applyFill="1" applyBorder="1" applyAlignment="1" applyProtection="1">
      <alignment horizontal="left" vertical="center" wrapText="1"/>
    </xf>
    <xf numFmtId="0" fontId="5" fillId="32" borderId="10" xfId="0" applyNumberFormat="1" applyFont="1" applyFill="1" applyBorder="1" applyAlignment="1" applyProtection="1">
      <alignment horizontal="left" vertical="center" wrapText="1"/>
    </xf>
    <xf numFmtId="0" fontId="5" fillId="32" borderId="23" xfId="0" applyNumberFormat="1" applyFont="1" applyFill="1" applyBorder="1" applyAlignment="1" applyProtection="1">
      <alignment horizontal="center" vertical="center" wrapText="1"/>
    </xf>
    <xf numFmtId="0" fontId="5" fillId="32" borderId="4" xfId="0" applyNumberFormat="1" applyFont="1" applyFill="1" applyBorder="1" applyAlignment="1" applyProtection="1">
      <alignment horizontal="left" vertical="center" wrapText="1"/>
    </xf>
    <xf numFmtId="0" fontId="7" fillId="0" borderId="29" xfId="0" applyNumberFormat="1" applyFont="1" applyFill="1" applyBorder="1" applyAlignment="1" applyProtection="1">
      <alignment horizontal="center" vertical="center" wrapText="1"/>
    </xf>
    <xf numFmtId="0" fontId="2" fillId="0" borderId="28" xfId="0" applyNumberFormat="1" applyFont="1" applyFill="1" applyBorder="1" applyAlignment="1" applyProtection="1">
      <alignment horizontal="center" vertical="center" wrapText="1"/>
    </xf>
    <xf numFmtId="0" fontId="10" fillId="0" borderId="0" xfId="0" applyFont="1" applyBorder="1"/>
    <xf numFmtId="1" fontId="2" fillId="0" borderId="47" xfId="0" applyNumberFormat="1" applyFont="1" applyFill="1" applyBorder="1" applyAlignment="1" applyProtection="1">
      <alignment horizontal="center" vertical="center" wrapText="1"/>
    </xf>
    <xf numFmtId="1" fontId="2" fillId="25" borderId="1" xfId="0" applyNumberFormat="1" applyFont="1" applyFill="1" applyBorder="1" applyAlignment="1" applyProtection="1">
      <alignment horizontal="center" vertical="center" wrapText="1"/>
    </xf>
    <xf numFmtId="1" fontId="2" fillId="0" borderId="1" xfId="0" applyNumberFormat="1" applyFont="1" applyFill="1" applyBorder="1" applyAlignment="1" applyProtection="1">
      <alignment horizontal="center" vertical="center" wrapText="1"/>
    </xf>
    <xf numFmtId="1" fontId="2" fillId="25" borderId="9" xfId="0" applyNumberFormat="1" applyFont="1" applyFill="1" applyBorder="1" applyAlignment="1" applyProtection="1">
      <alignment horizontal="center" vertical="center" wrapText="1"/>
    </xf>
    <xf numFmtId="0" fontId="5" fillId="25" borderId="10" xfId="0" applyNumberFormat="1" applyFont="1" applyFill="1" applyBorder="1" applyAlignment="1" applyProtection="1">
      <alignment horizontal="left" vertical="center" wrapText="1"/>
    </xf>
    <xf numFmtId="0" fontId="0" fillId="0" borderId="0" xfId="0"/>
    <xf numFmtId="0" fontId="0" fillId="0" borderId="1" xfId="0" applyBorder="1"/>
    <xf numFmtId="0" fontId="0" fillId="0" borderId="0" xfId="0"/>
    <xf numFmtId="0" fontId="47" fillId="0" borderId="0" xfId="0" applyFont="1"/>
    <xf numFmtId="0" fontId="31" fillId="2" borderId="22" xfId="0" applyFont="1" applyFill="1" applyBorder="1" applyAlignment="1">
      <alignment horizontal="center"/>
    </xf>
    <xf numFmtId="1" fontId="5" fillId="2" borderId="22" xfId="0" applyNumberFormat="1" applyFont="1" applyFill="1" applyBorder="1" applyAlignment="1">
      <alignment horizontal="center" vertical="center"/>
    </xf>
    <xf numFmtId="0" fontId="5" fillId="2" borderId="22" xfId="0" applyFont="1" applyFill="1" applyBorder="1" applyAlignment="1">
      <alignment horizontal="center" vertical="center"/>
    </xf>
    <xf numFmtId="164" fontId="5" fillId="2" borderId="44" xfId="0" applyNumberFormat="1" applyFont="1" applyFill="1" applyBorder="1" applyAlignment="1">
      <alignment horizontal="center" vertical="center"/>
    </xf>
    <xf numFmtId="2" fontId="5" fillId="2" borderId="22" xfId="0" applyNumberFormat="1" applyFont="1" applyFill="1" applyBorder="1" applyAlignment="1">
      <alignment horizontal="center" vertical="center"/>
    </xf>
    <xf numFmtId="2" fontId="5" fillId="2" borderId="78" xfId="0" applyNumberFormat="1" applyFont="1" applyFill="1" applyBorder="1" applyAlignment="1">
      <alignment horizontal="center" vertical="center"/>
    </xf>
    <xf numFmtId="44" fontId="5" fillId="2" borderId="22" xfId="53" applyFont="1" applyFill="1" applyBorder="1" applyAlignment="1">
      <alignment horizontal="center" vertical="center"/>
    </xf>
    <xf numFmtId="170" fontId="5" fillId="2" borderId="22" xfId="610" applyNumberFormat="1" applyFont="1" applyFill="1" applyBorder="1" applyAlignment="1">
      <alignment horizontal="center" vertical="center"/>
    </xf>
    <xf numFmtId="0" fontId="39" fillId="0" borderId="0" xfId="0" applyFont="1"/>
    <xf numFmtId="0" fontId="31" fillId="2" borderId="4" xfId="0" applyFont="1" applyFill="1" applyBorder="1" applyAlignment="1">
      <alignment horizontal="center"/>
    </xf>
    <xf numFmtId="0" fontId="31" fillId="2" borderId="4" xfId="0" applyFont="1" applyFill="1" applyBorder="1" applyAlignment="1">
      <alignment horizontal="center" wrapText="1"/>
    </xf>
    <xf numFmtId="0" fontId="2" fillId="0" borderId="41" xfId="0" applyNumberFormat="1" applyFont="1" applyFill="1" applyBorder="1" applyAlignment="1" applyProtection="1">
      <alignment horizontal="center" vertical="center" wrapText="1"/>
    </xf>
    <xf numFmtId="1" fontId="2" fillId="25" borderId="66" xfId="0" applyNumberFormat="1" applyFont="1" applyFill="1" applyBorder="1" applyAlignment="1" applyProtection="1">
      <alignment horizontal="center" vertical="center" wrapText="1"/>
    </xf>
    <xf numFmtId="1" fontId="2" fillId="25" borderId="6" xfId="0" applyNumberFormat="1" applyFont="1" applyFill="1" applyBorder="1" applyAlignment="1" applyProtection="1">
      <alignment horizontal="center" vertical="center" wrapText="1"/>
    </xf>
    <xf numFmtId="1" fontId="2" fillId="25" borderId="41" xfId="0" applyNumberFormat="1" applyFont="1" applyFill="1" applyBorder="1" applyAlignment="1" applyProtection="1">
      <alignment horizontal="center" vertical="center" wrapText="1"/>
    </xf>
    <xf numFmtId="1" fontId="2" fillId="25" borderId="50" xfId="0" applyNumberFormat="1" applyFont="1" applyFill="1" applyBorder="1" applyAlignment="1" applyProtection="1">
      <alignment horizontal="center" vertical="center" wrapText="1"/>
    </xf>
    <xf numFmtId="0" fontId="2" fillId="0" borderId="29" xfId="0" applyNumberFormat="1" applyFont="1" applyFill="1" applyBorder="1" applyAlignment="1" applyProtection="1">
      <alignment horizontal="center" vertical="center" wrapText="1"/>
    </xf>
    <xf numFmtId="0" fontId="2" fillId="31" borderId="35" xfId="0" applyFont="1" applyFill="1" applyBorder="1" applyAlignment="1" applyProtection="1">
      <alignment horizontal="center" wrapText="1"/>
    </xf>
    <xf numFmtId="0" fontId="2" fillId="31" borderId="46" xfId="0" applyFont="1" applyFill="1" applyBorder="1" applyAlignment="1" applyProtection="1">
      <alignment horizontal="center" wrapText="1"/>
    </xf>
    <xf numFmtId="0" fontId="2" fillId="0" borderId="2" xfId="0" applyNumberFormat="1" applyFont="1" applyFill="1" applyBorder="1" applyAlignment="1" applyProtection="1">
      <alignment horizontal="left" vertical="center" wrapText="1"/>
    </xf>
    <xf numFmtId="0" fontId="5" fillId="25" borderId="14" xfId="0" applyNumberFormat="1" applyFont="1" applyFill="1" applyBorder="1" applyAlignment="1" applyProtection="1">
      <alignment horizontal="left" vertical="center" wrapText="1"/>
    </xf>
    <xf numFmtId="0" fontId="0" fillId="0" borderId="1" xfId="0" applyBorder="1" applyAlignment="1">
      <alignment horizontal="center"/>
    </xf>
    <xf numFmtId="0" fontId="2" fillId="0" borderId="28" xfId="0" applyNumberFormat="1" applyFont="1" applyFill="1" applyBorder="1" applyAlignment="1" applyProtection="1">
      <alignment vertical="center" wrapText="1"/>
    </xf>
    <xf numFmtId="0" fontId="2" fillId="0" borderId="13" xfId="0" applyNumberFormat="1" applyFont="1" applyFill="1" applyBorder="1" applyAlignment="1" applyProtection="1">
      <alignment vertical="center" wrapText="1"/>
    </xf>
    <xf numFmtId="0" fontId="2" fillId="0" borderId="80" xfId="0" applyNumberFormat="1" applyFont="1" applyFill="1" applyBorder="1" applyAlignment="1" applyProtection="1">
      <alignment horizontal="left" vertical="center" wrapText="1"/>
    </xf>
    <xf numFmtId="0" fontId="2" fillId="0" borderId="12" xfId="0" applyNumberFormat="1" applyFont="1" applyFill="1" applyBorder="1" applyAlignment="1" applyProtection="1">
      <alignment horizontal="center" vertical="center" wrapText="1"/>
    </xf>
    <xf numFmtId="0" fontId="44" fillId="0" borderId="14" xfId="0" applyNumberFormat="1" applyFont="1" applyFill="1" applyBorder="1" applyAlignment="1" applyProtection="1">
      <alignment horizontal="center" vertical="center" wrapText="1"/>
    </xf>
    <xf numFmtId="0" fontId="5" fillId="25" borderId="29" xfId="0" applyNumberFormat="1" applyFont="1" applyFill="1" applyBorder="1" applyAlignment="1" applyProtection="1">
      <alignment horizontal="left" vertical="center" wrapText="1"/>
    </xf>
    <xf numFmtId="1" fontId="2" fillId="25" borderId="39" xfId="0" applyNumberFormat="1" applyFont="1" applyFill="1" applyBorder="1" applyAlignment="1" applyProtection="1">
      <alignment horizontal="center" vertical="center" wrapText="1"/>
    </xf>
    <xf numFmtId="1" fontId="2" fillId="25" borderId="3" xfId="0" applyNumberFormat="1" applyFont="1" applyFill="1" applyBorder="1" applyAlignment="1" applyProtection="1">
      <alignment horizontal="center" vertical="center" wrapText="1"/>
    </xf>
    <xf numFmtId="0" fontId="2" fillId="25" borderId="3" xfId="0" applyNumberFormat="1" applyFont="1" applyFill="1" applyBorder="1" applyAlignment="1" applyProtection="1">
      <alignment horizontal="center" vertical="center" wrapText="1"/>
    </xf>
    <xf numFmtId="0" fontId="2" fillId="25" borderId="13" xfId="0" applyNumberFormat="1" applyFont="1" applyFill="1" applyBorder="1" applyAlignment="1" applyProtection="1">
      <alignment horizontal="left" vertical="center" wrapText="1"/>
    </xf>
    <xf numFmtId="0" fontId="2" fillId="25" borderId="14" xfId="0" applyNumberFormat="1" applyFont="1" applyFill="1" applyBorder="1" applyAlignment="1" applyProtection="1">
      <alignment horizontal="center" vertical="center" wrapText="1"/>
    </xf>
    <xf numFmtId="0" fontId="2" fillId="25" borderId="41"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vertical="center" wrapText="1"/>
    </xf>
    <xf numFmtId="9" fontId="2" fillId="0" borderId="13" xfId="0" applyNumberFormat="1" applyFont="1" applyFill="1" applyBorder="1" applyAlignment="1" applyProtection="1">
      <alignment vertical="center" wrapText="1"/>
    </xf>
    <xf numFmtId="9" fontId="2" fillId="0" borderId="14" xfId="0" applyNumberFormat="1" applyFont="1" applyFill="1" applyBorder="1" applyAlignment="1" applyProtection="1">
      <alignment vertical="center" wrapText="1"/>
    </xf>
    <xf numFmtId="0" fontId="2" fillId="0" borderId="22" xfId="0" applyNumberFormat="1" applyFont="1" applyFill="1" applyBorder="1" applyAlignment="1" applyProtection="1">
      <alignment horizontal="left" vertical="center" wrapText="1"/>
    </xf>
    <xf numFmtId="0" fontId="2" fillId="0" borderId="38" xfId="0" applyNumberFormat="1" applyFont="1" applyFill="1" applyBorder="1" applyAlignment="1" applyProtection="1">
      <alignment horizontal="center" vertical="center" wrapText="1"/>
    </xf>
    <xf numFmtId="0" fontId="2" fillId="0" borderId="34" xfId="0" applyNumberFormat="1" applyFont="1" applyFill="1" applyBorder="1" applyAlignment="1" applyProtection="1">
      <alignment horizontal="center" vertical="center" wrapText="1"/>
    </xf>
    <xf numFmtId="0" fontId="31" fillId="2" borderId="78" xfId="0" applyFont="1" applyFill="1" applyBorder="1" applyAlignment="1">
      <alignment horizontal="center"/>
    </xf>
    <xf numFmtId="0" fontId="1" fillId="0" borderId="0" xfId="0" applyFont="1"/>
    <xf numFmtId="0" fontId="50" fillId="25" borderId="0" xfId="0" applyNumberFormat="1" applyFont="1" applyFill="1" applyBorder="1" applyAlignment="1" applyProtection="1">
      <alignment horizontal="left" wrapText="1"/>
    </xf>
    <xf numFmtId="0" fontId="0" fillId="0" borderId="9" xfId="0" applyFont="1" applyBorder="1" applyAlignment="1">
      <alignment horizontal="center"/>
    </xf>
    <xf numFmtId="0" fontId="0" fillId="33" borderId="6" xfId="0" applyFont="1" applyFill="1" applyBorder="1" applyAlignment="1">
      <alignment horizontal="center"/>
    </xf>
    <xf numFmtId="0" fontId="0" fillId="33" borderId="48" xfId="0" applyFont="1" applyFill="1" applyBorder="1" applyAlignment="1">
      <alignment horizontal="center"/>
    </xf>
    <xf numFmtId="0" fontId="0" fillId="33" borderId="1" xfId="0" applyFont="1" applyFill="1" applyBorder="1" applyAlignment="1">
      <alignment horizontal="center"/>
    </xf>
    <xf numFmtId="0" fontId="0" fillId="33" borderId="33" xfId="0" applyFont="1" applyFill="1" applyBorder="1" applyAlignment="1">
      <alignment horizontal="center"/>
    </xf>
    <xf numFmtId="0" fontId="0" fillId="33" borderId="9" xfId="0" applyFont="1" applyFill="1" applyBorder="1" applyAlignment="1">
      <alignment horizontal="center"/>
    </xf>
    <xf numFmtId="0" fontId="0" fillId="33" borderId="36" xfId="0" applyFont="1" applyFill="1" applyBorder="1" applyAlignment="1">
      <alignment horizontal="center"/>
    </xf>
    <xf numFmtId="0" fontId="2" fillId="0" borderId="66" xfId="0" applyNumberFormat="1" applyFont="1" applyFill="1" applyBorder="1" applyAlignment="1" applyProtection="1">
      <alignment horizontal="left" vertical="center" wrapText="1"/>
    </xf>
    <xf numFmtId="0" fontId="2" fillId="0" borderId="41" xfId="0" applyNumberFormat="1" applyFont="1" applyFill="1" applyBorder="1" applyAlignment="1" applyProtection="1">
      <alignment horizontal="left" vertical="center" wrapText="1"/>
    </xf>
    <xf numFmtId="0" fontId="2" fillId="0" borderId="39" xfId="0" applyNumberFormat="1" applyFont="1" applyFill="1" applyBorder="1" applyAlignment="1" applyProtection="1">
      <alignment horizontal="left" vertical="center" wrapText="1"/>
    </xf>
    <xf numFmtId="0" fontId="2" fillId="25" borderId="11" xfId="0" applyNumberFormat="1" applyFont="1" applyFill="1" applyBorder="1" applyAlignment="1" applyProtection="1">
      <alignment horizontal="left" vertical="top" wrapText="1"/>
    </xf>
    <xf numFmtId="0" fontId="0" fillId="2" borderId="90" xfId="0" applyFill="1" applyBorder="1" applyAlignment="1">
      <alignment horizontal="center"/>
    </xf>
    <xf numFmtId="0" fontId="0" fillId="2" borderId="34" xfId="0" applyFill="1" applyBorder="1" applyAlignment="1">
      <alignment horizontal="center"/>
    </xf>
    <xf numFmtId="0" fontId="0" fillId="2" borderId="41" xfId="0" applyFill="1" applyBorder="1" applyAlignment="1">
      <alignment horizontal="center"/>
    </xf>
    <xf numFmtId="0" fontId="0" fillId="2" borderId="1" xfId="0" applyFill="1" applyBorder="1" applyAlignment="1">
      <alignment horizontal="center"/>
    </xf>
    <xf numFmtId="0" fontId="0" fillId="26" borderId="1" xfId="0" applyFill="1" applyBorder="1"/>
    <xf numFmtId="0" fontId="0" fillId="2" borderId="1" xfId="0" applyFill="1" applyBorder="1"/>
    <xf numFmtId="0" fontId="39" fillId="26" borderId="1" xfId="0" applyFont="1" applyFill="1" applyBorder="1"/>
    <xf numFmtId="0" fontId="10" fillId="2" borderId="97" xfId="0" applyFont="1" applyFill="1" applyBorder="1" applyAlignment="1"/>
    <xf numFmtId="0" fontId="39" fillId="0" borderId="31" xfId="0" applyFont="1" applyFill="1" applyBorder="1"/>
    <xf numFmtId="0" fontId="0" fillId="0" borderId="48" xfId="0" applyFont="1" applyBorder="1" applyAlignment="1">
      <alignment horizontal="center"/>
    </xf>
    <xf numFmtId="0" fontId="0" fillId="0" borderId="36" xfId="0" applyFont="1" applyBorder="1" applyAlignment="1">
      <alignment horizontal="center"/>
    </xf>
    <xf numFmtId="0" fontId="39" fillId="0" borderId="7" xfId="0" applyFont="1" applyFill="1" applyBorder="1"/>
    <xf numFmtId="0" fontId="39" fillId="0" borderId="1" xfId="0" applyNumberFormat="1" applyFont="1" applyFill="1" applyBorder="1" applyAlignment="1" applyProtection="1">
      <alignment horizontal="left" vertical="center" wrapText="1"/>
    </xf>
    <xf numFmtId="0" fontId="39" fillId="25" borderId="1" xfId="0" applyNumberFormat="1" applyFont="1" applyFill="1" applyBorder="1" applyAlignment="1" applyProtection="1">
      <alignment horizontal="left" vertical="top" wrapText="1"/>
    </xf>
    <xf numFmtId="0" fontId="39" fillId="0" borderId="34" xfId="0" applyNumberFormat="1" applyFont="1" applyFill="1" applyBorder="1" applyAlignment="1" applyProtection="1">
      <alignment horizontal="left" vertical="center" wrapText="1"/>
    </xf>
    <xf numFmtId="0" fontId="39" fillId="0" borderId="90" xfId="0" applyNumberFormat="1" applyFont="1" applyFill="1" applyBorder="1" applyAlignment="1" applyProtection="1">
      <alignment horizontal="left" vertical="center" wrapText="1"/>
    </xf>
    <xf numFmtId="0" fontId="39" fillId="0" borderId="41" xfId="0" applyNumberFormat="1" applyFont="1" applyFill="1" applyBorder="1" applyAlignment="1" applyProtection="1">
      <alignment horizontal="left" vertical="center" wrapText="1"/>
    </xf>
    <xf numFmtId="0" fontId="39" fillId="0" borderId="39" xfId="0" applyNumberFormat="1" applyFont="1" applyFill="1" applyBorder="1" applyAlignment="1" applyProtection="1">
      <alignment horizontal="left" vertical="center" wrapText="1"/>
    </xf>
    <xf numFmtId="0" fontId="10" fillId="2" borderId="23" xfId="0" applyFont="1" applyFill="1" applyBorder="1" applyAlignment="1">
      <alignment horizontal="left" vertical="top"/>
    </xf>
    <xf numFmtId="0" fontId="10" fillId="2" borderId="29"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22" xfId="0" applyFont="1" applyFill="1" applyBorder="1" applyAlignment="1">
      <alignment horizontal="left" vertical="top" wrapText="1"/>
    </xf>
    <xf numFmtId="0" fontId="39" fillId="25" borderId="1" xfId="0" applyNumberFormat="1" applyFont="1" applyFill="1" applyBorder="1" applyAlignment="1" applyProtection="1">
      <alignment horizontal="left" vertical="center" wrapText="1"/>
    </xf>
    <xf numFmtId="0" fontId="39" fillId="25" borderId="3" xfId="0" applyNumberFormat="1" applyFont="1" applyFill="1" applyBorder="1" applyAlignment="1" applyProtection="1">
      <alignment horizontal="left" vertical="center" wrapText="1"/>
    </xf>
    <xf numFmtId="0" fontId="0" fillId="33" borderId="63" xfId="0" applyFont="1" applyFill="1" applyBorder="1" applyAlignment="1">
      <alignment horizontal="center"/>
    </xf>
    <xf numFmtId="0" fontId="40" fillId="2" borderId="35" xfId="0" applyFont="1" applyFill="1" applyBorder="1"/>
    <xf numFmtId="0" fontId="0" fillId="2" borderId="46" xfId="0" applyFill="1" applyBorder="1"/>
    <xf numFmtId="0" fontId="10" fillId="2" borderId="13" xfId="0" applyFont="1" applyFill="1" applyBorder="1" applyAlignment="1">
      <alignment horizontal="left" vertical="top"/>
    </xf>
    <xf numFmtId="0" fontId="10" fillId="2" borderId="21" xfId="0" applyFont="1" applyFill="1" applyBorder="1" applyAlignment="1">
      <alignment horizontal="center"/>
    </xf>
    <xf numFmtId="0" fontId="0" fillId="0" borderId="1" xfId="0" applyFont="1" applyBorder="1" applyAlignment="1">
      <alignment horizontal="center"/>
    </xf>
    <xf numFmtId="0" fontId="10" fillId="2" borderId="63" xfId="0" applyFont="1" applyFill="1" applyBorder="1" applyAlignment="1">
      <alignment horizontal="center"/>
    </xf>
    <xf numFmtId="0" fontId="0" fillId="0" borderId="6" xfId="0" applyFont="1" applyBorder="1" applyAlignment="1">
      <alignment horizontal="center"/>
    </xf>
    <xf numFmtId="0" fontId="10" fillId="2" borderId="65" xfId="0" applyFont="1" applyFill="1" applyBorder="1" applyAlignment="1">
      <alignment horizontal="center"/>
    </xf>
    <xf numFmtId="0" fontId="40" fillId="2" borderId="0" xfId="0" applyFont="1" applyFill="1" applyBorder="1"/>
    <xf numFmtId="0" fontId="5" fillId="25" borderId="0" xfId="0" applyNumberFormat="1" applyFont="1" applyFill="1" applyBorder="1" applyAlignment="1" applyProtection="1">
      <alignment horizontal="center" vertical="center" wrapText="1"/>
    </xf>
    <xf numFmtId="0" fontId="54" fillId="0" borderId="0" xfId="0" applyFont="1" applyAlignment="1">
      <alignment horizontal="center"/>
    </xf>
    <xf numFmtId="0" fontId="13" fillId="0" borderId="0" xfId="54" applyProtection="1"/>
    <xf numFmtId="0" fontId="13" fillId="0" borderId="0" xfId="54" applyAlignment="1" applyProtection="1">
      <alignment vertical="center"/>
      <protection locked="0"/>
    </xf>
    <xf numFmtId="0" fontId="12" fillId="36" borderId="0" xfId="505" applyFill="1" applyProtection="1">
      <protection locked="0"/>
    </xf>
    <xf numFmtId="0" fontId="66" fillId="0" borderId="8"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36" xfId="0" applyFont="1" applyBorder="1" applyAlignment="1">
      <alignment horizontal="center" vertical="center" wrapText="1"/>
    </xf>
    <xf numFmtId="0" fontId="0" fillId="0" borderId="12" xfId="0" applyBorder="1"/>
    <xf numFmtId="0" fontId="0" fillId="0" borderId="13" xfId="0" applyBorder="1"/>
    <xf numFmtId="0" fontId="0" fillId="0" borderId="14" xfId="0" applyBorder="1"/>
    <xf numFmtId="0" fontId="66" fillId="0" borderId="66" xfId="0" applyFont="1" applyBorder="1" applyAlignment="1">
      <alignment horizontal="center" vertical="center"/>
    </xf>
    <xf numFmtId="0" fontId="66" fillId="0" borderId="6" xfId="0" applyFont="1" applyBorder="1" applyAlignment="1">
      <alignment horizontal="center" vertical="center"/>
    </xf>
    <xf numFmtId="0" fontId="66" fillId="0" borderId="48" xfId="0" applyFont="1" applyBorder="1" applyAlignment="1">
      <alignment horizontal="center" vertical="center"/>
    </xf>
    <xf numFmtId="0" fontId="66" fillId="0" borderId="41" xfId="0" applyFont="1" applyBorder="1" applyAlignment="1">
      <alignment horizontal="center" vertical="center"/>
    </xf>
    <xf numFmtId="0" fontId="66" fillId="0" borderId="1" xfId="0" applyFont="1" applyBorder="1" applyAlignment="1">
      <alignment horizontal="center" vertical="center"/>
    </xf>
    <xf numFmtId="0" fontId="66" fillId="0" borderId="33" xfId="0" applyFont="1" applyBorder="1" applyAlignment="1">
      <alignment horizontal="center" vertical="center"/>
    </xf>
    <xf numFmtId="0" fontId="66" fillId="0" borderId="50" xfId="0" applyFont="1" applyBorder="1" applyAlignment="1">
      <alignment horizontal="center" vertical="center"/>
    </xf>
    <xf numFmtId="0" fontId="66" fillId="0" borderId="9" xfId="0" applyFont="1" applyBorder="1" applyAlignment="1">
      <alignment horizontal="center" vertical="center"/>
    </xf>
    <xf numFmtId="0" fontId="66" fillId="0" borderId="36" xfId="0" applyFont="1" applyBorder="1" applyAlignment="1">
      <alignment horizontal="center" vertical="center"/>
    </xf>
    <xf numFmtId="0" fontId="0" fillId="0" borderId="0" xfId="0" applyFill="1" applyBorder="1"/>
    <xf numFmtId="0" fontId="10" fillId="2" borderId="23" xfId="0" applyFont="1" applyFill="1" applyBorder="1" applyAlignment="1"/>
    <xf numFmtId="0" fontId="10" fillId="2" borderId="64" xfId="0" applyFont="1" applyFill="1" applyBorder="1" applyAlignment="1"/>
    <xf numFmtId="0" fontId="0" fillId="0" borderId="63" xfId="0" applyFont="1" applyBorder="1" applyAlignment="1">
      <alignment horizontal="center"/>
    </xf>
    <xf numFmtId="0" fontId="0" fillId="0" borderId="5"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0" fillId="0" borderId="96" xfId="0" applyFont="1" applyBorder="1" applyAlignment="1">
      <alignment horizontal="center"/>
    </xf>
    <xf numFmtId="0" fontId="10" fillId="41" borderId="97" xfId="0" applyFont="1" applyFill="1" applyBorder="1" applyAlignment="1"/>
    <xf numFmtId="0" fontId="10" fillId="41" borderId="63" xfId="0" applyFont="1" applyFill="1" applyBorder="1" applyAlignment="1">
      <alignment horizontal="center"/>
    </xf>
    <xf numFmtId="0" fontId="10" fillId="41" borderId="64" xfId="0" applyFont="1" applyFill="1" applyBorder="1" applyAlignment="1"/>
    <xf numFmtId="0" fontId="0" fillId="33" borderId="64" xfId="0" applyFont="1" applyFill="1" applyBorder="1" applyAlignment="1">
      <alignment horizontal="center"/>
    </xf>
    <xf numFmtId="0" fontId="2" fillId="27" borderId="28" xfId="0" applyFont="1" applyFill="1" applyBorder="1" applyAlignment="1" applyProtection="1">
      <alignment horizontal="center" vertical="center" wrapText="1"/>
      <protection locked="0"/>
    </xf>
    <xf numFmtId="0" fontId="2" fillId="27" borderId="13" xfId="0" applyFont="1" applyFill="1" applyBorder="1" applyAlignment="1" applyProtection="1">
      <alignment horizontal="center" vertical="center" wrapText="1"/>
      <protection locked="0"/>
    </xf>
    <xf numFmtId="0" fontId="2" fillId="27" borderId="13" xfId="0" applyFont="1" applyFill="1" applyBorder="1" applyAlignment="1" applyProtection="1">
      <alignment horizontal="center" wrapText="1"/>
      <protection locked="0"/>
    </xf>
    <xf numFmtId="0" fontId="2" fillId="27" borderId="60" xfId="0" applyFont="1" applyFill="1" applyBorder="1" applyAlignment="1" applyProtection="1">
      <alignment horizontal="center" vertical="center" wrapText="1"/>
      <protection locked="0"/>
    </xf>
    <xf numFmtId="0" fontId="2" fillId="27" borderId="10" xfId="0" applyFont="1" applyFill="1" applyBorder="1" applyAlignment="1" applyProtection="1">
      <alignment horizontal="center" vertical="center" wrapText="1"/>
      <protection locked="0"/>
    </xf>
    <xf numFmtId="0" fontId="2" fillId="27" borderId="20" xfId="0" applyFont="1" applyFill="1" applyBorder="1" applyAlignment="1" applyProtection="1">
      <alignment horizontal="center" vertical="center" wrapText="1"/>
      <protection locked="0"/>
    </xf>
    <xf numFmtId="0" fontId="2" fillId="27" borderId="61" xfId="0" applyFont="1" applyFill="1" applyBorder="1" applyAlignment="1" applyProtection="1">
      <alignment horizontal="center" vertical="center" wrapText="1"/>
      <protection locked="0"/>
    </xf>
    <xf numFmtId="0" fontId="2" fillId="27" borderId="17" xfId="0" applyFont="1" applyFill="1" applyBorder="1" applyAlignment="1" applyProtection="1">
      <alignment horizontal="center" vertical="center" wrapText="1"/>
      <protection locked="0"/>
    </xf>
    <xf numFmtId="0" fontId="2" fillId="27" borderId="35" xfId="0" applyFont="1" applyFill="1" applyBorder="1" applyAlignment="1" applyProtection="1">
      <alignment horizontal="center" vertical="center" wrapText="1"/>
      <protection locked="0"/>
    </xf>
    <xf numFmtId="0" fontId="2" fillId="27" borderId="12" xfId="0" applyFont="1" applyFill="1" applyBorder="1" applyAlignment="1" applyProtection="1">
      <alignment horizontal="center" vertical="center" wrapText="1"/>
      <protection locked="0"/>
    </xf>
    <xf numFmtId="0" fontId="1" fillId="27" borderId="91" xfId="0" applyFont="1" applyFill="1" applyBorder="1" applyAlignment="1" applyProtection="1">
      <alignment horizontal="center" vertical="center"/>
      <protection locked="0"/>
    </xf>
    <xf numFmtId="0" fontId="1" fillId="27" borderId="37" xfId="0" applyFont="1" applyFill="1" applyBorder="1" applyAlignment="1" applyProtection="1">
      <alignment horizontal="center" vertical="center"/>
      <protection locked="0"/>
    </xf>
    <xf numFmtId="0" fontId="2" fillId="27" borderId="17" xfId="0" applyFont="1" applyFill="1" applyBorder="1" applyAlignment="1" applyProtection="1">
      <alignment horizontal="center" wrapText="1"/>
      <protection locked="0"/>
    </xf>
    <xf numFmtId="0" fontId="2" fillId="27" borderId="29" xfId="0" applyFont="1" applyFill="1" applyBorder="1" applyAlignment="1" applyProtection="1">
      <alignment horizontal="center" wrapText="1"/>
      <protection locked="0"/>
    </xf>
    <xf numFmtId="0" fontId="2" fillId="27" borderId="14" xfId="0" applyFont="1" applyFill="1" applyBorder="1" applyAlignment="1" applyProtection="1">
      <alignment horizontal="center" vertical="center" wrapText="1"/>
      <protection locked="0"/>
    </xf>
    <xf numFmtId="0" fontId="50" fillId="0" borderId="0" xfId="0" applyFont="1" applyAlignment="1" applyProtection="1">
      <alignment horizontal="center"/>
      <protection locked="0"/>
    </xf>
    <xf numFmtId="0" fontId="50" fillId="0" borderId="0" xfId="0" applyFont="1" applyAlignment="1" applyProtection="1">
      <alignment horizontal="center" vertical="center"/>
      <protection locked="0"/>
    </xf>
    <xf numFmtId="0" fontId="13" fillId="0" borderId="0" xfId="54" applyFont="1" applyProtection="1"/>
    <xf numFmtId="0" fontId="55" fillId="0" borderId="0" xfId="54" applyFont="1" applyAlignment="1" applyProtection="1">
      <alignment vertical="center"/>
    </xf>
    <xf numFmtId="0" fontId="12" fillId="36" borderId="0" xfId="505" applyFill="1" applyProtection="1"/>
    <xf numFmtId="0" fontId="58" fillId="38" borderId="1" xfId="54" applyFont="1" applyFill="1" applyBorder="1" applyAlignment="1" applyProtection="1">
      <alignment horizontal="center" vertical="center" wrapText="1"/>
    </xf>
    <xf numFmtId="0" fontId="13" fillId="0" borderId="0" xfId="54" applyAlignment="1" applyProtection="1">
      <alignment vertical="center"/>
    </xf>
    <xf numFmtId="0" fontId="58" fillId="39" borderId="16" xfId="54" applyFont="1" applyFill="1" applyBorder="1" applyAlignment="1" applyProtection="1">
      <alignment vertical="center"/>
    </xf>
    <xf numFmtId="0" fontId="58" fillId="39" borderId="2" xfId="54" applyFont="1" applyFill="1" applyBorder="1" applyAlignment="1" applyProtection="1">
      <alignment vertical="center" wrapText="1"/>
    </xf>
    <xf numFmtId="0" fontId="59" fillId="37" borderId="1" xfId="54" applyFont="1" applyFill="1" applyBorder="1" applyAlignment="1" applyProtection="1">
      <alignment horizontal="center" vertical="center" wrapText="1"/>
    </xf>
    <xf numFmtId="0" fontId="60" fillId="0" borderId="0" xfId="54" applyFont="1" applyAlignment="1" applyProtection="1">
      <alignment vertical="center"/>
    </xf>
    <xf numFmtId="0" fontId="58" fillId="0" borderId="3" xfId="54" applyFont="1" applyFill="1" applyBorder="1" applyAlignment="1" applyProtection="1">
      <alignment horizontal="center" vertical="center" wrapText="1"/>
    </xf>
    <xf numFmtId="0" fontId="58" fillId="27" borderId="1" xfId="54" applyFont="1" applyFill="1" applyBorder="1" applyAlignment="1" applyProtection="1">
      <alignment horizontal="center" vertical="center" wrapText="1"/>
    </xf>
    <xf numFmtId="0" fontId="60" fillId="37" borderId="41" xfId="54" applyFont="1" applyFill="1" applyBorder="1" applyAlignment="1" applyProtection="1">
      <alignment horizontal="center" vertical="center" wrapText="1"/>
    </xf>
    <xf numFmtId="0" fontId="61" fillId="0" borderId="3" xfId="54" applyFont="1" applyFill="1" applyBorder="1" applyAlignment="1" applyProtection="1">
      <alignment horizontal="center" vertical="center" wrapText="1"/>
    </xf>
    <xf numFmtId="0" fontId="13" fillId="37" borderId="41" xfId="54" applyFill="1" applyBorder="1" applyAlignment="1" applyProtection="1">
      <alignment horizontal="center" vertical="center" wrapText="1"/>
    </xf>
    <xf numFmtId="0" fontId="13" fillId="0" borderId="1" xfId="54" applyFont="1" applyBorder="1" applyAlignment="1" applyProtection="1">
      <alignment horizontal="center" vertical="center" wrapText="1"/>
    </xf>
    <xf numFmtId="0" fontId="13" fillId="0" borderId="1" xfId="54" applyBorder="1" applyAlignment="1" applyProtection="1">
      <alignment horizontal="center" vertical="center" wrapText="1"/>
    </xf>
    <xf numFmtId="0" fontId="58" fillId="27" borderId="1" xfId="54" applyFont="1" applyFill="1" applyBorder="1" applyAlignment="1" applyProtection="1">
      <alignment horizontal="center" wrapText="1"/>
    </xf>
    <xf numFmtId="0" fontId="59" fillId="27" borderId="1" xfId="54" applyFont="1" applyFill="1" applyBorder="1" applyAlignment="1" applyProtection="1">
      <alignment horizontal="center" vertical="center" wrapText="1"/>
    </xf>
    <xf numFmtId="0" fontId="13" fillId="36" borderId="0" xfId="54" applyFill="1" applyBorder="1" applyAlignment="1" applyProtection="1">
      <alignment horizontal="center" vertical="center" wrapText="1"/>
    </xf>
    <xf numFmtId="0" fontId="13" fillId="0" borderId="0" xfId="54" applyFont="1" applyBorder="1" applyAlignment="1" applyProtection="1">
      <alignment horizontal="center" vertical="center" wrapText="1"/>
    </xf>
    <xf numFmtId="0" fontId="58" fillId="40" borderId="1" xfId="54" applyFont="1" applyFill="1" applyBorder="1" applyAlignment="1" applyProtection="1">
      <alignment horizontal="center" vertical="center" wrapText="1"/>
    </xf>
    <xf numFmtId="0" fontId="58" fillId="0" borderId="0" xfId="54" applyFont="1" applyFill="1" applyBorder="1" applyAlignment="1" applyProtection="1">
      <alignment horizontal="center" vertical="center" wrapText="1"/>
    </xf>
    <xf numFmtId="0" fontId="58" fillId="37" borderId="1" xfId="54" applyFont="1" applyFill="1" applyBorder="1" applyAlignment="1" applyProtection="1">
      <alignment horizontal="center" vertical="center" wrapText="1"/>
    </xf>
    <xf numFmtId="0" fontId="58" fillId="0" borderId="1" xfId="54" applyFont="1" applyFill="1" applyBorder="1" applyAlignment="1" applyProtection="1">
      <alignment horizontal="center" vertical="center" wrapText="1"/>
    </xf>
    <xf numFmtId="0" fontId="58" fillId="40" borderId="2" xfId="54" applyFont="1" applyFill="1" applyBorder="1" applyAlignment="1" applyProtection="1">
      <alignment horizontal="center" vertical="center" wrapText="1"/>
    </xf>
    <xf numFmtId="0" fontId="58" fillId="40" borderId="16" xfId="54" applyFont="1" applyFill="1" applyBorder="1" applyAlignment="1" applyProtection="1">
      <alignment horizontal="center" vertical="center" wrapText="1"/>
    </xf>
    <xf numFmtId="0" fontId="58" fillId="40" borderId="41" xfId="54" applyFont="1" applyFill="1" applyBorder="1" applyAlignment="1" applyProtection="1">
      <alignment horizontal="center" vertical="center" wrapText="1"/>
    </xf>
    <xf numFmtId="0" fontId="58" fillId="0" borderId="34" xfId="54" applyFont="1" applyFill="1" applyBorder="1" applyAlignment="1" applyProtection="1">
      <alignment horizontal="center" vertical="center" wrapText="1"/>
    </xf>
    <xf numFmtId="0" fontId="58" fillId="40" borderId="27" xfId="54" applyFont="1" applyFill="1" applyBorder="1" applyAlignment="1" applyProtection="1">
      <alignment horizontal="center" vertical="center" wrapText="1"/>
    </xf>
    <xf numFmtId="0" fontId="58" fillId="40" borderId="83" xfId="54" applyFont="1" applyFill="1" applyBorder="1" applyAlignment="1" applyProtection="1">
      <alignment horizontal="center" vertical="center" wrapText="1"/>
    </xf>
    <xf numFmtId="0" fontId="58" fillId="40" borderId="39" xfId="54" applyFont="1" applyFill="1" applyBorder="1" applyAlignment="1" applyProtection="1">
      <alignment horizontal="center" vertical="center" wrapText="1"/>
    </xf>
    <xf numFmtId="0" fontId="59" fillId="0" borderId="1" xfId="54" applyFont="1" applyBorder="1" applyAlignment="1" applyProtection="1">
      <alignment horizontal="center" wrapText="1"/>
    </xf>
    <xf numFmtId="0" fontId="59" fillId="36" borderId="1" xfId="54" applyFont="1" applyFill="1" applyBorder="1" applyAlignment="1" applyProtection="1">
      <alignment horizontal="center" wrapText="1"/>
    </xf>
    <xf numFmtId="0" fontId="58" fillId="40" borderId="26" xfId="54" applyFont="1" applyFill="1" applyBorder="1" applyAlignment="1" applyProtection="1">
      <alignment horizontal="center" vertical="center" wrapText="1"/>
    </xf>
    <xf numFmtId="0" fontId="58" fillId="40" borderId="91" xfId="54" applyFont="1" applyFill="1" applyBorder="1" applyAlignment="1" applyProtection="1">
      <alignment horizontal="center" vertical="center" wrapText="1"/>
    </xf>
    <xf numFmtId="0" fontId="58" fillId="40" borderId="38" xfId="54" applyFont="1" applyFill="1" applyBorder="1" applyAlignment="1" applyProtection="1">
      <alignment horizontal="center" vertical="center" wrapText="1"/>
    </xf>
    <xf numFmtId="0" fontId="64" fillId="40" borderId="1" xfId="54" applyFont="1" applyFill="1" applyBorder="1" applyAlignment="1" applyProtection="1">
      <alignment horizontal="center" vertical="center" wrapText="1"/>
    </xf>
    <xf numFmtId="0" fontId="59" fillId="40" borderId="1" xfId="54" applyFont="1" applyFill="1" applyBorder="1" applyAlignment="1" applyProtection="1">
      <alignment horizontal="center" vertical="center" wrapText="1"/>
    </xf>
    <xf numFmtId="0" fontId="64" fillId="0" borderId="0" xfId="54" applyFont="1" applyFill="1" applyBorder="1" applyAlignment="1" applyProtection="1">
      <alignment horizontal="center" vertical="center" wrapText="1"/>
    </xf>
    <xf numFmtId="0" fontId="52" fillId="36" borderId="0" xfId="54" applyFont="1" applyFill="1" applyAlignment="1" applyProtection="1"/>
    <xf numFmtId="0" fontId="67" fillId="36" borderId="0" xfId="54" applyFont="1" applyFill="1" applyAlignment="1" applyProtection="1">
      <alignment wrapText="1"/>
    </xf>
    <xf numFmtId="0" fontId="51" fillId="0" borderId="0" xfId="54" applyFont="1"/>
    <xf numFmtId="0" fontId="51" fillId="36" borderId="0" xfId="54" applyFont="1" applyFill="1" applyAlignment="1" applyProtection="1"/>
    <xf numFmtId="0" fontId="51" fillId="36" borderId="0" xfId="54" applyFont="1" applyFill="1" applyAlignment="1" applyProtection="1">
      <alignment horizontal="right" vertical="top" wrapText="1"/>
    </xf>
    <xf numFmtId="0" fontId="57" fillId="36" borderId="35" xfId="54" applyFont="1" applyFill="1" applyBorder="1" applyAlignment="1" applyProtection="1">
      <alignment horizontal="justify" wrapText="1"/>
    </xf>
    <xf numFmtId="0" fontId="57" fillId="36" borderId="46" xfId="54" applyFont="1" applyFill="1" applyBorder="1" applyAlignment="1" applyProtection="1">
      <alignment horizontal="justify" wrapText="1"/>
    </xf>
    <xf numFmtId="0" fontId="53" fillId="36" borderId="35" xfId="54" applyFont="1" applyFill="1" applyBorder="1" applyAlignment="1" applyProtection="1"/>
    <xf numFmtId="0" fontId="57" fillId="36" borderId="46" xfId="54" applyFont="1" applyFill="1" applyBorder="1" applyAlignment="1" applyProtection="1">
      <alignment wrapText="1"/>
    </xf>
    <xf numFmtId="0" fontId="57" fillId="36" borderId="35" xfId="54" applyFont="1" applyFill="1" applyBorder="1" applyAlignment="1" applyProtection="1"/>
    <xf numFmtId="0" fontId="57" fillId="36" borderId="33" xfId="54" applyFont="1" applyFill="1" applyBorder="1" applyAlignment="1" applyProtection="1">
      <alignment wrapText="1"/>
    </xf>
    <xf numFmtId="0" fontId="57" fillId="36" borderId="43" xfId="54" applyFont="1" applyFill="1" applyBorder="1" applyAlignment="1" applyProtection="1"/>
    <xf numFmtId="0" fontId="57" fillId="36" borderId="78" xfId="54" applyFont="1" applyFill="1" applyBorder="1" applyAlignment="1" applyProtection="1">
      <alignment wrapText="1"/>
    </xf>
    <xf numFmtId="0" fontId="31" fillId="25" borderId="19" xfId="0" applyNumberFormat="1" applyFont="1" applyFill="1" applyBorder="1" applyAlignment="1" applyProtection="1">
      <alignment horizontal="right" vertical="center" wrapText="1"/>
    </xf>
    <xf numFmtId="0" fontId="2" fillId="0" borderId="28" xfId="0" applyNumberFormat="1" applyFont="1" applyFill="1" applyBorder="1" applyAlignment="1" applyProtection="1">
      <alignment horizontal="center" vertical="center" wrapText="1"/>
    </xf>
    <xf numFmtId="0" fontId="31" fillId="27" borderId="22" xfId="0" applyNumberFormat="1" applyFont="1" applyFill="1" applyBorder="1" applyAlignment="1" applyProtection="1">
      <alignment horizontal="left" vertical="center" wrapText="1"/>
      <protection locked="0"/>
    </xf>
    <xf numFmtId="0" fontId="31" fillId="27" borderId="4" xfId="0" applyNumberFormat="1" applyFont="1" applyFill="1" applyBorder="1" applyAlignment="1" applyProtection="1">
      <alignment horizontal="left" vertical="center" wrapText="1"/>
      <protection locked="0"/>
    </xf>
    <xf numFmtId="0" fontId="0" fillId="25" borderId="0" xfId="0" applyFill="1" applyBorder="1"/>
    <xf numFmtId="0" fontId="2" fillId="2" borderId="19" xfId="0" applyNumberFormat="1" applyFont="1" applyFill="1" applyBorder="1" applyAlignment="1" applyProtection="1">
      <alignment horizontal="left" wrapText="1"/>
    </xf>
    <xf numFmtId="0" fontId="2" fillId="2" borderId="35" xfId="0" applyNumberFormat="1" applyFont="1" applyFill="1" applyBorder="1" applyAlignment="1" applyProtection="1">
      <alignment horizontal="left" wrapText="1"/>
    </xf>
    <xf numFmtId="0" fontId="13" fillId="0" borderId="0" xfId="54" applyProtection="1">
      <protection locked="0"/>
    </xf>
    <xf numFmtId="0" fontId="59" fillId="40" borderId="1" xfId="54" applyFont="1" applyFill="1" applyBorder="1" applyAlignment="1" applyProtection="1">
      <alignment horizontal="center" vertical="center" wrapText="1"/>
    </xf>
    <xf numFmtId="0" fontId="58" fillId="40" borderId="1" xfId="54" applyFont="1" applyFill="1" applyBorder="1" applyAlignment="1" applyProtection="1">
      <alignment horizontal="center" vertical="center" wrapText="1"/>
    </xf>
    <xf numFmtId="0" fontId="58" fillId="40" borderId="2" xfId="54" applyFont="1" applyFill="1" applyBorder="1" applyAlignment="1" applyProtection="1">
      <alignment horizontal="center" vertical="center" wrapText="1"/>
    </xf>
    <xf numFmtId="0" fontId="58" fillId="40" borderId="16" xfId="54" applyFont="1" applyFill="1" applyBorder="1" applyAlignment="1" applyProtection="1">
      <alignment horizontal="center" vertical="center" wrapText="1"/>
    </xf>
    <xf numFmtId="0" fontId="58" fillId="40" borderId="41" xfId="54" applyFont="1" applyFill="1" applyBorder="1" applyAlignment="1" applyProtection="1">
      <alignment horizontal="center" vertical="center" wrapText="1"/>
    </xf>
    <xf numFmtId="0" fontId="13" fillId="0" borderId="1" xfId="54" applyFont="1" applyBorder="1" applyAlignment="1" applyProtection="1">
      <alignment horizontal="center" vertical="center" wrapText="1"/>
    </xf>
    <xf numFmtId="0" fontId="58" fillId="0" borderId="0" xfId="54" applyFont="1" applyFill="1" applyBorder="1" applyAlignment="1" applyProtection="1">
      <alignment horizontal="center" vertical="center" wrapText="1"/>
      <protection locked="0"/>
    </xf>
    <xf numFmtId="0" fontId="64" fillId="0" borderId="0" xfId="54" applyFont="1" applyFill="1" applyBorder="1" applyAlignment="1" applyProtection="1">
      <alignment horizontal="center" vertical="center" wrapText="1"/>
      <protection locked="0"/>
    </xf>
    <xf numFmtId="0" fontId="58" fillId="40" borderId="90" xfId="54" applyFont="1" applyFill="1" applyBorder="1" applyAlignment="1" applyProtection="1">
      <alignment horizontal="center" vertical="center" wrapText="1"/>
    </xf>
    <xf numFmtId="0" fontId="59" fillId="0" borderId="1" xfId="54" applyFont="1" applyBorder="1" applyAlignment="1" applyProtection="1">
      <alignment horizontal="center" vertical="center" wrapText="1"/>
    </xf>
    <xf numFmtId="0" fontId="58" fillId="0" borderId="1" xfId="54" applyFont="1" applyBorder="1" applyAlignment="1" applyProtection="1">
      <alignment horizontal="center" wrapText="1"/>
    </xf>
    <xf numFmtId="0" fontId="58" fillId="0" borderId="1" xfId="54" applyFont="1" applyBorder="1" applyAlignment="1" applyProtection="1">
      <alignment horizontal="center" vertical="center" wrapText="1"/>
    </xf>
    <xf numFmtId="0" fontId="11" fillId="0" borderId="3" xfId="54" applyFont="1" applyFill="1" applyBorder="1" applyAlignment="1" applyProtection="1">
      <alignment horizontal="center" vertical="center" wrapText="1"/>
    </xf>
    <xf numFmtId="0" fontId="60" fillId="0" borderId="0" xfId="54" applyFont="1" applyAlignment="1" applyProtection="1">
      <alignment vertical="center"/>
      <protection locked="0"/>
    </xf>
    <xf numFmtId="0" fontId="58" fillId="36" borderId="1" xfId="54" applyFont="1" applyFill="1" applyBorder="1" applyAlignment="1" applyProtection="1">
      <alignment horizontal="center" vertical="center" wrapText="1"/>
    </xf>
    <xf numFmtId="0" fontId="58" fillId="39" borderId="41" xfId="54" applyFont="1" applyFill="1" applyBorder="1" applyAlignment="1" applyProtection="1">
      <alignment vertical="center" wrapText="1"/>
    </xf>
    <xf numFmtId="0" fontId="3" fillId="0" borderId="29" xfId="0" applyNumberFormat="1" applyFont="1" applyFill="1" applyBorder="1" applyAlignment="1" applyProtection="1">
      <alignment horizontal="left" vertical="top" wrapText="1"/>
    </xf>
    <xf numFmtId="0" fontId="5" fillId="25" borderId="23" xfId="0" applyNumberFormat="1" applyFont="1" applyFill="1" applyBorder="1" applyAlignment="1" applyProtection="1">
      <alignment horizontal="left" vertical="center" wrapText="1"/>
    </xf>
    <xf numFmtId="9" fontId="5" fillId="25" borderId="28" xfId="0" applyNumberFormat="1" applyFont="1" applyFill="1" applyBorder="1" applyAlignment="1" applyProtection="1">
      <alignment horizontal="left" vertical="center" wrapText="1"/>
    </xf>
    <xf numFmtId="0" fontId="5" fillId="32" borderId="20" xfId="0" applyNumberFormat="1" applyFont="1" applyFill="1" applyBorder="1" applyAlignment="1" applyProtection="1">
      <alignment horizontal="left" vertical="center" wrapText="1"/>
    </xf>
    <xf numFmtId="0" fontId="7" fillId="0" borderId="29"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2" fillId="0" borderId="28" xfId="0" applyNumberFormat="1" applyFont="1" applyFill="1" applyBorder="1" applyAlignment="1" applyProtection="1">
      <alignment horizontal="center" vertical="center" wrapText="1"/>
    </xf>
    <xf numFmtId="0" fontId="2" fillId="27" borderId="29" xfId="0" applyFont="1" applyFill="1" applyBorder="1" applyAlignment="1" applyProtection="1">
      <alignment horizontal="center" vertical="center" wrapText="1"/>
      <protection locked="0"/>
    </xf>
    <xf numFmtId="0" fontId="2" fillId="0" borderId="29" xfId="0" applyNumberFormat="1" applyFont="1" applyFill="1" applyBorder="1" applyAlignment="1" applyProtection="1">
      <alignment horizontal="left" vertical="center" wrapText="1"/>
    </xf>
    <xf numFmtId="0" fontId="72" fillId="0" borderId="0" xfId="0" applyFont="1"/>
    <xf numFmtId="0" fontId="0" fillId="0" borderId="0" xfId="0" applyAlignment="1">
      <alignment wrapText="1"/>
    </xf>
    <xf numFmtId="0" fontId="0" fillId="25" borderId="1" xfId="0" applyFill="1" applyBorder="1" applyAlignment="1">
      <alignment horizontal="center"/>
    </xf>
    <xf numFmtId="0" fontId="2" fillId="27" borderId="18" xfId="0" applyFont="1" applyFill="1" applyBorder="1" applyAlignment="1" applyProtection="1">
      <alignment horizontal="center" vertical="center" wrapText="1"/>
      <protection locked="0"/>
    </xf>
    <xf numFmtId="0" fontId="2" fillId="25" borderId="18" xfId="0" applyNumberFormat="1" applyFont="1" applyFill="1" applyBorder="1" applyAlignment="1" applyProtection="1">
      <alignment horizontal="center" vertical="center" wrapText="1"/>
    </xf>
    <xf numFmtId="0" fontId="7" fillId="0" borderId="22" xfId="0" applyNumberFormat="1" applyFont="1" applyFill="1" applyBorder="1" applyAlignment="1" applyProtection="1">
      <alignment vertical="center" wrapText="1"/>
    </xf>
    <xf numFmtId="0" fontId="7" fillId="0" borderId="12" xfId="0" applyNumberFormat="1" applyFont="1" applyFill="1" applyBorder="1" applyAlignment="1" applyProtection="1">
      <alignment vertical="center" wrapText="1"/>
    </xf>
    <xf numFmtId="0" fontId="2" fillId="27" borderId="12" xfId="0" applyFont="1" applyFill="1" applyBorder="1" applyAlignment="1" applyProtection="1">
      <alignment horizontal="center" wrapText="1"/>
      <protection locked="0"/>
    </xf>
    <xf numFmtId="0" fontId="31" fillId="27" borderId="18" xfId="0" applyNumberFormat="1" applyFont="1" applyFill="1" applyBorder="1" applyAlignment="1" applyProtection="1">
      <alignment horizontal="left" vertical="center" wrapText="1"/>
      <protection locked="0"/>
    </xf>
    <xf numFmtId="169" fontId="31" fillId="27" borderId="4" xfId="610" applyNumberFormat="1" applyFont="1" applyFill="1" applyBorder="1" applyAlignment="1" applyProtection="1">
      <alignment horizontal="left" vertical="center" wrapText="1"/>
      <protection locked="0"/>
    </xf>
    <xf numFmtId="0" fontId="2" fillId="0" borderId="99"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39" fillId="0" borderId="99"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wrapText="1"/>
    </xf>
    <xf numFmtId="0" fontId="0" fillId="2" borderId="0" xfId="0" applyFill="1" applyBorder="1" applyAlignment="1">
      <alignment horizontal="center"/>
    </xf>
    <xf numFmtId="0" fontId="0" fillId="0" borderId="1" xfId="0" applyFill="1" applyBorder="1" applyAlignment="1">
      <alignment horizontal="center"/>
    </xf>
    <xf numFmtId="0" fontId="7" fillId="0" borderId="17" xfId="0" applyNumberFormat="1" applyFont="1" applyFill="1" applyBorder="1" applyAlignment="1" applyProtection="1">
      <alignment horizontal="center" vertical="center" wrapText="1"/>
    </xf>
    <xf numFmtId="0" fontId="1" fillId="27" borderId="99" xfId="0" applyFont="1" applyFill="1" applyBorder="1" applyAlignment="1" applyProtection="1">
      <alignment horizontal="center" vertical="center"/>
      <protection locked="0"/>
    </xf>
    <xf numFmtId="0" fontId="2" fillId="0" borderId="107" xfId="0" applyNumberFormat="1" applyFont="1" applyFill="1" applyBorder="1" applyAlignment="1" applyProtection="1">
      <alignment horizontal="center" vertical="center" wrapText="1"/>
    </xf>
    <xf numFmtId="0" fontId="2" fillId="25" borderId="30" xfId="0" applyNumberFormat="1"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2" fillId="25" borderId="79" xfId="0" applyNumberFormat="1" applyFont="1" applyFill="1" applyBorder="1" applyAlignment="1" applyProtection="1">
      <alignment horizontal="center" vertical="center" wrapText="1"/>
    </xf>
    <xf numFmtId="0" fontId="2" fillId="0" borderId="28"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left" vertical="top" wrapText="1"/>
    </xf>
    <xf numFmtId="0" fontId="1" fillId="0" borderId="0" xfId="0" applyFont="1" applyBorder="1"/>
    <xf numFmtId="0" fontId="7" fillId="0" borderId="14" xfId="0" applyNumberFormat="1" applyFont="1" applyFill="1" applyBorder="1" applyAlignment="1" applyProtection="1">
      <alignment horizontal="center" vertical="center" wrapText="1"/>
    </xf>
    <xf numFmtId="44" fontId="2" fillId="25" borderId="33" xfId="53" applyFont="1" applyFill="1" applyBorder="1" applyAlignment="1" applyProtection="1">
      <alignment horizontal="center" vertical="center" wrapText="1"/>
    </xf>
    <xf numFmtId="44" fontId="2" fillId="0" borderId="33" xfId="53" applyFont="1" applyFill="1" applyBorder="1" applyAlignment="1" applyProtection="1">
      <alignment horizontal="center" vertical="center" wrapText="1"/>
    </xf>
    <xf numFmtId="44" fontId="2" fillId="25" borderId="86" xfId="53" applyFont="1" applyFill="1" applyBorder="1" applyAlignment="1" applyProtection="1">
      <alignment horizontal="center" vertical="center" wrapText="1"/>
    </xf>
    <xf numFmtId="44" fontId="2" fillId="25" borderId="36" xfId="53" applyFont="1" applyFill="1" applyBorder="1" applyAlignment="1" applyProtection="1">
      <alignment horizontal="center" vertical="center" wrapText="1"/>
    </xf>
    <xf numFmtId="0" fontId="2" fillId="0" borderId="35" xfId="0" applyNumberFormat="1" applyFont="1" applyFill="1" applyBorder="1" applyAlignment="1" applyProtection="1">
      <alignment horizontal="left" vertical="center" wrapText="1"/>
    </xf>
    <xf numFmtId="0" fontId="2" fillId="44" borderId="30" xfId="0" applyNumberFormat="1" applyFont="1" applyFill="1" applyBorder="1" applyAlignment="1" applyProtection="1">
      <alignment horizontal="center" vertical="center" wrapText="1"/>
    </xf>
    <xf numFmtId="0" fontId="2" fillId="44" borderId="10" xfId="0" applyFont="1" applyFill="1" applyBorder="1" applyAlignment="1" applyProtection="1">
      <alignment vertical="center" wrapText="1"/>
    </xf>
    <xf numFmtId="0" fontId="0" fillId="0" borderId="0" xfId="0" applyFill="1" applyBorder="1" applyAlignment="1">
      <alignment horizontal="center"/>
    </xf>
    <xf numFmtId="0" fontId="31" fillId="2" borderId="84" xfId="0" applyFont="1" applyFill="1" applyBorder="1" applyAlignment="1">
      <alignment horizontal="center" vertical="center" wrapText="1"/>
    </xf>
    <xf numFmtId="0" fontId="31" fillId="2" borderId="64" xfId="0" applyFont="1" applyFill="1" applyBorder="1" applyAlignment="1">
      <alignment horizontal="center" vertical="center" wrapText="1"/>
    </xf>
    <xf numFmtId="0" fontId="31" fillId="2" borderId="77" xfId="0" applyFont="1" applyFill="1" applyBorder="1" applyAlignment="1">
      <alignment horizontal="center" vertical="center" wrapText="1"/>
    </xf>
    <xf numFmtId="0" fontId="31" fillId="2" borderId="47" xfId="0" applyFont="1" applyFill="1" applyBorder="1" applyAlignment="1">
      <alignment horizontal="center" vertical="center" wrapText="1"/>
    </xf>
    <xf numFmtId="0" fontId="31" fillId="2" borderId="63" xfId="0" applyFont="1" applyFill="1" applyBorder="1" applyAlignment="1">
      <alignment horizontal="center" vertical="center" wrapText="1"/>
    </xf>
    <xf numFmtId="0" fontId="39" fillId="0" borderId="0" xfId="0" applyFont="1" applyBorder="1"/>
    <xf numFmtId="2" fontId="2" fillId="25" borderId="47" xfId="0" applyNumberFormat="1" applyFont="1" applyFill="1" applyBorder="1" applyAlignment="1">
      <alignment horizontal="center" vertical="center"/>
    </xf>
    <xf numFmtId="44" fontId="2" fillId="25" borderId="34" xfId="53" applyFont="1" applyFill="1" applyBorder="1" applyAlignment="1" applyProtection="1">
      <alignment horizontal="center" vertical="center" wrapText="1"/>
    </xf>
    <xf numFmtId="170" fontId="2" fillId="25" borderId="34" xfId="610" applyNumberFormat="1" applyFont="1" applyFill="1" applyBorder="1" applyAlignment="1" applyProtection="1">
      <alignment horizontal="center" vertical="center" wrapText="1"/>
    </xf>
    <xf numFmtId="0" fontId="82" fillId="0" borderId="79" xfId="0" applyFont="1" applyBorder="1" applyAlignment="1">
      <alignment horizontal="center" wrapText="1"/>
    </xf>
    <xf numFmtId="2" fontId="2" fillId="25" borderId="1" xfId="0" applyNumberFormat="1" applyFont="1" applyFill="1" applyBorder="1" applyAlignment="1">
      <alignment horizontal="center" vertical="center"/>
    </xf>
    <xf numFmtId="44" fontId="2" fillId="25" borderId="1" xfId="53" applyFont="1" applyFill="1" applyBorder="1" applyAlignment="1" applyProtection="1">
      <alignment horizontal="center" vertical="center" wrapText="1"/>
    </xf>
    <xf numFmtId="170" fontId="2" fillId="25" borderId="1" xfId="610" applyNumberFormat="1" applyFont="1" applyFill="1" applyBorder="1" applyAlignment="1" applyProtection="1">
      <alignment horizontal="center" vertical="center" wrapText="1"/>
    </xf>
    <xf numFmtId="0" fontId="82" fillId="0" borderId="112" xfId="0" applyFont="1" applyBorder="1" applyAlignment="1">
      <alignment horizontal="center" wrapText="1"/>
    </xf>
    <xf numFmtId="0" fontId="82" fillId="0" borderId="30" xfId="0" applyFont="1" applyBorder="1" applyAlignment="1">
      <alignment horizontal="center" wrapText="1"/>
    </xf>
    <xf numFmtId="44" fontId="2" fillId="25" borderId="3" xfId="53" applyFont="1" applyFill="1" applyBorder="1" applyAlignment="1" applyProtection="1">
      <alignment horizontal="center" vertical="center" wrapText="1"/>
    </xf>
    <xf numFmtId="170" fontId="2" fillId="25" borderId="3" xfId="610" applyNumberFormat="1" applyFont="1" applyFill="1" applyBorder="1" applyAlignment="1" applyProtection="1">
      <alignment horizontal="center" vertical="center" wrapText="1"/>
    </xf>
    <xf numFmtId="0" fontId="82" fillId="0" borderId="46" xfId="0" applyFont="1" applyBorder="1" applyAlignment="1">
      <alignment horizontal="center" wrapText="1"/>
    </xf>
    <xf numFmtId="2" fontId="2" fillId="25" borderId="9" xfId="0" applyNumberFormat="1" applyFont="1" applyFill="1" applyBorder="1" applyAlignment="1">
      <alignment horizontal="center" vertical="center"/>
    </xf>
    <xf numFmtId="44" fontId="2" fillId="25" borderId="9" xfId="53" applyFont="1" applyFill="1" applyBorder="1" applyAlignment="1" applyProtection="1">
      <alignment horizontal="center" vertical="center" wrapText="1"/>
    </xf>
    <xf numFmtId="170" fontId="2" fillId="25" borderId="9" xfId="610" applyNumberFormat="1" applyFont="1" applyFill="1" applyBorder="1" applyAlignment="1" applyProtection="1">
      <alignment horizontal="center" vertical="center" wrapText="1"/>
    </xf>
    <xf numFmtId="0" fontId="82" fillId="0" borderId="82" xfId="0" applyFont="1" applyBorder="1" applyAlignment="1">
      <alignment horizontal="center" wrapText="1"/>
    </xf>
    <xf numFmtId="0" fontId="5" fillId="32" borderId="28" xfId="0" applyNumberFormat="1" applyFont="1" applyFill="1" applyBorder="1" applyAlignment="1" applyProtection="1">
      <alignment horizontal="left" vertical="center" wrapText="1"/>
    </xf>
    <xf numFmtId="1" fontId="2" fillId="32" borderId="106" xfId="0" applyNumberFormat="1" applyFont="1" applyFill="1" applyBorder="1" applyAlignment="1" applyProtection="1">
      <alignment horizontal="center" vertical="center" wrapText="1"/>
    </xf>
    <xf numFmtId="1" fontId="2" fillId="32" borderId="34" xfId="0" applyNumberFormat="1" applyFont="1" applyFill="1" applyBorder="1" applyAlignment="1" applyProtection="1">
      <alignment horizontal="center" vertical="center" wrapText="1"/>
    </xf>
    <xf numFmtId="0" fontId="2" fillId="32" borderId="34" xfId="0" applyNumberFormat="1" applyFont="1" applyFill="1" applyBorder="1" applyAlignment="1" applyProtection="1">
      <alignment horizontal="center" vertical="center" wrapText="1"/>
    </xf>
    <xf numFmtId="2" fontId="2" fillId="32" borderId="34" xfId="0" applyNumberFormat="1" applyFont="1" applyFill="1" applyBorder="1" applyAlignment="1" applyProtection="1">
      <alignment horizontal="center" vertical="center" wrapText="1"/>
    </xf>
    <xf numFmtId="44" fontId="2" fillId="32" borderId="34" xfId="53" applyFont="1" applyFill="1" applyBorder="1" applyAlignment="1" applyProtection="1">
      <alignment horizontal="center" vertical="center" wrapText="1"/>
    </xf>
    <xf numFmtId="170" fontId="2" fillId="32" borderId="34" xfId="610" applyNumberFormat="1" applyFont="1" applyFill="1" applyBorder="1" applyAlignment="1" applyProtection="1">
      <alignment horizontal="center" vertical="center" wrapText="1"/>
    </xf>
    <xf numFmtId="44" fontId="2" fillId="32" borderId="62" xfId="53" applyFont="1" applyFill="1" applyBorder="1" applyAlignment="1" applyProtection="1">
      <alignment horizontal="center" vertical="center" wrapText="1"/>
    </xf>
    <xf numFmtId="0" fontId="82" fillId="32" borderId="112" xfId="0" applyFont="1" applyFill="1" applyBorder="1" applyAlignment="1">
      <alignment horizontal="center" wrapText="1"/>
    </xf>
    <xf numFmtId="0" fontId="5" fillId="32" borderId="13" xfId="0" applyNumberFormat="1" applyFont="1" applyFill="1" applyBorder="1" applyAlignment="1" applyProtection="1">
      <alignment horizontal="left" vertical="center" wrapText="1"/>
    </xf>
    <xf numFmtId="1" fontId="2" fillId="32" borderId="41" xfId="0" applyNumberFormat="1" applyFont="1" applyFill="1" applyBorder="1" applyAlignment="1" applyProtection="1">
      <alignment horizontal="center" vertical="center" wrapText="1"/>
    </xf>
    <xf numFmtId="1" fontId="2" fillId="32" borderId="1" xfId="0" applyNumberFormat="1" applyFont="1" applyFill="1" applyBorder="1" applyAlignment="1" applyProtection="1">
      <alignment horizontal="center" vertical="center" wrapText="1"/>
    </xf>
    <xf numFmtId="0" fontId="2" fillId="32" borderId="1" xfId="0" applyNumberFormat="1" applyFont="1" applyFill="1" applyBorder="1" applyAlignment="1" applyProtection="1">
      <alignment horizontal="center" vertical="center" wrapText="1"/>
    </xf>
    <xf numFmtId="2" fontId="2" fillId="32" borderId="1" xfId="0" applyNumberFormat="1" applyFont="1" applyFill="1" applyBorder="1" applyAlignment="1" applyProtection="1">
      <alignment horizontal="center" vertical="center" wrapText="1"/>
    </xf>
    <xf numFmtId="44" fontId="2" fillId="32" borderId="1" xfId="53" applyFont="1" applyFill="1" applyBorder="1" applyAlignment="1" applyProtection="1">
      <alignment horizontal="center" vertical="center" wrapText="1"/>
    </xf>
    <xf numFmtId="170" fontId="2" fillId="32" borderId="1" xfId="610" applyNumberFormat="1" applyFont="1" applyFill="1" applyBorder="1" applyAlignment="1" applyProtection="1">
      <alignment horizontal="center" vertical="center" wrapText="1"/>
    </xf>
    <xf numFmtId="44" fontId="2" fillId="32" borderId="33" xfId="53" applyFont="1" applyFill="1" applyBorder="1" applyAlignment="1" applyProtection="1">
      <alignment horizontal="center" vertical="center" wrapText="1"/>
    </xf>
    <xf numFmtId="1" fontId="2" fillId="32" borderId="50" xfId="0" applyNumberFormat="1" applyFont="1" applyFill="1" applyBorder="1" applyAlignment="1" applyProtection="1">
      <alignment horizontal="center" vertical="center" wrapText="1"/>
    </xf>
    <xf numFmtId="1" fontId="2" fillId="32" borderId="9" xfId="0" applyNumberFormat="1" applyFont="1" applyFill="1" applyBorder="1" applyAlignment="1" applyProtection="1">
      <alignment horizontal="center" vertical="center" wrapText="1"/>
    </xf>
    <xf numFmtId="0" fontId="2" fillId="32" borderId="9" xfId="0" applyNumberFormat="1" applyFont="1" applyFill="1" applyBorder="1" applyAlignment="1" applyProtection="1">
      <alignment horizontal="center" vertical="center" wrapText="1"/>
    </xf>
    <xf numFmtId="2" fontId="2" fillId="32" borderId="9" xfId="0" applyNumberFormat="1" applyFont="1" applyFill="1" applyBorder="1" applyAlignment="1" applyProtection="1">
      <alignment horizontal="center" vertical="center" wrapText="1"/>
    </xf>
    <xf numFmtId="44" fontId="2" fillId="32" borderId="92" xfId="53" applyFont="1" applyFill="1" applyBorder="1" applyAlignment="1" applyProtection="1">
      <alignment horizontal="center" vertical="center" wrapText="1"/>
    </xf>
    <xf numFmtId="170" fontId="2" fillId="32" borderId="92" xfId="610" applyNumberFormat="1" applyFont="1" applyFill="1" applyBorder="1" applyAlignment="1" applyProtection="1">
      <alignment horizontal="center" vertical="center" wrapText="1"/>
    </xf>
    <xf numFmtId="44" fontId="2" fillId="32" borderId="36" xfId="53" applyFont="1" applyFill="1" applyBorder="1" applyAlignment="1" applyProtection="1">
      <alignment horizontal="center" vertical="center" wrapText="1"/>
    </xf>
    <xf numFmtId="0" fontId="82" fillId="32" borderId="82" xfId="0" applyFont="1" applyFill="1" applyBorder="1" applyAlignment="1">
      <alignment horizontal="center" wrapText="1"/>
    </xf>
    <xf numFmtId="1" fontId="2" fillId="25" borderId="5" xfId="0" applyNumberFormat="1" applyFont="1" applyFill="1" applyBorder="1" applyAlignment="1">
      <alignment horizontal="center" vertical="center"/>
    </xf>
    <xf numFmtId="1" fontId="2" fillId="25" borderId="6" xfId="0" applyNumberFormat="1" applyFont="1" applyFill="1" applyBorder="1" applyAlignment="1">
      <alignment horizontal="center" vertical="center"/>
    </xf>
    <xf numFmtId="0" fontId="2" fillId="25" borderId="6" xfId="0" applyFont="1" applyFill="1" applyBorder="1" applyAlignment="1">
      <alignment horizontal="center" vertical="center"/>
    </xf>
    <xf numFmtId="2" fontId="2" fillId="25" borderId="6" xfId="0" applyNumberFormat="1" applyFont="1" applyFill="1" applyBorder="1" applyAlignment="1">
      <alignment horizontal="center" vertical="center"/>
    </xf>
    <xf numFmtId="44" fontId="2" fillId="25" borderId="6" xfId="53" applyFont="1" applyFill="1" applyBorder="1" applyAlignment="1" applyProtection="1">
      <alignment horizontal="center" vertical="center" wrapText="1"/>
    </xf>
    <xf numFmtId="170" fontId="2" fillId="25" borderId="6" xfId="610" applyNumberFormat="1" applyFont="1" applyFill="1" applyBorder="1" applyAlignment="1" applyProtection="1">
      <alignment horizontal="center" vertical="center" wrapText="1"/>
    </xf>
    <xf numFmtId="44" fontId="2" fillId="25" borderId="48" xfId="53" applyFont="1" applyFill="1" applyBorder="1" applyAlignment="1">
      <alignment horizontal="center" vertical="center"/>
    </xf>
    <xf numFmtId="1" fontId="2" fillId="25" borderId="7" xfId="0" applyNumberFormat="1" applyFont="1" applyFill="1" applyBorder="1" applyAlignment="1">
      <alignment horizontal="center" vertical="center"/>
    </xf>
    <xf numFmtId="1" fontId="2" fillId="25" borderId="1" xfId="0" applyNumberFormat="1" applyFont="1" applyFill="1" applyBorder="1" applyAlignment="1">
      <alignment horizontal="center" vertical="center"/>
    </xf>
    <xf numFmtId="0" fontId="2" fillId="25" borderId="1" xfId="0" applyFont="1" applyFill="1" applyBorder="1" applyAlignment="1">
      <alignment horizontal="center" vertical="center"/>
    </xf>
    <xf numFmtId="44" fontId="2" fillId="25" borderId="33" xfId="53" applyFont="1" applyFill="1" applyBorder="1" applyAlignment="1">
      <alignment horizontal="center" vertical="center"/>
    </xf>
    <xf numFmtId="1" fontId="2" fillId="25" borderId="8" xfId="0" applyNumberFormat="1" applyFont="1" applyFill="1" applyBorder="1" applyAlignment="1">
      <alignment horizontal="center" vertical="center"/>
    </xf>
    <xf numFmtId="1" fontId="2" fillId="25" borderId="9" xfId="0" applyNumberFormat="1" applyFont="1" applyFill="1" applyBorder="1" applyAlignment="1">
      <alignment horizontal="center" vertical="center"/>
    </xf>
    <xf numFmtId="0" fontId="2" fillId="25" borderId="9" xfId="0" applyFont="1" applyFill="1" applyBorder="1" applyAlignment="1">
      <alignment horizontal="center" vertical="center"/>
    </xf>
    <xf numFmtId="44" fontId="2" fillId="25" borderId="36" xfId="53" applyFont="1" applyFill="1" applyBorder="1" applyAlignment="1">
      <alignment horizontal="center" vertical="center"/>
    </xf>
    <xf numFmtId="0" fontId="5" fillId="32" borderId="12" xfId="0" applyNumberFormat="1" applyFont="1" applyFill="1" applyBorder="1" applyAlignment="1" applyProtection="1">
      <alignment horizontal="left" vertical="center" wrapText="1"/>
    </xf>
    <xf numFmtId="1" fontId="2" fillId="32" borderId="106" xfId="0" applyNumberFormat="1" applyFont="1" applyFill="1" applyBorder="1" applyAlignment="1">
      <alignment horizontal="center" vertical="center"/>
    </xf>
    <xf numFmtId="1" fontId="2" fillId="32" borderId="34" xfId="0" applyNumberFormat="1" applyFont="1" applyFill="1" applyBorder="1" applyAlignment="1">
      <alignment horizontal="center" vertical="center"/>
    </xf>
    <xf numFmtId="0" fontId="2" fillId="32" borderId="34" xfId="0" applyFont="1" applyFill="1" applyBorder="1" applyAlignment="1">
      <alignment horizontal="center" vertical="center"/>
    </xf>
    <xf numFmtId="2" fontId="2" fillId="32" borderId="34" xfId="0" applyNumberFormat="1" applyFont="1" applyFill="1" applyBorder="1" applyAlignment="1">
      <alignment horizontal="center" vertical="center"/>
    </xf>
    <xf numFmtId="44" fontId="2" fillId="32" borderId="62" xfId="53" applyFont="1" applyFill="1" applyBorder="1" applyAlignment="1">
      <alignment horizontal="center" vertical="center"/>
    </xf>
    <xf numFmtId="1" fontId="2" fillId="32" borderId="41" xfId="0" applyNumberFormat="1" applyFont="1" applyFill="1" applyBorder="1" applyAlignment="1">
      <alignment horizontal="center" vertical="center"/>
    </xf>
    <xf numFmtId="1" fontId="2" fillId="32" borderId="1" xfId="0" applyNumberFormat="1" applyFont="1" applyFill="1" applyBorder="1" applyAlignment="1">
      <alignment horizontal="center" vertical="center"/>
    </xf>
    <xf numFmtId="0" fontId="2" fillId="32" borderId="1" xfId="0" applyFont="1" applyFill="1" applyBorder="1" applyAlignment="1">
      <alignment horizontal="center" vertical="center"/>
    </xf>
    <xf numFmtId="2" fontId="2" fillId="32" borderId="1" xfId="0" applyNumberFormat="1" applyFont="1" applyFill="1" applyBorder="1" applyAlignment="1">
      <alignment horizontal="center" vertical="center"/>
    </xf>
    <xf numFmtId="44" fontId="2" fillId="32" borderId="33" xfId="53" applyFont="1" applyFill="1" applyBorder="1" applyAlignment="1">
      <alignment horizontal="center" vertical="center"/>
    </xf>
    <xf numFmtId="0" fontId="82" fillId="32" borderId="30" xfId="0" applyFont="1" applyFill="1" applyBorder="1" applyAlignment="1">
      <alignment horizontal="center" wrapText="1"/>
    </xf>
    <xf numFmtId="1" fontId="2" fillId="32" borderId="39" xfId="0" applyNumberFormat="1" applyFont="1" applyFill="1" applyBorder="1" applyAlignment="1">
      <alignment horizontal="center" vertical="center"/>
    </xf>
    <xf numFmtId="1" fontId="2" fillId="32" borderId="3" xfId="0" applyNumberFormat="1" applyFont="1" applyFill="1" applyBorder="1" applyAlignment="1">
      <alignment horizontal="center" vertical="center"/>
    </xf>
    <xf numFmtId="0" fontId="2" fillId="32" borderId="3" xfId="0" applyFont="1" applyFill="1" applyBorder="1" applyAlignment="1">
      <alignment horizontal="center" vertical="center"/>
    </xf>
    <xf numFmtId="2" fontId="2" fillId="32" borderId="3" xfId="0" applyNumberFormat="1" applyFont="1" applyFill="1" applyBorder="1" applyAlignment="1">
      <alignment horizontal="center" vertical="center"/>
    </xf>
    <xf numFmtId="44" fontId="2" fillId="32" borderId="3" xfId="53" applyFont="1" applyFill="1" applyBorder="1" applyAlignment="1" applyProtection="1">
      <alignment horizontal="center" vertical="center" wrapText="1"/>
    </xf>
    <xf numFmtId="170" fontId="2" fillId="32" borderId="3" xfId="610" applyNumberFormat="1" applyFont="1" applyFill="1" applyBorder="1" applyAlignment="1" applyProtection="1">
      <alignment horizontal="center" vertical="center" wrapText="1"/>
    </xf>
    <xf numFmtId="44" fontId="2" fillId="32" borderId="86" xfId="53" applyFont="1" applyFill="1" applyBorder="1" applyAlignment="1">
      <alignment horizontal="center" vertical="center"/>
    </xf>
    <xf numFmtId="0" fontId="82" fillId="32" borderId="42" xfId="0" applyFont="1" applyFill="1" applyBorder="1" applyAlignment="1">
      <alignment horizontal="center" wrapText="1"/>
    </xf>
    <xf numFmtId="0" fontId="5" fillId="25" borderId="23" xfId="0" applyNumberFormat="1" applyFont="1" applyFill="1" applyBorder="1" applyAlignment="1" applyProtection="1">
      <alignment horizontal="center" vertical="center" wrapText="1"/>
    </xf>
    <xf numFmtId="1" fontId="2" fillId="25" borderId="96" xfId="0" applyNumberFormat="1" applyFont="1" applyFill="1" applyBorder="1" applyAlignment="1">
      <alignment horizontal="center" vertical="center"/>
    </xf>
    <xf numFmtId="1" fontId="2" fillId="25" borderId="63" xfId="0" applyNumberFormat="1" applyFont="1" applyFill="1" applyBorder="1" applyAlignment="1">
      <alignment horizontal="center" vertical="center"/>
    </xf>
    <xf numFmtId="0" fontId="2" fillId="25" borderId="63" xfId="0" applyFont="1" applyFill="1" applyBorder="1" applyAlignment="1">
      <alignment horizontal="center" vertical="center"/>
    </xf>
    <xf numFmtId="2" fontId="2" fillId="25" borderId="63" xfId="0" applyNumberFormat="1" applyFont="1" applyFill="1" applyBorder="1" applyAlignment="1">
      <alignment horizontal="center" vertical="center"/>
    </xf>
    <xf numFmtId="44" fontId="2" fillId="25" borderId="63" xfId="53" applyFont="1" applyFill="1" applyBorder="1" applyAlignment="1" applyProtection="1">
      <alignment horizontal="center" vertical="center" wrapText="1"/>
    </xf>
    <xf numFmtId="170" fontId="2" fillId="25" borderId="63" xfId="610" applyNumberFormat="1" applyFont="1" applyFill="1" applyBorder="1" applyAlignment="1" applyProtection="1">
      <alignment horizontal="center" vertical="center" wrapText="1"/>
    </xf>
    <xf numFmtId="44" fontId="2" fillId="25" borderId="64" xfId="53" applyFont="1" applyFill="1" applyBorder="1" applyAlignment="1">
      <alignment horizontal="center" vertical="center"/>
    </xf>
    <xf numFmtId="0" fontId="82" fillId="0" borderId="24" xfId="0" applyFont="1" applyBorder="1" applyAlignment="1">
      <alignment horizontal="center" wrapText="1"/>
    </xf>
    <xf numFmtId="1" fontId="2" fillId="32" borderId="11" xfId="0" applyNumberFormat="1" applyFont="1" applyFill="1" applyBorder="1" applyAlignment="1">
      <alignment horizontal="center" vertical="center"/>
    </xf>
    <xf numFmtId="1" fontId="2" fillId="32" borderId="49" xfId="0" applyNumberFormat="1" applyFont="1" applyFill="1" applyBorder="1" applyAlignment="1">
      <alignment horizontal="center" vertical="center"/>
    </xf>
    <xf numFmtId="1" fontId="2" fillId="32" borderId="7" xfId="0" applyNumberFormat="1" applyFont="1" applyFill="1" applyBorder="1" applyAlignment="1">
      <alignment horizontal="center" vertical="center"/>
    </xf>
    <xf numFmtId="1" fontId="2" fillId="32" borderId="88" xfId="0" applyNumberFormat="1" applyFont="1" applyFill="1" applyBorder="1" applyAlignment="1">
      <alignment horizontal="center" vertical="center"/>
    </xf>
    <xf numFmtId="1" fontId="2" fillId="32" borderId="96" xfId="0" applyNumberFormat="1" applyFont="1" applyFill="1" applyBorder="1" applyAlignment="1">
      <alignment horizontal="center" vertical="center"/>
    </xf>
    <xf numFmtId="1" fontId="2" fillId="32" borderId="63" xfId="0" applyNumberFormat="1" applyFont="1" applyFill="1" applyBorder="1" applyAlignment="1">
      <alignment horizontal="center" vertical="center"/>
    </xf>
    <xf numFmtId="0" fontId="2" fillId="32" borderId="63" xfId="0" applyFont="1" applyFill="1" applyBorder="1" applyAlignment="1">
      <alignment horizontal="center" vertical="center"/>
    </xf>
    <xf numFmtId="2" fontId="2" fillId="32" borderId="63" xfId="0" applyNumberFormat="1" applyFont="1" applyFill="1" applyBorder="1" applyAlignment="1">
      <alignment horizontal="center" vertical="center"/>
    </xf>
    <xf numFmtId="44" fontId="2" fillId="32" borderId="63" xfId="53" applyFont="1" applyFill="1" applyBorder="1" applyAlignment="1" applyProtection="1">
      <alignment horizontal="center" vertical="center" wrapText="1"/>
    </xf>
    <xf numFmtId="170" fontId="2" fillId="32" borderId="97" xfId="610" applyNumberFormat="1" applyFont="1" applyFill="1" applyBorder="1" applyAlignment="1" applyProtection="1">
      <alignment horizontal="center" vertical="center" wrapText="1"/>
    </xf>
    <xf numFmtId="44" fontId="2" fillId="32" borderId="64" xfId="53" applyFont="1" applyFill="1" applyBorder="1" applyAlignment="1">
      <alignment horizontal="center" vertical="center"/>
    </xf>
    <xf numFmtId="0" fontId="82" fillId="32" borderId="24" xfId="0" applyFont="1" applyFill="1" applyBorder="1" applyAlignment="1">
      <alignment horizontal="center" wrapText="1"/>
    </xf>
    <xf numFmtId="1" fontId="2" fillId="25" borderId="11" xfId="0" applyNumberFormat="1" applyFont="1" applyFill="1" applyBorder="1" applyAlignment="1">
      <alignment horizontal="center" vertical="center"/>
    </xf>
    <xf numFmtId="1" fontId="2" fillId="25" borderId="106" xfId="0" applyNumberFormat="1" applyFont="1" applyFill="1" applyBorder="1" applyAlignment="1">
      <alignment horizontal="center" vertical="center"/>
    </xf>
    <xf numFmtId="1" fontId="2" fillId="25" borderId="34" xfId="0" applyNumberFormat="1" applyFont="1" applyFill="1" applyBorder="1" applyAlignment="1">
      <alignment horizontal="center" vertical="center"/>
    </xf>
    <xf numFmtId="0" fontId="2" fillId="25" borderId="34" xfId="0" applyFont="1" applyFill="1" applyBorder="1" applyAlignment="1">
      <alignment horizontal="center" vertical="center"/>
    </xf>
    <xf numFmtId="2" fontId="2" fillId="25" borderId="34" xfId="0" applyNumberFormat="1" applyFont="1" applyFill="1" applyBorder="1" applyAlignment="1">
      <alignment horizontal="center" vertical="center"/>
    </xf>
    <xf numFmtId="44" fontId="2" fillId="25" borderId="34" xfId="53" applyFont="1" applyFill="1" applyBorder="1" applyAlignment="1">
      <alignment horizontal="center" vertical="center"/>
    </xf>
    <xf numFmtId="170" fontId="2" fillId="25" borderId="34" xfId="610" applyNumberFormat="1" applyFont="1" applyFill="1" applyBorder="1" applyAlignment="1">
      <alignment horizontal="center" vertical="center"/>
    </xf>
    <xf numFmtId="44" fontId="2" fillId="25" borderId="62" xfId="53" applyFont="1" applyFill="1" applyBorder="1" applyAlignment="1">
      <alignment horizontal="center" vertical="center"/>
    </xf>
    <xf numFmtId="1" fontId="2" fillId="25" borderId="88" xfId="0" applyNumberFormat="1" applyFont="1" applyFill="1" applyBorder="1" applyAlignment="1">
      <alignment horizontal="center" vertical="center"/>
    </xf>
    <xf numFmtId="1" fontId="2" fillId="25" borderId="39" xfId="0" applyNumberFormat="1" applyFont="1" applyFill="1" applyBorder="1" applyAlignment="1">
      <alignment horizontal="center" vertical="center"/>
    </xf>
    <xf numFmtId="1" fontId="2" fillId="25" borderId="3" xfId="0" applyNumberFormat="1" applyFont="1" applyFill="1" applyBorder="1" applyAlignment="1">
      <alignment horizontal="center" vertical="center"/>
    </xf>
    <xf numFmtId="0" fontId="2" fillId="25" borderId="3" xfId="0" applyFont="1" applyFill="1" applyBorder="1" applyAlignment="1">
      <alignment horizontal="center" vertical="center"/>
    </xf>
    <xf numFmtId="2" fontId="2" fillId="25" borderId="3" xfId="0" applyNumberFormat="1" applyFont="1" applyFill="1" applyBorder="1" applyAlignment="1">
      <alignment horizontal="center" vertical="center"/>
    </xf>
    <xf numFmtId="44" fontId="2" fillId="25" borderId="3" xfId="53" applyFont="1" applyFill="1" applyBorder="1" applyAlignment="1">
      <alignment horizontal="center" vertical="center"/>
    </xf>
    <xf numFmtId="170" fontId="2" fillId="25" borderId="3" xfId="610" applyNumberFormat="1" applyFont="1" applyFill="1" applyBorder="1" applyAlignment="1">
      <alignment horizontal="center" vertical="center"/>
    </xf>
    <xf numFmtId="44" fontId="2" fillId="25" borderId="86" xfId="53" applyFont="1" applyFill="1" applyBorder="1" applyAlignment="1">
      <alignment horizontal="center" vertical="center"/>
    </xf>
    <xf numFmtId="0" fontId="39" fillId="0" borderId="0" xfId="0" applyFont="1" applyFill="1"/>
    <xf numFmtId="1" fontId="2" fillId="31" borderId="10" xfId="0" applyNumberFormat="1" applyFont="1" applyFill="1" applyBorder="1" applyAlignment="1">
      <alignment horizontal="center" vertical="center"/>
    </xf>
    <xf numFmtId="1" fontId="2" fillId="31" borderId="2" xfId="0" applyNumberFormat="1" applyFont="1" applyFill="1" applyBorder="1" applyAlignment="1">
      <alignment horizontal="center" vertical="center"/>
    </xf>
    <xf numFmtId="0" fontId="2" fillId="31" borderId="2" xfId="0" applyFont="1" applyFill="1" applyBorder="1" applyAlignment="1">
      <alignment horizontal="center" vertical="center"/>
    </xf>
    <xf numFmtId="2" fontId="2" fillId="31" borderId="2" xfId="0" applyNumberFormat="1" applyFont="1" applyFill="1" applyBorder="1" applyAlignment="1">
      <alignment horizontal="center" vertical="center"/>
    </xf>
    <xf numFmtId="44" fontId="2" fillId="31" borderId="2" xfId="53" applyFont="1" applyFill="1" applyBorder="1" applyAlignment="1">
      <alignment horizontal="center" vertical="center"/>
    </xf>
    <xf numFmtId="44" fontId="2" fillId="31" borderId="30" xfId="53" applyFont="1" applyFill="1" applyBorder="1" applyAlignment="1">
      <alignment horizontal="center" vertical="center"/>
    </xf>
    <xf numFmtId="0" fontId="82" fillId="31" borderId="30" xfId="0" applyFont="1" applyFill="1" applyBorder="1" applyAlignment="1">
      <alignment horizontal="center" wrapText="1"/>
    </xf>
    <xf numFmtId="1" fontId="2" fillId="25" borderId="31" xfId="0" applyNumberFormat="1" applyFont="1" applyFill="1" applyBorder="1" applyAlignment="1">
      <alignment horizontal="center" vertical="center"/>
    </xf>
    <xf numFmtId="1" fontId="2" fillId="25" borderId="67" xfId="0" applyNumberFormat="1" applyFont="1" applyFill="1" applyBorder="1" applyAlignment="1">
      <alignment horizontal="center" vertical="center"/>
    </xf>
    <xf numFmtId="1" fontId="2" fillId="25" borderId="92" xfId="0" applyNumberFormat="1" applyFont="1" applyFill="1" applyBorder="1" applyAlignment="1">
      <alignment horizontal="center" vertical="center"/>
    </xf>
    <xf numFmtId="0" fontId="2" fillId="25" borderId="92" xfId="0" applyFont="1" applyFill="1" applyBorder="1" applyAlignment="1">
      <alignment horizontal="center" vertical="center"/>
    </xf>
    <xf numFmtId="44" fontId="2" fillId="25" borderId="92" xfId="53" applyFont="1" applyFill="1" applyBorder="1" applyAlignment="1">
      <alignment horizontal="center" vertical="center"/>
    </xf>
    <xf numFmtId="44" fontId="2" fillId="25" borderId="68" xfId="53" applyFont="1" applyFill="1" applyBorder="1" applyAlignment="1">
      <alignment horizontal="center" vertical="center"/>
    </xf>
    <xf numFmtId="0" fontId="5" fillId="0" borderId="28" xfId="0" applyFont="1" applyBorder="1" applyAlignment="1">
      <alignment horizontal="left" vertical="center" wrapText="1"/>
    </xf>
    <xf numFmtId="1" fontId="2" fillId="0" borderId="84" xfId="0" applyNumberFormat="1" applyFont="1" applyBorder="1" applyAlignment="1">
      <alignment horizontal="center" vertical="center"/>
    </xf>
    <xf numFmtId="1" fontId="2" fillId="0" borderId="77" xfId="0" applyNumberFormat="1" applyFont="1" applyBorder="1" applyAlignment="1">
      <alignment horizontal="center" vertical="center"/>
    </xf>
    <xf numFmtId="0" fontId="2" fillId="0" borderId="47" xfId="0" applyFont="1" applyBorder="1" applyAlignment="1">
      <alignment horizontal="center" vertical="center"/>
    </xf>
    <xf numFmtId="1" fontId="2" fillId="0" borderId="47" xfId="0" applyNumberFormat="1" applyFont="1" applyBorder="1" applyAlignment="1">
      <alignment horizontal="center" vertical="center"/>
    </xf>
    <xf numFmtId="44" fontId="2" fillId="25" borderId="47" xfId="53" applyFont="1" applyFill="1" applyBorder="1" applyAlignment="1" applyProtection="1">
      <alignment horizontal="center" vertical="center" wrapText="1"/>
    </xf>
    <xf numFmtId="170" fontId="2" fillId="25" borderId="47" xfId="610" applyNumberFormat="1" applyFont="1" applyFill="1" applyBorder="1" applyAlignment="1" applyProtection="1">
      <alignment horizontal="center" vertical="center" wrapText="1"/>
    </xf>
    <xf numFmtId="44" fontId="2" fillId="0" borderId="113" xfId="53" applyFont="1" applyBorder="1" applyAlignment="1">
      <alignment horizontal="center" vertical="center"/>
    </xf>
    <xf numFmtId="0" fontId="82" fillId="0" borderId="45" xfId="0" applyFont="1" applyBorder="1" applyAlignment="1">
      <alignment horizontal="center" wrapText="1"/>
    </xf>
    <xf numFmtId="0" fontId="5" fillId="0" borderId="15" xfId="0" applyFont="1" applyBorder="1" applyAlignment="1">
      <alignment horizontal="left" vertical="center" wrapText="1"/>
    </xf>
    <xf numFmtId="1" fontId="2" fillId="0" borderId="7" xfId="0" applyNumberFormat="1" applyFont="1" applyBorder="1" applyAlignment="1">
      <alignment horizontal="center" vertical="center"/>
    </xf>
    <xf numFmtId="1" fontId="2" fillId="0" borderId="4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44" fontId="2" fillId="0" borderId="33" xfId="53" applyFont="1" applyBorder="1" applyAlignment="1">
      <alignment horizontal="center" vertical="center"/>
    </xf>
    <xf numFmtId="0" fontId="5" fillId="0" borderId="11" xfId="0" applyFont="1" applyBorder="1" applyAlignment="1">
      <alignment horizontal="left" vertical="center" wrapText="1"/>
    </xf>
    <xf numFmtId="0" fontId="2" fillId="0" borderId="41" xfId="0" applyFont="1" applyBorder="1" applyAlignment="1">
      <alignment horizontal="center" vertical="center"/>
    </xf>
    <xf numFmtId="0" fontId="5" fillId="0" borderId="11" xfId="0" applyNumberFormat="1" applyFont="1" applyFill="1" applyBorder="1" applyAlignment="1" applyProtection="1">
      <alignment horizontal="left" vertical="center" wrapText="1"/>
    </xf>
    <xf numFmtId="0" fontId="2" fillId="0" borderId="88" xfId="0" applyFont="1" applyFill="1" applyBorder="1" applyAlignment="1">
      <alignment horizontal="center" vertical="center"/>
    </xf>
    <xf numFmtId="1" fontId="2" fillId="0" borderId="3" xfId="0" applyNumberFormat="1" applyFont="1" applyBorder="1" applyAlignment="1">
      <alignment horizontal="center" vertical="center"/>
    </xf>
    <xf numFmtId="0" fontId="2" fillId="0" borderId="39" xfId="0" applyFont="1" applyFill="1" applyBorder="1" applyAlignment="1">
      <alignment horizontal="center" vertical="center"/>
    </xf>
    <xf numFmtId="0" fontId="2" fillId="0" borderId="3" xfId="0" applyFont="1" applyFill="1" applyBorder="1" applyAlignment="1">
      <alignment horizontal="center" vertical="center"/>
    </xf>
    <xf numFmtId="2" fontId="2" fillId="25" borderId="49"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44" fontId="2" fillId="0" borderId="33" xfId="53" applyFont="1" applyFill="1" applyBorder="1" applyAlignment="1">
      <alignment horizontal="center" vertical="center"/>
    </xf>
    <xf numFmtId="0" fontId="2" fillId="25" borderId="10" xfId="0" applyFont="1" applyFill="1" applyBorder="1" applyAlignment="1">
      <alignment horizontal="center" vertical="center"/>
    </xf>
    <xf numFmtId="2" fontId="2" fillId="0" borderId="1" xfId="0" applyNumberFormat="1" applyFont="1" applyFill="1" applyBorder="1" applyAlignment="1">
      <alignment horizontal="center" vertical="center"/>
    </xf>
    <xf numFmtId="1" fontId="2" fillId="0" borderId="34" xfId="0" applyNumberFormat="1" applyFont="1" applyBorder="1" applyAlignment="1">
      <alignment horizontal="center" vertical="center"/>
    </xf>
    <xf numFmtId="44" fontId="2" fillId="0" borderId="62" xfId="53" applyFont="1" applyBorder="1" applyAlignment="1">
      <alignment horizontal="center" vertical="center"/>
    </xf>
    <xf numFmtId="0" fontId="2" fillId="25" borderId="7" xfId="0" applyFont="1" applyFill="1" applyBorder="1" applyAlignment="1">
      <alignment horizontal="center" vertical="center"/>
    </xf>
    <xf numFmtId="1" fontId="2" fillId="25" borderId="41" xfId="0" applyNumberFormat="1" applyFont="1" applyFill="1" applyBorder="1" applyAlignment="1">
      <alignment horizontal="center" vertical="center"/>
    </xf>
    <xf numFmtId="44" fontId="2" fillId="25" borderId="49" xfId="53" applyFont="1" applyFill="1" applyBorder="1" applyAlignment="1" applyProtection="1">
      <alignment horizontal="center" vertical="center" wrapText="1"/>
    </xf>
    <xf numFmtId="170" fontId="2" fillId="25" borderId="49" xfId="610" applyNumberFormat="1" applyFont="1" applyFill="1" applyBorder="1" applyAlignment="1" applyProtection="1">
      <alignment horizontal="center" vertical="center" wrapText="1"/>
    </xf>
    <xf numFmtId="0" fontId="2" fillId="25" borderId="41" xfId="0" applyFont="1" applyFill="1" applyBorder="1" applyAlignment="1">
      <alignment horizontal="center" vertical="center"/>
    </xf>
    <xf numFmtId="0" fontId="5" fillId="32" borderId="17" xfId="0" applyNumberFormat="1" applyFont="1" applyFill="1" applyBorder="1" applyAlignment="1" applyProtection="1">
      <alignment horizontal="left" vertical="center" wrapText="1"/>
    </xf>
    <xf numFmtId="1" fontId="2" fillId="32" borderId="40" xfId="0" applyNumberFormat="1" applyFont="1" applyFill="1" applyBorder="1" applyAlignment="1">
      <alignment horizontal="center" vertical="center"/>
    </xf>
    <xf numFmtId="0" fontId="2" fillId="32" borderId="49" xfId="0" applyFont="1" applyFill="1" applyBorder="1" applyAlignment="1">
      <alignment horizontal="center" vertical="center"/>
    </xf>
    <xf numFmtId="2" fontId="2" fillId="32" borderId="49" xfId="0" applyNumberFormat="1" applyFont="1" applyFill="1" applyBorder="1" applyAlignment="1">
      <alignment horizontal="center" vertical="center"/>
    </xf>
    <xf numFmtId="44" fontId="2" fillId="32" borderId="49" xfId="53" applyFont="1" applyFill="1" applyBorder="1" applyAlignment="1">
      <alignment horizontal="center" vertical="center"/>
    </xf>
    <xf numFmtId="170" fontId="2" fillId="32" borderId="49" xfId="610" applyNumberFormat="1" applyFont="1" applyFill="1" applyBorder="1" applyAlignment="1">
      <alignment horizontal="center" vertical="center"/>
    </xf>
    <xf numFmtId="44" fontId="2" fillId="32" borderId="89" xfId="53" applyFont="1" applyFill="1" applyBorder="1" applyAlignment="1">
      <alignment horizontal="center" vertical="center"/>
    </xf>
    <xf numFmtId="1" fontId="2" fillId="25" borderId="66" xfId="0" applyNumberFormat="1" applyFont="1" applyFill="1" applyBorder="1" applyAlignment="1">
      <alignment horizontal="center" vertical="center"/>
    </xf>
    <xf numFmtId="44" fontId="2" fillId="25" borderId="6" xfId="53" applyFont="1" applyFill="1" applyBorder="1" applyAlignment="1">
      <alignment horizontal="center" vertical="center"/>
    </xf>
    <xf numFmtId="170" fontId="2" fillId="25" borderId="6" xfId="610" applyNumberFormat="1" applyFont="1" applyFill="1" applyBorder="1" applyAlignment="1">
      <alignment horizontal="center" vertical="center"/>
    </xf>
    <xf numFmtId="0" fontId="82" fillId="25" borderId="79" xfId="0" applyFont="1" applyFill="1" applyBorder="1" applyAlignment="1">
      <alignment horizontal="center" wrapText="1"/>
    </xf>
    <xf numFmtId="1" fontId="2" fillId="25" borderId="41" xfId="0" quotePrefix="1" applyNumberFormat="1" applyFont="1" applyFill="1" applyBorder="1" applyAlignment="1">
      <alignment horizontal="center" vertical="center"/>
    </xf>
    <xf numFmtId="44" fontId="2" fillId="0" borderId="1" xfId="53" applyFont="1" applyBorder="1" applyAlignment="1">
      <alignment horizontal="center" vertical="center"/>
    </xf>
    <xf numFmtId="170" fontId="2" fillId="0" borderId="1" xfId="610" applyNumberFormat="1" applyFont="1" applyBorder="1" applyAlignment="1">
      <alignment horizontal="center" vertical="center"/>
    </xf>
    <xf numFmtId="1" fontId="2" fillId="25" borderId="39" xfId="0" quotePrefix="1" applyNumberFormat="1" applyFont="1" applyFill="1" applyBorder="1" applyAlignment="1">
      <alignment horizontal="center" vertical="center"/>
    </xf>
    <xf numFmtId="0" fontId="2" fillId="0" borderId="3" xfId="0" applyFont="1" applyBorder="1" applyAlignment="1">
      <alignment horizontal="center" vertical="center"/>
    </xf>
    <xf numFmtId="44" fontId="2" fillId="0" borderId="3" xfId="53" applyFont="1" applyBorder="1" applyAlignment="1">
      <alignment horizontal="center" vertical="center"/>
    </xf>
    <xf numFmtId="170" fontId="2" fillId="0" borderId="3" xfId="610" applyNumberFormat="1" applyFont="1" applyBorder="1" applyAlignment="1">
      <alignment horizontal="center" vertical="center"/>
    </xf>
    <xf numFmtId="44" fontId="2" fillId="0" borderId="86" xfId="53" applyFont="1" applyBorder="1" applyAlignment="1">
      <alignment horizontal="center" vertical="center"/>
    </xf>
    <xf numFmtId="1" fontId="2" fillId="31" borderId="10" xfId="0" applyNumberFormat="1" applyFont="1" applyFill="1" applyBorder="1" applyAlignment="1">
      <alignment vertical="center"/>
    </xf>
    <xf numFmtId="1" fontId="2" fillId="31" borderId="2" xfId="0" applyNumberFormat="1" applyFont="1" applyFill="1" applyBorder="1" applyAlignment="1">
      <alignment vertical="center"/>
    </xf>
    <xf numFmtId="1" fontId="2" fillId="31" borderId="30" xfId="0" applyNumberFormat="1" applyFont="1" applyFill="1" applyBorder="1" applyAlignment="1">
      <alignment vertical="center"/>
    </xf>
    <xf numFmtId="1" fontId="2" fillId="25" borderId="106" xfId="0" quotePrefix="1" applyNumberFormat="1" applyFont="1" applyFill="1" applyBorder="1" applyAlignment="1">
      <alignment horizontal="center" vertical="center"/>
    </xf>
    <xf numFmtId="44" fontId="2" fillId="0" borderId="34" xfId="53" applyFont="1" applyBorder="1" applyAlignment="1">
      <alignment horizontal="center" vertical="center"/>
    </xf>
    <xf numFmtId="2" fontId="2" fillId="25" borderId="41" xfId="0" applyNumberFormat="1" applyFont="1" applyFill="1" applyBorder="1" applyAlignment="1">
      <alignment horizontal="center" vertical="center"/>
    </xf>
    <xf numFmtId="0" fontId="39" fillId="0" borderId="0" xfId="0" applyFont="1" applyAlignment="1">
      <alignment horizontal="center"/>
    </xf>
    <xf numFmtId="1" fontId="31" fillId="25" borderId="4" xfId="0" applyNumberFormat="1" applyFont="1" applyFill="1" applyBorder="1" applyAlignment="1">
      <alignment horizontal="center"/>
    </xf>
    <xf numFmtId="2" fontId="39" fillId="0" borderId="0" xfId="0" applyNumberFormat="1" applyFont="1"/>
    <xf numFmtId="9" fontId="31" fillId="25" borderId="4" xfId="1" applyFont="1" applyFill="1" applyBorder="1" applyAlignment="1">
      <alignment horizontal="center" vertical="center"/>
    </xf>
    <xf numFmtId="165" fontId="39" fillId="0" borderId="0" xfId="0" applyNumberFormat="1" applyFont="1"/>
    <xf numFmtId="0" fontId="83" fillId="2" borderId="44" xfId="0" applyFont="1" applyFill="1" applyBorder="1" applyAlignment="1">
      <alignment horizontal="center" vertical="center"/>
    </xf>
    <xf numFmtId="0" fontId="31" fillId="2" borderId="96" xfId="0" applyFont="1" applyFill="1" applyBorder="1" applyAlignment="1">
      <alignment horizontal="center" vertical="center" wrapText="1"/>
    </xf>
    <xf numFmtId="0" fontId="31" fillId="33" borderId="25" xfId="0" applyFont="1" applyFill="1" applyBorder="1" applyAlignment="1">
      <alignment horizontal="center"/>
    </xf>
    <xf numFmtId="0" fontId="31" fillId="33" borderId="80" xfId="0" applyFont="1" applyFill="1" applyBorder="1" applyAlignment="1">
      <alignment horizontal="center"/>
    </xf>
    <xf numFmtId="0" fontId="31" fillId="33" borderId="66" xfId="0" applyFont="1" applyFill="1" applyBorder="1" applyAlignment="1">
      <alignment horizontal="center"/>
    </xf>
    <xf numFmtId="0" fontId="31" fillId="33" borderId="5" xfId="0" applyFont="1" applyFill="1" applyBorder="1" applyAlignment="1">
      <alignment horizontal="center"/>
    </xf>
    <xf numFmtId="0" fontId="31" fillId="33" borderId="26" xfId="0" applyFont="1" applyFill="1" applyBorder="1" applyAlignment="1">
      <alignment horizontal="left"/>
    </xf>
    <xf numFmtId="0" fontId="31" fillId="33" borderId="91" xfId="0" applyFont="1" applyFill="1" applyBorder="1" applyAlignment="1">
      <alignment horizontal="center"/>
    </xf>
    <xf numFmtId="0" fontId="31" fillId="33" borderId="99" xfId="0" applyFont="1" applyFill="1" applyBorder="1" applyAlignment="1">
      <alignment horizontal="center"/>
    </xf>
    <xf numFmtId="0" fontId="31" fillId="33" borderId="90" xfId="0" applyFont="1" applyFill="1" applyBorder="1" applyAlignment="1">
      <alignment horizontal="center"/>
    </xf>
    <xf numFmtId="0" fontId="31" fillId="33" borderId="26" xfId="0" applyFont="1" applyFill="1" applyBorder="1" applyAlignment="1">
      <alignment horizontal="center"/>
    </xf>
    <xf numFmtId="0" fontId="31" fillId="33" borderId="11" xfId="0" applyFont="1" applyFill="1" applyBorder="1" applyAlignment="1">
      <alignment horizontal="center"/>
    </xf>
    <xf numFmtId="0" fontId="31" fillId="33" borderId="85" xfId="0" applyFont="1" applyFill="1" applyBorder="1" applyAlignment="1">
      <alignment horizontal="center"/>
    </xf>
    <xf numFmtId="0" fontId="31" fillId="33" borderId="0" xfId="0" applyFont="1" applyFill="1" applyBorder="1" applyAlignment="1">
      <alignment horizontal="center"/>
    </xf>
    <xf numFmtId="0" fontId="31" fillId="33" borderId="40" xfId="0" applyFont="1" applyFill="1" applyBorder="1" applyAlignment="1">
      <alignment horizontal="center"/>
    </xf>
    <xf numFmtId="0" fontId="31" fillId="33" borderId="95" xfId="0" applyFont="1" applyFill="1" applyBorder="1" applyAlignment="1">
      <alignment horizontal="center"/>
    </xf>
    <xf numFmtId="0" fontId="2" fillId="2" borderId="65" xfId="0" applyFont="1" applyFill="1" applyBorder="1"/>
    <xf numFmtId="0" fontId="2" fillId="2" borderId="21" xfId="0" applyFont="1" applyFill="1" applyBorder="1"/>
    <xf numFmtId="0" fontId="2" fillId="0" borderId="90" xfId="0" applyFont="1" applyBorder="1" applyAlignment="1"/>
    <xf numFmtId="0" fontId="2" fillId="0" borderId="99" xfId="0" applyFont="1" applyBorder="1" applyAlignment="1"/>
    <xf numFmtId="0" fontId="39" fillId="0" borderId="7" xfId="0" applyFont="1" applyBorder="1"/>
    <xf numFmtId="0" fontId="2" fillId="0" borderId="41" xfId="0" applyFont="1" applyBorder="1" applyAlignment="1"/>
    <xf numFmtId="0" fontId="2" fillId="0" borderId="83" xfId="0" applyFont="1" applyBorder="1" applyAlignment="1"/>
    <xf numFmtId="0" fontId="2" fillId="0" borderId="7" xfId="0" applyFont="1" applyFill="1" applyBorder="1" applyAlignment="1"/>
    <xf numFmtId="0" fontId="2" fillId="0" borderId="67" xfId="0" applyFont="1" applyFill="1" applyBorder="1" applyAlignment="1"/>
    <xf numFmtId="0" fontId="31" fillId="2" borderId="12" xfId="0" applyFont="1" applyFill="1" applyBorder="1" applyAlignment="1">
      <alignment horizontal="left" vertical="top"/>
    </xf>
    <xf numFmtId="0" fontId="31" fillId="2" borderId="63" xfId="0" applyFont="1" applyFill="1" applyBorder="1" applyAlignment="1">
      <alignment horizontal="center"/>
    </xf>
    <xf numFmtId="0" fontId="31" fillId="2" borderId="97" xfId="0" applyFont="1" applyFill="1" applyBorder="1" applyAlignment="1">
      <alignment horizontal="center"/>
    </xf>
    <xf numFmtId="0" fontId="2" fillId="0" borderId="106" xfId="0" applyFont="1" applyBorder="1" applyAlignment="1"/>
    <xf numFmtId="0" fontId="39" fillId="0" borderId="34" xfId="0" applyFont="1" applyBorder="1" applyAlignment="1">
      <alignment horizontal="center"/>
    </xf>
    <xf numFmtId="0" fontId="39" fillId="34" borderId="1" xfId="0" applyFont="1" applyFill="1" applyBorder="1" applyAlignment="1">
      <alignment horizontal="center"/>
    </xf>
    <xf numFmtId="0" fontId="39" fillId="0" borderId="108" xfId="0" applyFont="1" applyBorder="1" applyAlignment="1">
      <alignment horizontal="center"/>
    </xf>
    <xf numFmtId="0" fontId="39" fillId="0" borderId="26" xfId="0" applyFont="1" applyBorder="1" applyAlignment="1">
      <alignment horizontal="center"/>
    </xf>
    <xf numFmtId="0" fontId="2" fillId="0" borderId="41" xfId="0" applyFont="1" applyBorder="1"/>
    <xf numFmtId="0" fontId="39" fillId="25" borderId="1" xfId="0" applyFont="1" applyFill="1" applyBorder="1" applyAlignment="1">
      <alignment horizontal="center"/>
    </xf>
    <xf numFmtId="0" fontId="39" fillId="0" borderId="1" xfId="0" applyFont="1" applyBorder="1" applyAlignment="1">
      <alignment horizontal="center"/>
    </xf>
    <xf numFmtId="0" fontId="39" fillId="25" borderId="16" xfId="0" applyFont="1" applyFill="1" applyBorder="1" applyAlignment="1">
      <alignment horizontal="center"/>
    </xf>
    <xf numFmtId="0" fontId="39" fillId="0" borderId="16" xfId="0" applyFont="1" applyBorder="1" applyAlignment="1">
      <alignment horizontal="center"/>
    </xf>
    <xf numFmtId="0" fontId="39" fillId="0" borderId="1" xfId="0" applyFont="1" applyFill="1" applyBorder="1" applyAlignment="1">
      <alignment horizontal="center"/>
    </xf>
    <xf numFmtId="0" fontId="39" fillId="0" borderId="16" xfId="0" applyFont="1" applyFill="1" applyBorder="1" applyAlignment="1">
      <alignment horizontal="center"/>
    </xf>
    <xf numFmtId="0" fontId="39" fillId="0" borderId="1" xfId="0" applyFont="1" applyBorder="1" applyAlignment="1">
      <alignment horizontal="center" wrapText="1"/>
    </xf>
    <xf numFmtId="0" fontId="2" fillId="0" borderId="41" xfId="0" applyFont="1" applyBorder="1" applyAlignment="1">
      <alignment wrapText="1"/>
    </xf>
    <xf numFmtId="0" fontId="31" fillId="2" borderId="13" xfId="0" applyFont="1" applyFill="1" applyBorder="1" applyAlignment="1">
      <alignment horizontal="left" vertical="top"/>
    </xf>
    <xf numFmtId="166" fontId="39" fillId="0" borderId="1" xfId="0" applyNumberFormat="1" applyFont="1" applyBorder="1" applyAlignment="1">
      <alignment horizontal="center"/>
    </xf>
    <xf numFmtId="0" fontId="31" fillId="2" borderId="29" xfId="0" applyFont="1" applyFill="1" applyBorder="1" applyAlignment="1">
      <alignment vertical="top" wrapText="1"/>
    </xf>
    <xf numFmtId="0" fontId="39" fillId="0" borderId="83" xfId="0" applyFont="1" applyBorder="1"/>
    <xf numFmtId="0" fontId="39" fillId="33" borderId="1" xfId="0" applyFont="1" applyFill="1" applyBorder="1" applyAlignment="1">
      <alignment horizontal="center"/>
    </xf>
    <xf numFmtId="0" fontId="39" fillId="33" borderId="16" xfId="0" applyFont="1" applyFill="1" applyBorder="1" applyAlignment="1">
      <alignment horizontal="center"/>
    </xf>
    <xf numFmtId="0" fontId="31" fillId="2" borderId="17" xfId="0" applyFont="1" applyFill="1" applyBorder="1" applyAlignment="1">
      <alignment vertical="top" wrapText="1"/>
    </xf>
    <xf numFmtId="0" fontId="5" fillId="2" borderId="65" xfId="0" applyFont="1" applyFill="1" applyBorder="1"/>
    <xf numFmtId="0" fontId="2" fillId="0" borderId="39" xfId="0" applyFont="1" applyBorder="1"/>
    <xf numFmtId="0" fontId="2" fillId="0" borderId="106" xfId="0" applyFont="1" applyBorder="1" applyAlignment="1">
      <alignment wrapText="1"/>
    </xf>
    <xf numFmtId="0" fontId="39" fillId="0" borderId="3" xfId="0" applyFont="1" applyBorder="1" applyAlignment="1">
      <alignment horizontal="center"/>
    </xf>
    <xf numFmtId="0" fontId="39" fillId="0" borderId="27" xfId="0" applyFont="1" applyBorder="1" applyAlignment="1">
      <alignment horizontal="center"/>
    </xf>
    <xf numFmtId="0" fontId="2" fillId="0" borderId="7" xfId="0" applyFont="1" applyBorder="1"/>
    <xf numFmtId="0" fontId="39" fillId="0" borderId="33" xfId="0" applyFont="1" applyBorder="1" applyAlignment="1">
      <alignment horizontal="center"/>
    </xf>
    <xf numFmtId="0" fontId="39" fillId="0" borderId="88" xfId="0" applyFont="1" applyBorder="1"/>
    <xf numFmtId="0" fontId="31" fillId="2" borderId="22" xfId="0" applyFont="1" applyFill="1" applyBorder="1" applyAlignment="1">
      <alignment vertical="top" wrapText="1"/>
    </xf>
    <xf numFmtId="0" fontId="2" fillId="0" borderId="40" xfId="0" applyFont="1" applyBorder="1" applyAlignment="1"/>
    <xf numFmtId="0" fontId="39" fillId="34" borderId="3" xfId="0" applyFont="1" applyFill="1" applyBorder="1" applyAlignment="1">
      <alignment horizontal="center"/>
    </xf>
    <xf numFmtId="0" fontId="39" fillId="0" borderId="95" xfId="0" applyFont="1" applyBorder="1"/>
    <xf numFmtId="0" fontId="31" fillId="2" borderId="79" xfId="0" applyFont="1" applyFill="1" applyBorder="1" applyAlignment="1">
      <alignment horizontal="left" vertical="top" wrapText="1"/>
    </xf>
    <xf numFmtId="0" fontId="2" fillId="0" borderId="96" xfId="0" applyFont="1" applyBorder="1"/>
    <xf numFmtId="0" fontId="2" fillId="0" borderId="65" xfId="0" applyFont="1" applyBorder="1"/>
    <xf numFmtId="0" fontId="39" fillId="33" borderId="63" xfId="0" applyFont="1" applyFill="1" applyBorder="1" applyAlignment="1">
      <alignment horizontal="center"/>
    </xf>
    <xf numFmtId="0" fontId="39" fillId="33" borderId="97" xfId="0" applyFont="1" applyFill="1" applyBorder="1" applyAlignment="1">
      <alignment horizontal="center"/>
    </xf>
    <xf numFmtId="0" fontId="39" fillId="33" borderId="96" xfId="0" applyFont="1" applyFill="1" applyBorder="1"/>
    <xf numFmtId="0" fontId="2" fillId="0" borderId="90" xfId="0" applyFont="1" applyBorder="1" applyAlignment="1">
      <alignment horizontal="left" vertical="center" wrapText="1"/>
    </xf>
    <xf numFmtId="0" fontId="2" fillId="0" borderId="106" xfId="0" applyFont="1" applyBorder="1" applyAlignment="1">
      <alignment horizontal="left" vertical="center"/>
    </xf>
    <xf numFmtId="0" fontId="31" fillId="33" borderId="34" xfId="0" applyFont="1" applyFill="1" applyBorder="1" applyAlignment="1">
      <alignment horizontal="center"/>
    </xf>
    <xf numFmtId="0" fontId="39" fillId="25" borderId="34" xfId="0" applyFont="1" applyFill="1" applyBorder="1" applyAlignment="1">
      <alignment horizontal="center"/>
    </xf>
    <xf numFmtId="0" fontId="39" fillId="25" borderId="108" xfId="0" applyFont="1" applyFill="1" applyBorder="1" applyAlignment="1">
      <alignment horizontal="center"/>
    </xf>
    <xf numFmtId="0" fontId="39" fillId="25" borderId="26" xfId="0" applyFont="1" applyFill="1" applyBorder="1" applyAlignment="1">
      <alignment horizontal="center"/>
    </xf>
    <xf numFmtId="0" fontId="2" fillId="0" borderId="106" xfId="0" applyFont="1" applyBorder="1" applyAlignment="1">
      <alignment horizontal="left" vertical="center" wrapText="1"/>
    </xf>
    <xf numFmtId="165" fontId="39" fillId="25" borderId="34" xfId="0" applyNumberFormat="1" applyFont="1" applyFill="1" applyBorder="1" applyAlignment="1">
      <alignment horizontal="center"/>
    </xf>
    <xf numFmtId="165" fontId="39" fillId="0" borderId="7" xfId="0" applyNumberFormat="1" applyFont="1" applyBorder="1"/>
    <xf numFmtId="0" fontId="2" fillId="0" borderId="90" xfId="0" applyFont="1" applyBorder="1" applyAlignment="1">
      <alignment horizontal="left" vertical="center"/>
    </xf>
    <xf numFmtId="0" fontId="2" fillId="0" borderId="90" xfId="0" applyNumberFormat="1" applyFont="1" applyFill="1" applyBorder="1" applyAlignment="1" applyProtection="1">
      <alignment horizontal="left" vertical="center" wrapText="1"/>
    </xf>
    <xf numFmtId="0" fontId="2" fillId="0" borderId="41" xfId="0" applyFont="1" applyBorder="1" applyAlignment="1">
      <alignment horizontal="left" vertical="center"/>
    </xf>
    <xf numFmtId="165" fontId="39" fillId="25" borderId="1" xfId="0" applyNumberFormat="1" applyFont="1" applyFill="1" applyBorder="1" applyAlignment="1">
      <alignment horizontal="center"/>
    </xf>
    <xf numFmtId="0" fontId="39" fillId="25" borderId="1" xfId="0" applyFont="1" applyFill="1" applyBorder="1" applyAlignment="1">
      <alignment horizontal="center" wrapText="1"/>
    </xf>
    <xf numFmtId="165" fontId="39" fillId="25" borderId="16" xfId="0" applyNumberFormat="1" applyFont="1" applyFill="1" applyBorder="1" applyAlignment="1">
      <alignment horizontal="center"/>
    </xf>
    <xf numFmtId="0" fontId="39" fillId="0" borderId="11" xfId="0" applyFont="1" applyFill="1" applyBorder="1"/>
    <xf numFmtId="165" fontId="39" fillId="0" borderId="1" xfId="0" applyNumberFormat="1" applyFont="1" applyBorder="1" applyAlignment="1">
      <alignment horizontal="center"/>
    </xf>
    <xf numFmtId="165" fontId="39" fillId="0" borderId="16" xfId="0" applyNumberFormat="1" applyFont="1" applyBorder="1" applyAlignment="1">
      <alignment horizontal="center"/>
    </xf>
    <xf numFmtId="0" fontId="39" fillId="25" borderId="1" xfId="0" applyNumberFormat="1" applyFont="1" applyFill="1" applyBorder="1" applyAlignment="1" applyProtection="1">
      <alignment horizontal="center" vertical="center" wrapText="1"/>
    </xf>
    <xf numFmtId="0" fontId="39" fillId="25" borderId="3" xfId="0" applyFont="1" applyFill="1" applyBorder="1" applyAlignment="1">
      <alignment horizontal="center"/>
    </xf>
    <xf numFmtId="0" fontId="39" fillId="25" borderId="9" xfId="0" applyNumberFormat="1" applyFont="1" applyFill="1" applyBorder="1" applyAlignment="1" applyProtection="1">
      <alignment horizontal="left" vertical="center" wrapText="1"/>
    </xf>
    <xf numFmtId="165" fontId="39" fillId="25" borderId="9" xfId="0" applyNumberFormat="1" applyFont="1" applyFill="1" applyBorder="1" applyAlignment="1">
      <alignment horizontal="center" vertical="center"/>
    </xf>
    <xf numFmtId="0" fontId="39" fillId="34" borderId="41" xfId="0" applyFont="1" applyFill="1" applyBorder="1" applyAlignment="1">
      <alignment horizontal="center"/>
    </xf>
    <xf numFmtId="0" fontId="39" fillId="25" borderId="9" xfId="0" applyNumberFormat="1" applyFont="1" applyFill="1" applyBorder="1" applyAlignment="1" applyProtection="1">
      <alignment horizontal="center" vertical="center" wrapText="1"/>
    </xf>
    <xf numFmtId="0" fontId="39" fillId="33" borderId="8" xfId="0" applyFont="1" applyFill="1" applyBorder="1"/>
    <xf numFmtId="0" fontId="31" fillId="2" borderId="33" xfId="0" applyFont="1" applyFill="1" applyBorder="1" applyAlignment="1">
      <alignment horizontal="left" vertical="top"/>
    </xf>
    <xf numFmtId="0" fontId="2" fillId="0" borderId="106" xfId="0" applyNumberFormat="1" applyFont="1" applyFill="1" applyBorder="1" applyAlignment="1" applyProtection="1">
      <alignment horizontal="left" vertical="top" wrapText="1"/>
    </xf>
    <xf numFmtId="0" fontId="39" fillId="33" borderId="3" xfId="0" applyFont="1" applyFill="1" applyBorder="1" applyAlignment="1">
      <alignment horizontal="center"/>
    </xf>
    <xf numFmtId="0" fontId="39" fillId="33" borderId="27" xfId="0" applyFont="1" applyFill="1" applyBorder="1" applyAlignment="1">
      <alignment horizontal="center"/>
    </xf>
    <xf numFmtId="0" fontId="2" fillId="2" borderId="96" xfId="0" applyFont="1" applyFill="1" applyBorder="1"/>
    <xf numFmtId="0" fontId="2" fillId="0" borderId="90" xfId="0" applyFont="1" applyBorder="1"/>
    <xf numFmtId="0" fontId="2" fillId="0" borderId="83" xfId="0" applyFont="1" applyBorder="1"/>
    <xf numFmtId="0" fontId="2" fillId="0" borderId="99" xfId="0" applyFont="1" applyBorder="1"/>
    <xf numFmtId="0" fontId="39" fillId="33" borderId="7" xfId="0" applyFont="1" applyFill="1" applyBorder="1"/>
    <xf numFmtId="0" fontId="2" fillId="0" borderId="2" xfId="0" applyFont="1" applyBorder="1"/>
    <xf numFmtId="0" fontId="5" fillId="2" borderId="96" xfId="0" applyFont="1" applyFill="1" applyBorder="1"/>
    <xf numFmtId="0" fontId="31" fillId="2" borderId="63" xfId="0" applyFont="1" applyFill="1" applyBorder="1" applyAlignment="1"/>
    <xf numFmtId="0" fontId="39" fillId="25" borderId="1" xfId="0" applyNumberFormat="1" applyFont="1" applyFill="1" applyBorder="1" applyAlignment="1" applyProtection="1">
      <alignment vertical="center" wrapText="1"/>
    </xf>
    <xf numFmtId="0" fontId="39" fillId="34" borderId="34" xfId="0" applyFont="1" applyFill="1" applyBorder="1" applyAlignment="1"/>
    <xf numFmtId="0" fontId="39" fillId="34" borderId="11" xfId="0" applyFont="1" applyFill="1" applyBorder="1" applyAlignment="1">
      <alignment horizontal="center"/>
    </xf>
    <xf numFmtId="0" fontId="2" fillId="25" borderId="8" xfId="0" applyNumberFormat="1" applyFont="1" applyFill="1" applyBorder="1" applyAlignment="1" applyProtection="1">
      <alignment vertical="center" wrapText="1"/>
    </xf>
    <xf numFmtId="0" fontId="2" fillId="25" borderId="50" xfId="0" applyNumberFormat="1" applyFont="1" applyFill="1" applyBorder="1" applyAlignment="1" applyProtection="1">
      <alignment vertical="center" wrapText="1"/>
    </xf>
    <xf numFmtId="0" fontId="39" fillId="34" borderId="9" xfId="0" applyFont="1" applyFill="1" applyBorder="1"/>
    <xf numFmtId="165" fontId="39" fillId="25" borderId="9" xfId="0" applyNumberFormat="1" applyFont="1" applyFill="1" applyBorder="1" applyAlignment="1">
      <alignment horizontal="center"/>
    </xf>
    <xf numFmtId="0" fontId="39" fillId="25" borderId="9" xfId="0" applyFont="1" applyFill="1" applyBorder="1" applyAlignment="1">
      <alignment horizontal="center"/>
    </xf>
    <xf numFmtId="0" fontId="39" fillId="34" borderId="8" xfId="0" applyFont="1" applyFill="1" applyBorder="1"/>
    <xf numFmtId="0" fontId="2" fillId="0" borderId="0" xfId="0" applyFont="1"/>
    <xf numFmtId="0" fontId="2" fillId="2" borderId="5" xfId="0" applyFont="1" applyFill="1" applyBorder="1" applyAlignment="1">
      <alignment horizontal="left"/>
    </xf>
    <xf numFmtId="0" fontId="2" fillId="2" borderId="80" xfId="0" applyFont="1" applyFill="1" applyBorder="1" applyAlignment="1">
      <alignment horizontal="left"/>
    </xf>
    <xf numFmtId="0" fontId="2" fillId="2" borderId="7" xfId="0" applyFont="1" applyFill="1" applyBorder="1" applyAlignment="1">
      <alignment horizontal="left"/>
    </xf>
    <xf numFmtId="0" fontId="2" fillId="2" borderId="2" xfId="0" applyFont="1" applyFill="1" applyBorder="1" applyAlignment="1">
      <alignment horizontal="left"/>
    </xf>
    <xf numFmtId="0" fontId="2" fillId="2" borderId="8" xfId="0" applyFont="1" applyFill="1" applyBorder="1" applyAlignment="1">
      <alignment horizontal="left"/>
    </xf>
    <xf numFmtId="0" fontId="2" fillId="2" borderId="81" xfId="0" applyFont="1" applyFill="1" applyBorder="1" applyAlignment="1">
      <alignment horizontal="left"/>
    </xf>
    <xf numFmtId="0" fontId="39" fillId="0" borderId="36" xfId="0" applyFont="1" applyBorder="1" applyAlignment="1">
      <alignment horizontal="center"/>
    </xf>
    <xf numFmtId="0" fontId="31" fillId="0" borderId="0" xfId="0" applyFont="1"/>
    <xf numFmtId="0" fontId="83" fillId="2" borderId="63" xfId="0" applyFont="1" applyFill="1" applyBorder="1" applyAlignment="1">
      <alignment horizontal="center" vertical="center"/>
    </xf>
    <xf numFmtId="0" fontId="39" fillId="0" borderId="0" xfId="0" applyFont="1" applyAlignment="1">
      <alignment horizontal="center" vertical="center"/>
    </xf>
    <xf numFmtId="0" fontId="39" fillId="33" borderId="34" xfId="0" applyFont="1" applyFill="1" applyBorder="1"/>
    <xf numFmtId="0" fontId="31" fillId="33" borderId="2" xfId="0" applyFont="1" applyFill="1" applyBorder="1" applyAlignment="1">
      <alignment horizontal="center"/>
    </xf>
    <xf numFmtId="0" fontId="39" fillId="33" borderId="1" xfId="0" applyFont="1" applyFill="1" applyBorder="1"/>
    <xf numFmtId="0" fontId="31" fillId="33" borderId="83" xfId="0" applyFont="1" applyFill="1" applyBorder="1" applyAlignment="1">
      <alignment horizontal="center"/>
    </xf>
    <xf numFmtId="0" fontId="39" fillId="33" borderId="3" xfId="0" applyFont="1" applyFill="1" applyBorder="1"/>
    <xf numFmtId="0" fontId="39" fillId="2" borderId="65" xfId="0" applyFont="1" applyFill="1" applyBorder="1"/>
    <xf numFmtId="0" fontId="39" fillId="0" borderId="90" xfId="0" applyFont="1" applyBorder="1" applyAlignment="1"/>
    <xf numFmtId="0" fontId="39" fillId="0" borderId="106" xfId="0" applyFont="1" applyBorder="1" applyAlignment="1"/>
    <xf numFmtId="0" fontId="39" fillId="0" borderId="99" xfId="0" applyFont="1" applyBorder="1" applyAlignment="1">
      <alignment horizontal="center"/>
    </xf>
    <xf numFmtId="0" fontId="39" fillId="0" borderId="41" xfId="0" applyFont="1" applyBorder="1" applyAlignment="1"/>
    <xf numFmtId="2" fontId="39" fillId="0" borderId="2" xfId="0" applyNumberFormat="1" applyFont="1" applyBorder="1" applyAlignment="1">
      <alignment horizontal="center"/>
    </xf>
    <xf numFmtId="0" fontId="39" fillId="25" borderId="2" xfId="0" applyFont="1" applyFill="1" applyBorder="1" applyAlignment="1"/>
    <xf numFmtId="0" fontId="39" fillId="0" borderId="2" xfId="0" applyFont="1" applyBorder="1" applyAlignment="1">
      <alignment horizontal="center"/>
    </xf>
    <xf numFmtId="1" fontId="39" fillId="0" borderId="0" xfId="0" applyNumberFormat="1" applyFont="1"/>
    <xf numFmtId="0" fontId="39" fillId="0" borderId="39" xfId="0" applyFont="1" applyFill="1" applyBorder="1" applyAlignment="1"/>
    <xf numFmtId="0" fontId="39" fillId="25" borderId="83" xfId="0" applyFont="1" applyFill="1" applyBorder="1" applyAlignment="1"/>
    <xf numFmtId="0" fontId="39" fillId="0" borderId="83" xfId="0" applyFont="1" applyBorder="1" applyAlignment="1">
      <alignment horizontal="center"/>
    </xf>
    <xf numFmtId="0" fontId="31" fillId="2" borderId="23" xfId="0" applyFont="1" applyFill="1" applyBorder="1" applyAlignment="1">
      <alignment horizontal="left" vertical="top"/>
    </xf>
    <xf numFmtId="0" fontId="39" fillId="2" borderId="4" xfId="0" applyFont="1" applyFill="1" applyBorder="1"/>
    <xf numFmtId="0" fontId="39" fillId="2" borderId="23" xfId="0" applyFont="1" applyFill="1" applyBorder="1"/>
    <xf numFmtId="0" fontId="31" fillId="2" borderId="47" xfId="0" applyFont="1" applyFill="1" applyBorder="1" applyAlignment="1">
      <alignment horizontal="center"/>
    </xf>
    <xf numFmtId="0" fontId="31" fillId="2" borderId="97" xfId="0" applyFont="1" applyFill="1" applyBorder="1" applyAlignment="1"/>
    <xf numFmtId="0" fontId="39" fillId="0" borderId="6" xfId="0" applyFont="1" applyBorder="1" applyAlignment="1">
      <alignment horizontal="center"/>
    </xf>
    <xf numFmtId="165" fontId="39" fillId="0" borderId="25" xfId="0" applyNumberFormat="1" applyFont="1" applyBorder="1" applyAlignment="1">
      <alignment vertical="center"/>
    </xf>
    <xf numFmtId="0" fontId="39" fillId="0" borderId="34" xfId="0" applyFont="1" applyBorder="1"/>
    <xf numFmtId="0" fontId="39" fillId="0" borderId="41" xfId="0" applyFont="1" applyBorder="1"/>
    <xf numFmtId="165" fontId="39" fillId="0" borderId="16" xfId="0" applyNumberFormat="1" applyFont="1" applyBorder="1" applyAlignment="1">
      <alignment vertical="center"/>
    </xf>
    <xf numFmtId="0" fontId="39" fillId="0" borderId="1" xfId="0" applyFont="1" applyBorder="1"/>
    <xf numFmtId="0" fontId="39" fillId="0" borderId="41" xfId="0" applyFont="1" applyBorder="1" applyAlignment="1">
      <alignment horizontal="center"/>
    </xf>
    <xf numFmtId="0" fontId="39" fillId="0" borderId="41" xfId="0" applyFont="1" applyBorder="1" applyAlignment="1">
      <alignment wrapText="1"/>
    </xf>
    <xf numFmtId="0" fontId="39" fillId="25" borderId="41" xfId="0" applyFont="1" applyFill="1" applyBorder="1" applyAlignment="1">
      <alignment horizontal="center"/>
    </xf>
    <xf numFmtId="0" fontId="39" fillId="33" borderId="41" xfId="0" applyFont="1" applyFill="1" applyBorder="1" applyAlignment="1">
      <alignment horizontal="center" vertical="center"/>
    </xf>
    <xf numFmtId="0" fontId="39" fillId="33" borderId="2" xfId="0" applyFont="1" applyFill="1" applyBorder="1" applyAlignment="1">
      <alignment horizontal="center" vertical="center"/>
    </xf>
    <xf numFmtId="0" fontId="31" fillId="2" borderId="29" xfId="0" applyFont="1" applyFill="1" applyBorder="1" applyAlignment="1">
      <alignment horizontal="left" vertical="top" wrapText="1"/>
    </xf>
    <xf numFmtId="0" fontId="39" fillId="0" borderId="39" xfId="0" applyFont="1" applyBorder="1"/>
    <xf numFmtId="0" fontId="39" fillId="33" borderId="39" xfId="0" applyFont="1" applyFill="1" applyBorder="1" applyAlignment="1">
      <alignment horizontal="center" vertical="center"/>
    </xf>
    <xf numFmtId="0" fontId="39" fillId="33" borderId="83" xfId="0" applyFont="1" applyFill="1" applyBorder="1" applyAlignment="1">
      <alignment horizontal="center" vertical="center"/>
    </xf>
    <xf numFmtId="0" fontId="31" fillId="2" borderId="17" xfId="0" applyFont="1" applyFill="1" applyBorder="1" applyAlignment="1">
      <alignment horizontal="left" vertical="top" wrapText="1"/>
    </xf>
    <xf numFmtId="0" fontId="31" fillId="2" borderId="96" xfId="0" applyFont="1" applyFill="1" applyBorder="1"/>
    <xf numFmtId="0" fontId="31" fillId="2" borderId="21" xfId="0" applyFont="1" applyFill="1" applyBorder="1"/>
    <xf numFmtId="0" fontId="31" fillId="2" borderId="21" xfId="0" applyFont="1" applyFill="1" applyBorder="1" applyAlignment="1">
      <alignment horizontal="center"/>
    </xf>
    <xf numFmtId="0" fontId="39" fillId="0" borderId="90" xfId="0" applyFont="1" applyBorder="1"/>
    <xf numFmtId="0" fontId="39" fillId="0" borderId="106" xfId="0" applyFont="1" applyFill="1" applyBorder="1" applyAlignment="1">
      <alignment wrapText="1"/>
    </xf>
    <xf numFmtId="0" fontId="31" fillId="2" borderId="22" xfId="0" applyFont="1" applyFill="1" applyBorder="1" applyAlignment="1">
      <alignment horizontal="left" vertical="top" wrapText="1"/>
    </xf>
    <xf numFmtId="0" fontId="39" fillId="0" borderId="3" xfId="0" applyFont="1" applyBorder="1"/>
    <xf numFmtId="0" fontId="31" fillId="2" borderId="4" xfId="0" applyFont="1" applyFill="1" applyBorder="1" applyAlignment="1">
      <alignment horizontal="left" vertical="top" wrapText="1"/>
    </xf>
    <xf numFmtId="0" fontId="39" fillId="0" borderId="96" xfId="0" applyFont="1" applyBorder="1"/>
    <xf numFmtId="0" fontId="39" fillId="0" borderId="21" xfId="0" applyFont="1" applyBorder="1"/>
    <xf numFmtId="0" fontId="39" fillId="34" borderId="21" xfId="0" applyFont="1" applyFill="1" applyBorder="1" applyAlignment="1">
      <alignment horizontal="center"/>
    </xf>
    <xf numFmtId="0" fontId="39" fillId="33" borderId="63" xfId="0" applyFont="1" applyFill="1" applyBorder="1"/>
    <xf numFmtId="0" fontId="31" fillId="2" borderId="63" xfId="0" applyFont="1" applyFill="1" applyBorder="1"/>
    <xf numFmtId="0" fontId="31" fillId="2" borderId="63" xfId="0" applyFont="1" applyFill="1" applyBorder="1" applyAlignment="1">
      <alignment horizontal="center" vertical="center"/>
    </xf>
    <xf numFmtId="0" fontId="86" fillId="25" borderId="106" xfId="717" applyFont="1" applyFill="1" applyBorder="1" applyAlignment="1">
      <alignment horizontal="left" vertical="center" wrapText="1"/>
    </xf>
    <xf numFmtId="0" fontId="31" fillId="34" borderId="34" xfId="0" applyFont="1" applyFill="1" applyBorder="1" applyAlignment="1">
      <alignment horizontal="center"/>
    </xf>
    <xf numFmtId="0" fontId="39" fillId="34" borderId="34" xfId="0" applyFont="1" applyFill="1" applyBorder="1" applyAlignment="1">
      <alignment horizontal="center"/>
    </xf>
    <xf numFmtId="0" fontId="39" fillId="25" borderId="34" xfId="0" applyFont="1" applyFill="1" applyBorder="1" applyAlignment="1">
      <alignment horizontal="center" vertical="center"/>
    </xf>
    <xf numFmtId="0" fontId="39" fillId="34" borderId="34" xfId="0" applyFont="1" applyFill="1" applyBorder="1"/>
    <xf numFmtId="0" fontId="31" fillId="2" borderId="95" xfId="0" applyFont="1" applyFill="1" applyBorder="1" applyAlignment="1">
      <alignment horizontal="left" vertical="top" wrapText="1"/>
    </xf>
    <xf numFmtId="0" fontId="31" fillId="2" borderId="95" xfId="0" applyFont="1" applyFill="1" applyBorder="1" applyAlignment="1">
      <alignment vertical="top" wrapText="1"/>
    </xf>
    <xf numFmtId="0" fontId="39" fillId="0" borderId="1" xfId="0" applyFont="1" applyBorder="1" applyAlignment="1">
      <alignment horizontal="left" vertical="center"/>
    </xf>
    <xf numFmtId="0" fontId="39" fillId="25" borderId="1" xfId="0" applyFont="1" applyFill="1" applyBorder="1" applyAlignment="1">
      <alignment horizontal="left" vertical="center" wrapText="1"/>
    </xf>
    <xf numFmtId="0" fontId="31" fillId="34" borderId="1" xfId="0" applyFont="1" applyFill="1" applyBorder="1" applyAlignment="1">
      <alignment horizontal="center"/>
    </xf>
    <xf numFmtId="0" fontId="39" fillId="25" borderId="1" xfId="0" applyFont="1" applyFill="1" applyBorder="1" applyAlignment="1">
      <alignment horizontal="center" vertical="center"/>
    </xf>
    <xf numFmtId="0" fontId="39" fillId="34" borderId="1" xfId="0" applyFont="1" applyFill="1" applyBorder="1"/>
    <xf numFmtId="165" fontId="39" fillId="34" borderId="1" xfId="0" applyNumberFormat="1" applyFont="1" applyFill="1" applyBorder="1" applyAlignment="1">
      <alignment horizontal="center"/>
    </xf>
    <xf numFmtId="165" fontId="39" fillId="0" borderId="34" xfId="0" applyNumberFormat="1" applyFont="1" applyFill="1" applyBorder="1" applyAlignment="1">
      <alignment horizontal="center"/>
    </xf>
    <xf numFmtId="2" fontId="39" fillId="34" borderId="34" xfId="0" applyNumberFormat="1" applyFont="1" applyFill="1" applyBorder="1" applyAlignment="1">
      <alignment horizontal="center"/>
    </xf>
    <xf numFmtId="0" fontId="39" fillId="25" borderId="1" xfId="0" applyNumberFormat="1" applyFont="1" applyFill="1" applyBorder="1" applyAlignment="1" applyProtection="1">
      <alignment horizontal="center" wrapText="1"/>
    </xf>
    <xf numFmtId="0" fontId="39" fillId="25" borderId="34" xfId="0" applyNumberFormat="1" applyFont="1" applyFill="1" applyBorder="1" applyAlignment="1" applyProtection="1">
      <alignment wrapText="1"/>
    </xf>
    <xf numFmtId="0" fontId="39" fillId="25" borderId="1" xfId="0" applyNumberFormat="1" applyFont="1" applyFill="1" applyBorder="1" applyAlignment="1" applyProtection="1">
      <alignment wrapText="1"/>
    </xf>
    <xf numFmtId="0" fontId="39" fillId="25" borderId="34" xfId="0" applyNumberFormat="1" applyFont="1" applyFill="1" applyBorder="1" applyAlignment="1" applyProtection="1">
      <alignment horizontal="center" vertical="center" wrapText="1"/>
    </xf>
    <xf numFmtId="2" fontId="39" fillId="25" borderId="34" xfId="0" applyNumberFormat="1" applyFont="1" applyFill="1" applyBorder="1" applyAlignment="1">
      <alignment horizontal="center"/>
    </xf>
    <xf numFmtId="0" fontId="39" fillId="25" borderId="3" xfId="0" applyFont="1" applyFill="1" applyBorder="1" applyAlignment="1">
      <alignment horizontal="center" vertical="center"/>
    </xf>
    <xf numFmtId="165" fontId="39" fillId="25" borderId="1" xfId="0" applyNumberFormat="1" applyFont="1" applyFill="1" applyBorder="1" applyAlignment="1">
      <alignment horizontal="center" vertical="center"/>
    </xf>
    <xf numFmtId="0" fontId="39" fillId="42" borderId="3" xfId="0" applyFont="1" applyFill="1" applyBorder="1" applyAlignment="1">
      <alignment horizontal="center" vertical="center"/>
    </xf>
    <xf numFmtId="165" fontId="39" fillId="25" borderId="34" xfId="0" applyNumberFormat="1" applyFont="1" applyFill="1" applyBorder="1" applyAlignment="1">
      <alignment horizontal="center" vertical="center"/>
    </xf>
    <xf numFmtId="165" fontId="39" fillId="25" borderId="3" xfId="0" applyNumberFormat="1" applyFont="1" applyFill="1" applyBorder="1" applyAlignment="1">
      <alignment horizontal="center" vertical="center"/>
    </xf>
    <xf numFmtId="0" fontId="88" fillId="2" borderId="1" xfId="0" applyFont="1" applyFill="1" applyBorder="1"/>
    <xf numFmtId="0" fontId="87" fillId="2" borderId="63" xfId="0" applyFont="1" applyFill="1" applyBorder="1" applyAlignment="1">
      <alignment horizontal="center" vertical="center" wrapText="1"/>
    </xf>
    <xf numFmtId="0" fontId="88" fillId="0" borderId="0" xfId="0" applyFont="1"/>
    <xf numFmtId="0" fontId="88" fillId="25" borderId="1" xfId="0" applyFont="1" applyFill="1" applyBorder="1"/>
    <xf numFmtId="0" fontId="88" fillId="25" borderId="1" xfId="0" applyFont="1" applyFill="1" applyBorder="1" applyAlignment="1">
      <alignment horizontal="center"/>
    </xf>
    <xf numFmtId="0" fontId="88" fillId="33" borderId="1" xfId="0" applyFont="1" applyFill="1" applyBorder="1"/>
    <xf numFmtId="0" fontId="88" fillId="25" borderId="27" xfId="0" applyFont="1" applyFill="1" applyBorder="1"/>
    <xf numFmtId="0" fontId="88" fillId="34" borderId="1" xfId="0" applyFont="1" applyFill="1" applyBorder="1" applyAlignment="1"/>
    <xf numFmtId="0" fontId="88" fillId="34" borderId="16" xfId="0" applyFont="1" applyFill="1" applyBorder="1" applyAlignment="1"/>
    <xf numFmtId="0" fontId="88" fillId="0" borderId="1" xfId="0" applyFont="1" applyBorder="1"/>
    <xf numFmtId="0" fontId="88" fillId="0" borderId="108" xfId="0" applyFont="1" applyBorder="1"/>
    <xf numFmtId="0" fontId="88" fillId="0" borderId="16" xfId="0" applyFont="1" applyBorder="1"/>
    <xf numFmtId="0" fontId="31" fillId="35" borderId="1" xfId="0" applyFont="1" applyFill="1" applyBorder="1"/>
    <xf numFmtId="0" fontId="31" fillId="35" borderId="1" xfId="0" applyFont="1" applyFill="1" applyBorder="1" applyAlignment="1">
      <alignment horizontal="center"/>
    </xf>
    <xf numFmtId="0" fontId="31" fillId="35" borderId="1" xfId="0" applyFont="1" applyFill="1" applyBorder="1" applyAlignment="1"/>
    <xf numFmtId="0" fontId="39" fillId="33" borderId="1" xfId="0" applyFont="1" applyFill="1" applyBorder="1" applyAlignment="1"/>
    <xf numFmtId="0" fontId="39" fillId="0" borderId="1" xfId="0" applyFont="1" applyBorder="1" applyAlignment="1"/>
    <xf numFmtId="0" fontId="39" fillId="25" borderId="34" xfId="0" applyNumberFormat="1" applyFont="1" applyFill="1" applyBorder="1" applyAlignment="1" applyProtection="1">
      <alignment vertical="center" wrapText="1"/>
    </xf>
    <xf numFmtId="0" fontId="39" fillId="33" borderId="34" xfId="0" applyFont="1" applyFill="1" applyBorder="1" applyAlignment="1">
      <alignment horizontal="center"/>
    </xf>
    <xf numFmtId="0" fontId="39" fillId="0" borderId="2" xfId="0" applyFont="1" applyBorder="1"/>
    <xf numFmtId="0" fontId="39" fillId="25" borderId="9" xfId="0" applyNumberFormat="1" applyFont="1" applyFill="1" applyBorder="1" applyAlignment="1" applyProtection="1">
      <alignment vertical="center" wrapText="1"/>
    </xf>
    <xf numFmtId="0" fontId="39" fillId="34" borderId="9" xfId="0" applyFont="1" applyFill="1" applyBorder="1" applyAlignment="1">
      <alignment horizontal="center"/>
    </xf>
    <xf numFmtId="0" fontId="39" fillId="33" borderId="9" xfId="0" applyFont="1" applyFill="1" applyBorder="1" applyAlignment="1">
      <alignment horizontal="center"/>
    </xf>
    <xf numFmtId="0" fontId="39" fillId="0" borderId="9" xfId="0" applyFont="1" applyBorder="1" applyAlignment="1">
      <alignment horizontal="center"/>
    </xf>
    <xf numFmtId="0" fontId="39" fillId="33" borderId="9" xfId="0" applyFont="1" applyFill="1" applyBorder="1"/>
    <xf numFmtId="0" fontId="31" fillId="0" borderId="0" xfId="0" applyFont="1" applyBorder="1" applyAlignment="1">
      <alignment horizontal="left" vertical="top"/>
    </xf>
    <xf numFmtId="0" fontId="39" fillId="0" borderId="0" xfId="0" applyFont="1" applyBorder="1" applyAlignment="1">
      <alignment horizontal="center"/>
    </xf>
    <xf numFmtId="0" fontId="31" fillId="0" borderId="0" xfId="0" applyFont="1" applyAlignment="1">
      <alignment horizontal="left" vertical="top"/>
    </xf>
    <xf numFmtId="0" fontId="31" fillId="2" borderId="7" xfId="0" applyFont="1" applyFill="1" applyBorder="1" applyAlignment="1">
      <alignment horizontal="left"/>
    </xf>
    <xf numFmtId="0" fontId="31" fillId="2" borderId="41" xfId="0" applyFont="1" applyFill="1" applyBorder="1" applyAlignment="1">
      <alignment horizontal="left"/>
    </xf>
    <xf numFmtId="0" fontId="39" fillId="0" borderId="33" xfId="0" applyFont="1" applyBorder="1"/>
    <xf numFmtId="0" fontId="31" fillId="2" borderId="8" xfId="0" applyFont="1" applyFill="1" applyBorder="1" applyAlignment="1">
      <alignment horizontal="left"/>
    </xf>
    <xf numFmtId="0" fontId="31" fillId="2" borderId="50" xfId="0" applyFont="1" applyFill="1" applyBorder="1" applyAlignment="1">
      <alignment horizontal="left"/>
    </xf>
    <xf numFmtId="0" fontId="39" fillId="0" borderId="36" xfId="0" applyFont="1" applyBorder="1"/>
    <xf numFmtId="0" fontId="5" fillId="2" borderId="5" xfId="0" applyFont="1" applyFill="1" applyBorder="1" applyAlignment="1">
      <alignment horizontal="left"/>
    </xf>
    <xf numFmtId="0" fontId="5" fillId="2" borderId="80" xfId="0" applyFont="1" applyFill="1" applyBorder="1" applyAlignment="1">
      <alignment horizontal="left"/>
    </xf>
    <xf numFmtId="0" fontId="31" fillId="2" borderId="5" xfId="0" applyFont="1" applyFill="1" applyBorder="1" applyAlignment="1">
      <alignment horizontal="center" wrapText="1"/>
    </xf>
    <xf numFmtId="0" fontId="31" fillId="2" borderId="48" xfId="0" applyFont="1" applyFill="1" applyBorder="1" applyAlignment="1">
      <alignment horizontal="center" wrapText="1"/>
    </xf>
    <xf numFmtId="0" fontId="5" fillId="2" borderId="7" xfId="0" applyFont="1" applyFill="1" applyBorder="1" applyAlignment="1">
      <alignment horizontal="left"/>
    </xf>
    <xf numFmtId="0" fontId="5" fillId="2" borderId="2" xfId="0" applyFont="1" applyFill="1" applyBorder="1" applyAlignment="1">
      <alignment horizontal="left"/>
    </xf>
    <xf numFmtId="0" fontId="5" fillId="2" borderId="8" xfId="0" applyFont="1" applyFill="1" applyBorder="1" applyAlignment="1">
      <alignment horizontal="left"/>
    </xf>
    <xf numFmtId="0" fontId="5" fillId="2" borderId="81" xfId="0" applyFont="1" applyFill="1" applyBorder="1" applyAlignment="1">
      <alignment horizontal="left"/>
    </xf>
    <xf numFmtId="43" fontId="39" fillId="45" borderId="1" xfId="0" applyNumberFormat="1" applyFont="1" applyFill="1" applyBorder="1" applyAlignment="1">
      <alignment horizontal="center" vertical="center"/>
    </xf>
    <xf numFmtId="165" fontId="39" fillId="46" borderId="36" xfId="0" applyNumberFormat="1" applyFont="1" applyFill="1" applyBorder="1" applyAlignment="1">
      <alignment horizontal="center"/>
    </xf>
    <xf numFmtId="0" fontId="7" fillId="0" borderId="29" xfId="0" applyNumberFormat="1" applyFont="1" applyFill="1" applyBorder="1" applyAlignment="1" applyProtection="1">
      <alignment horizontal="center" vertical="center" wrapText="1"/>
    </xf>
    <xf numFmtId="0" fontId="39" fillId="33" borderId="2" xfId="0" applyFont="1" applyFill="1" applyBorder="1" applyAlignment="1">
      <alignment horizontal="center"/>
    </xf>
    <xf numFmtId="0" fontId="39" fillId="25" borderId="16" xfId="0" applyFont="1" applyFill="1" applyBorder="1" applyAlignment="1">
      <alignment horizontal="center"/>
    </xf>
    <xf numFmtId="0" fontId="39" fillId="25" borderId="2" xfId="0" applyFont="1" applyFill="1" applyBorder="1" applyAlignment="1">
      <alignment horizontal="center"/>
    </xf>
    <xf numFmtId="0" fontId="39" fillId="25" borderId="69" xfId="0" applyFont="1" applyFill="1" applyBorder="1" applyAlignment="1">
      <alignment horizontal="center"/>
    </xf>
    <xf numFmtId="0" fontId="31" fillId="2" borderId="21" xfId="0" applyFont="1" applyFill="1" applyBorder="1" applyAlignment="1">
      <alignment horizontal="center"/>
    </xf>
    <xf numFmtId="2" fontId="39" fillId="25" borderId="2" xfId="0" applyNumberFormat="1" applyFont="1" applyFill="1" applyBorder="1" applyAlignment="1">
      <alignment horizontal="center"/>
    </xf>
    <xf numFmtId="0" fontId="83" fillId="2" borderId="44" xfId="0" applyFont="1" applyFill="1" applyBorder="1" applyAlignment="1">
      <alignment horizontal="center" vertical="center"/>
    </xf>
    <xf numFmtId="0" fontId="39" fillId="25" borderId="1" xfId="0" applyFont="1" applyFill="1" applyBorder="1" applyAlignment="1">
      <alignment horizontal="center"/>
    </xf>
    <xf numFmtId="0" fontId="31" fillId="2" borderId="63" xfId="0" applyFont="1" applyFill="1" applyBorder="1" applyAlignment="1">
      <alignment horizontal="center"/>
    </xf>
    <xf numFmtId="0" fontId="43" fillId="25" borderId="12" xfId="0" applyNumberFormat="1" applyFont="1" applyFill="1" applyBorder="1" applyAlignment="1" applyProtection="1">
      <alignment horizontal="center" vertical="center" wrapText="1"/>
    </xf>
    <xf numFmtId="0" fontId="5" fillId="25" borderId="4" xfId="0" applyNumberFormat="1" applyFont="1" applyFill="1" applyBorder="1" applyAlignment="1" applyProtection="1">
      <alignment horizontal="center" vertical="center" wrapText="1"/>
    </xf>
    <xf numFmtId="0" fontId="5" fillId="25" borderId="109" xfId="0" applyNumberFormat="1" applyFont="1" applyFill="1" applyBorder="1" applyAlignment="1" applyProtection="1">
      <alignment horizontal="left" vertical="top" wrapText="1"/>
    </xf>
    <xf numFmtId="1" fontId="2" fillId="25" borderId="114" xfId="0" applyNumberFormat="1" applyFont="1" applyFill="1" applyBorder="1" applyAlignment="1">
      <alignment horizontal="center" vertical="center"/>
    </xf>
    <xf numFmtId="1" fontId="2" fillId="25" borderId="115" xfId="0" applyNumberFormat="1" applyFont="1" applyFill="1" applyBorder="1" applyAlignment="1">
      <alignment horizontal="center" vertical="center"/>
    </xf>
    <xf numFmtId="1" fontId="2" fillId="25" borderId="116" xfId="0" applyNumberFormat="1" applyFont="1" applyFill="1" applyBorder="1" applyAlignment="1">
      <alignment horizontal="center" vertical="center"/>
    </xf>
    <xf numFmtId="0" fontId="2" fillId="25" borderId="116" xfId="0" applyFont="1" applyFill="1" applyBorder="1" applyAlignment="1">
      <alignment horizontal="center" vertical="center"/>
    </xf>
    <xf numFmtId="2" fontId="2" fillId="25" borderId="116" xfId="0" applyNumberFormat="1" applyFont="1" applyFill="1" applyBorder="1" applyAlignment="1">
      <alignment horizontal="center" vertical="center"/>
    </xf>
    <xf numFmtId="44" fontId="2" fillId="25" borderId="116" xfId="53" applyFont="1" applyFill="1" applyBorder="1" applyAlignment="1" applyProtection="1">
      <alignment horizontal="center" vertical="center" wrapText="1"/>
    </xf>
    <xf numFmtId="170" fontId="2" fillId="25" borderId="116" xfId="610" applyNumberFormat="1" applyFont="1" applyFill="1" applyBorder="1" applyAlignment="1" applyProtection="1">
      <alignment horizontal="center" vertical="center" wrapText="1"/>
    </xf>
    <xf numFmtId="44" fontId="2" fillId="25" borderId="117" xfId="53" applyFont="1" applyFill="1" applyBorder="1" applyAlignment="1">
      <alignment horizontal="center" vertical="center"/>
    </xf>
    <xf numFmtId="0" fontId="82" fillId="0" borderId="111" xfId="0" applyFont="1" applyBorder="1" applyAlignment="1">
      <alignment horizontal="center" wrapText="1"/>
    </xf>
    <xf numFmtId="44" fontId="2" fillId="32" borderId="34" xfId="53" applyFont="1" applyFill="1" applyBorder="1" applyAlignment="1">
      <alignment horizontal="center" vertical="center"/>
    </xf>
    <xf numFmtId="170" fontId="2" fillId="32" borderId="34" xfId="610" applyNumberFormat="1" applyFont="1" applyFill="1" applyBorder="1" applyAlignment="1">
      <alignment horizontal="center" vertical="center"/>
    </xf>
    <xf numFmtId="0" fontId="5" fillId="25" borderId="4" xfId="0" applyNumberFormat="1" applyFont="1" applyFill="1" applyBorder="1" applyAlignment="1" applyProtection="1">
      <alignment horizontal="left" vertical="center" wrapText="1"/>
    </xf>
    <xf numFmtId="1" fontId="2" fillId="25" borderId="65" xfId="0" applyNumberFormat="1" applyFont="1" applyFill="1" applyBorder="1" applyAlignment="1">
      <alignment horizontal="center" vertical="center"/>
    </xf>
    <xf numFmtId="0" fontId="82" fillId="25" borderId="24" xfId="0" applyFont="1" applyFill="1" applyBorder="1" applyAlignment="1">
      <alignment horizontal="center"/>
    </xf>
    <xf numFmtId="43" fontId="31" fillId="25" borderId="36" xfId="0" applyNumberFormat="1" applyFont="1" applyFill="1" applyBorder="1"/>
    <xf numFmtId="165" fontId="39" fillId="0" borderId="33" xfId="0" applyNumberFormat="1" applyFont="1" applyBorder="1" applyAlignment="1">
      <alignment horizontal="center"/>
    </xf>
    <xf numFmtId="0" fontId="69" fillId="0" borderId="0" xfId="0" applyFont="1"/>
    <xf numFmtId="165" fontId="39" fillId="25" borderId="48" xfId="0" applyNumberFormat="1" applyFont="1" applyFill="1" applyBorder="1" applyAlignment="1">
      <alignment horizontal="center"/>
    </xf>
    <xf numFmtId="165" fontId="39" fillId="25" borderId="33" xfId="0" applyNumberFormat="1" applyFont="1" applyFill="1" applyBorder="1" applyAlignment="1">
      <alignment horizontal="center"/>
    </xf>
    <xf numFmtId="165" fontId="39" fillId="0" borderId="1" xfId="0" applyNumberFormat="1" applyFont="1" applyFill="1" applyBorder="1" applyAlignment="1">
      <alignment horizontal="center"/>
    </xf>
    <xf numFmtId="0" fontId="39" fillId="0" borderId="34" xfId="0" applyFont="1" applyFill="1" applyBorder="1" applyAlignment="1">
      <alignment horizontal="center"/>
    </xf>
    <xf numFmtId="165" fontId="39" fillId="0" borderId="9" xfId="0" applyNumberFormat="1" applyFont="1" applyFill="1" applyBorder="1" applyAlignment="1">
      <alignment horizontal="center" vertical="center"/>
    </xf>
    <xf numFmtId="43" fontId="31" fillId="0" borderId="8" xfId="0" applyNumberFormat="1" applyFont="1" applyFill="1" applyBorder="1"/>
    <xf numFmtId="165" fontId="39" fillId="0" borderId="48" xfId="0" applyNumberFormat="1" applyFont="1" applyBorder="1" applyAlignment="1">
      <alignment horizontal="center"/>
    </xf>
    <xf numFmtId="0" fontId="39" fillId="0" borderId="118" xfId="0" applyFont="1" applyBorder="1" applyAlignment="1">
      <alignment horizontal="center"/>
    </xf>
    <xf numFmtId="2" fontId="39" fillId="25" borderId="34" xfId="0" applyNumberFormat="1" applyFont="1" applyFill="1" applyBorder="1" applyAlignment="1">
      <alignment horizontal="center" vertical="center"/>
    </xf>
    <xf numFmtId="1" fontId="39" fillId="25" borderId="34" xfId="0" applyNumberFormat="1" applyFont="1" applyFill="1" applyBorder="1" applyAlignment="1">
      <alignment horizontal="center" vertical="center"/>
    </xf>
    <xf numFmtId="0" fontId="39" fillId="34" borderId="26" xfId="0" applyFont="1" applyFill="1" applyBorder="1" applyAlignment="1">
      <alignment horizontal="center"/>
    </xf>
    <xf numFmtId="0" fontId="39" fillId="34" borderId="16" xfId="0" applyFont="1" applyFill="1" applyBorder="1" applyAlignment="1">
      <alignment horizontal="center"/>
    </xf>
    <xf numFmtId="0" fontId="39" fillId="34" borderId="118" xfId="0" applyFont="1" applyFill="1" applyBorder="1" applyAlignment="1">
      <alignment horizontal="center"/>
    </xf>
    <xf numFmtId="0" fontId="39" fillId="34" borderId="116" xfId="0" applyFont="1" applyFill="1" applyBorder="1" applyAlignment="1">
      <alignment horizontal="center"/>
    </xf>
    <xf numFmtId="165" fontId="39" fillId="25" borderId="3" xfId="0" applyNumberFormat="1" applyFont="1" applyFill="1" applyBorder="1" applyAlignment="1" applyProtection="1">
      <alignment horizontal="center" vertical="center" wrapText="1"/>
    </xf>
    <xf numFmtId="165" fontId="39" fillId="0" borderId="1" xfId="0" applyNumberFormat="1" applyFont="1" applyFill="1" applyBorder="1" applyAlignment="1">
      <alignment horizontal="center" vertical="center"/>
    </xf>
    <xf numFmtId="10" fontId="2" fillId="0" borderId="47" xfId="1" applyNumberFormat="1" applyFont="1" applyFill="1" applyBorder="1" applyAlignment="1" applyProtection="1">
      <alignment horizontal="center" vertical="center" wrapText="1"/>
    </xf>
    <xf numFmtId="10" fontId="2" fillId="0" borderId="1" xfId="1" applyNumberFormat="1" applyFont="1" applyFill="1" applyBorder="1" applyAlignment="1" applyProtection="1">
      <alignment horizontal="center" vertical="center" wrapText="1"/>
    </xf>
    <xf numFmtId="10" fontId="2" fillId="0" borderId="3" xfId="1" applyNumberFormat="1"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10" fontId="2" fillId="32" borderId="34" xfId="1" applyNumberFormat="1" applyFont="1" applyFill="1" applyBorder="1" applyAlignment="1" applyProtection="1">
      <alignment horizontal="center" vertical="center" wrapText="1"/>
    </xf>
    <xf numFmtId="10" fontId="2" fillId="32" borderId="92" xfId="1" applyNumberFormat="1" applyFont="1" applyFill="1" applyBorder="1" applyAlignment="1" applyProtection="1">
      <alignment horizontal="center" vertical="center" wrapText="1"/>
    </xf>
    <xf numFmtId="10" fontId="2" fillId="32" borderId="9" xfId="1" applyNumberFormat="1" applyFont="1" applyFill="1" applyBorder="1" applyAlignment="1" applyProtection="1">
      <alignment horizontal="center" vertical="center" wrapText="1"/>
    </xf>
    <xf numFmtId="10" fontId="2" fillId="0" borderId="6" xfId="1" applyNumberFormat="1" applyFont="1" applyFill="1" applyBorder="1" applyAlignment="1">
      <alignment horizontal="center" vertical="center"/>
    </xf>
    <xf numFmtId="10" fontId="2" fillId="0" borderId="6" xfId="1" applyNumberFormat="1" applyFont="1" applyFill="1" applyBorder="1" applyAlignment="1" applyProtection="1">
      <alignment horizontal="center" vertical="center" wrapText="1"/>
    </xf>
    <xf numFmtId="10" fontId="2" fillId="0" borderId="1" xfId="1" applyNumberFormat="1" applyFont="1" applyFill="1" applyBorder="1" applyAlignment="1">
      <alignment horizontal="center" vertical="center"/>
    </xf>
    <xf numFmtId="10" fontId="2" fillId="0" borderId="9" xfId="1" applyNumberFormat="1" applyFont="1" applyFill="1" applyBorder="1" applyAlignment="1">
      <alignment horizontal="center" vertical="center"/>
    </xf>
    <xf numFmtId="10" fontId="2" fillId="32" borderId="34" xfId="1" applyNumberFormat="1" applyFont="1" applyFill="1" applyBorder="1" applyAlignment="1">
      <alignment horizontal="center" vertical="center"/>
    </xf>
    <xf numFmtId="10" fontId="2" fillId="32" borderId="1" xfId="1" applyNumberFormat="1" applyFont="1" applyFill="1" applyBorder="1" applyAlignment="1">
      <alignment horizontal="center" vertical="center"/>
    </xf>
    <xf numFmtId="10" fontId="2" fillId="32" borderId="3" xfId="1" applyNumberFormat="1" applyFont="1" applyFill="1" applyBorder="1" applyAlignment="1">
      <alignment horizontal="center" vertical="center"/>
    </xf>
    <xf numFmtId="10" fontId="2" fillId="25" borderId="63" xfId="1" applyNumberFormat="1" applyFont="1" applyFill="1" applyBorder="1" applyAlignment="1">
      <alignment horizontal="center" vertical="center"/>
    </xf>
    <xf numFmtId="10" fontId="2" fillId="32" borderId="63" xfId="1" applyNumberFormat="1" applyFont="1" applyFill="1" applyBorder="1" applyAlignment="1">
      <alignment horizontal="center" vertical="center"/>
    </xf>
    <xf numFmtId="10" fontId="2" fillId="0" borderId="34" xfId="1" applyNumberFormat="1" applyFont="1" applyFill="1" applyBorder="1" applyAlignment="1">
      <alignment horizontal="center" vertical="center"/>
    </xf>
    <xf numFmtId="10" fontId="2" fillId="0" borderId="3" xfId="1" applyNumberFormat="1" applyFont="1" applyFill="1" applyBorder="1" applyAlignment="1">
      <alignment horizontal="center" vertical="center"/>
    </xf>
    <xf numFmtId="10" fontId="2" fillId="31" borderId="2" xfId="1" applyNumberFormat="1" applyFont="1" applyFill="1" applyBorder="1" applyAlignment="1">
      <alignment horizontal="center" vertical="center"/>
    </xf>
    <xf numFmtId="10" fontId="2" fillId="0" borderId="92" xfId="1" applyNumberFormat="1" applyFont="1" applyFill="1" applyBorder="1" applyAlignment="1">
      <alignment horizontal="center" vertical="center"/>
    </xf>
    <xf numFmtId="10" fontId="2" fillId="0" borderId="47" xfId="1" applyNumberFormat="1" applyFont="1" applyFill="1" applyBorder="1" applyAlignment="1">
      <alignment horizontal="center" vertical="center"/>
    </xf>
    <xf numFmtId="10" fontId="2" fillId="0" borderId="1" xfId="1" applyNumberFormat="1" applyFont="1" applyBorder="1" applyAlignment="1">
      <alignment horizontal="center" vertical="center"/>
    </xf>
    <xf numFmtId="10" fontId="2" fillId="0" borderId="116" xfId="1" applyNumberFormat="1" applyFont="1" applyFill="1" applyBorder="1" applyAlignment="1" applyProtection="1">
      <alignment horizontal="center" vertical="center" wrapText="1"/>
    </xf>
    <xf numFmtId="10" fontId="2" fillId="32" borderId="49" xfId="1" applyNumberFormat="1" applyFont="1" applyFill="1" applyBorder="1" applyAlignment="1">
      <alignment horizontal="center" vertical="center"/>
    </xf>
    <xf numFmtId="10" fontId="2" fillId="25" borderId="6" xfId="1" applyNumberFormat="1" applyFont="1" applyFill="1" applyBorder="1" applyAlignment="1">
      <alignment horizontal="center" vertical="center"/>
    </xf>
    <xf numFmtId="10" fontId="2" fillId="25" borderId="1" xfId="1" applyNumberFormat="1" applyFont="1" applyFill="1" applyBorder="1" applyAlignment="1">
      <alignment horizontal="center" vertical="center"/>
    </xf>
    <xf numFmtId="10" fontId="2" fillId="25" borderId="3" xfId="1" applyNumberFormat="1" applyFont="1" applyFill="1" applyBorder="1" applyAlignment="1">
      <alignment horizontal="center" vertical="center"/>
    </xf>
    <xf numFmtId="10" fontId="2" fillId="31" borderId="2" xfId="0" applyNumberFormat="1" applyFont="1" applyFill="1" applyBorder="1" applyAlignment="1">
      <alignment vertical="center"/>
    </xf>
    <xf numFmtId="10" fontId="2" fillId="25" borderId="34" xfId="1" applyNumberFormat="1" applyFont="1" applyFill="1" applyBorder="1" applyAlignment="1">
      <alignment horizontal="center" vertical="center"/>
    </xf>
    <xf numFmtId="0" fontId="7" fillId="0" borderId="119" xfId="0" applyNumberFormat="1" applyFont="1" applyFill="1" applyBorder="1" applyAlignment="1" applyProtection="1">
      <alignment vertical="center" wrapText="1"/>
    </xf>
    <xf numFmtId="0" fontId="7" fillId="0" borderId="120" xfId="0" applyNumberFormat="1" applyFont="1" applyFill="1" applyBorder="1" applyAlignment="1" applyProtection="1">
      <alignment horizontal="center" vertical="center" wrapText="1"/>
    </xf>
    <xf numFmtId="0" fontId="7" fillId="0" borderId="121" xfId="0" applyNumberFormat="1" applyFont="1" applyFill="1" applyBorder="1" applyAlignment="1" applyProtection="1">
      <alignment horizontal="center" vertical="center" wrapText="1"/>
    </xf>
    <xf numFmtId="0" fontId="2" fillId="27" borderId="13" xfId="610" applyNumberFormat="1" applyFont="1" applyFill="1" applyBorder="1" applyAlignment="1" applyProtection="1">
      <alignment horizontal="center" vertical="center" wrapText="1"/>
      <protection locked="0"/>
    </xf>
    <xf numFmtId="0" fontId="2" fillId="27" borderId="28" xfId="610" applyNumberFormat="1" applyFont="1" applyFill="1" applyBorder="1" applyAlignment="1" applyProtection="1">
      <alignment horizontal="center" vertical="center" wrapText="1"/>
      <protection locked="0"/>
    </xf>
    <xf numFmtId="0" fontId="57" fillId="36" borderId="19" xfId="54" applyFont="1" applyFill="1" applyBorder="1" applyAlignment="1" applyProtection="1">
      <alignment horizontal="justify" wrapText="1"/>
    </xf>
    <xf numFmtId="0" fontId="57" fillId="36" borderId="45" xfId="54" applyFont="1" applyFill="1" applyBorder="1" applyAlignment="1" applyProtection="1">
      <alignment horizontal="justify" wrapText="1"/>
    </xf>
    <xf numFmtId="0" fontId="57" fillId="27" borderId="35" xfId="54" applyFont="1" applyFill="1" applyBorder="1" applyAlignment="1" applyProtection="1">
      <alignment horizontal="left" wrapText="1"/>
    </xf>
    <xf numFmtId="0" fontId="57" fillId="27" borderId="46" xfId="54" applyFont="1" applyFill="1" applyBorder="1" applyAlignment="1" applyProtection="1">
      <alignment horizontal="left" wrapText="1"/>
    </xf>
    <xf numFmtId="0" fontId="1" fillId="0" borderId="18" xfId="0" applyFont="1" applyBorder="1" applyAlignment="1">
      <alignment horizontal="left" vertical="center" wrapText="1"/>
    </xf>
    <xf numFmtId="0" fontId="1" fillId="0" borderId="107" xfId="0" applyFont="1" applyBorder="1" applyAlignment="1">
      <alignment horizontal="left" vertical="center" wrapText="1"/>
    </xf>
    <xf numFmtId="0" fontId="3" fillId="2" borderId="17" xfId="0" applyNumberFormat="1" applyFont="1" applyFill="1" applyBorder="1" applyAlignment="1" applyProtection="1">
      <alignment horizontal="center" vertical="top" textRotation="90" shrinkToFit="1"/>
    </xf>
    <xf numFmtId="0" fontId="3" fillId="2" borderId="22" xfId="0" applyNumberFormat="1" applyFont="1" applyFill="1" applyBorder="1" applyAlignment="1" applyProtection="1">
      <alignment horizontal="center" vertical="top" textRotation="90" shrinkToFit="1"/>
    </xf>
    <xf numFmtId="0" fontId="4" fillId="25" borderId="2" xfId="0" applyNumberFormat="1" applyFont="1" applyFill="1" applyBorder="1" applyAlignment="1" applyProtection="1">
      <alignment horizontal="center" vertical="center" wrapText="1"/>
    </xf>
    <xf numFmtId="0" fontId="2" fillId="25" borderId="30" xfId="0" applyNumberFormat="1" applyFont="1" applyFill="1" applyBorder="1" applyAlignment="1" applyProtection="1">
      <alignment horizontal="center" vertical="center" wrapText="1"/>
    </xf>
    <xf numFmtId="0" fontId="4" fillId="0" borderId="29" xfId="0" applyNumberFormat="1" applyFont="1" applyFill="1" applyBorder="1" applyAlignment="1" applyProtection="1">
      <alignment horizontal="left" vertical="center" wrapText="1"/>
    </xf>
    <xf numFmtId="0" fontId="4" fillId="0" borderId="22" xfId="0" applyNumberFormat="1" applyFont="1" applyFill="1" applyBorder="1" applyAlignment="1" applyProtection="1">
      <alignment horizontal="left" vertical="center" wrapText="1"/>
    </xf>
    <xf numFmtId="0" fontId="4" fillId="0" borderId="29" xfId="0" applyNumberFormat="1" applyFont="1" applyFill="1" applyBorder="1" applyAlignment="1" applyProtection="1">
      <alignment horizontal="center" vertical="center" wrapText="1"/>
    </xf>
    <xf numFmtId="0" fontId="4" fillId="0" borderId="28" xfId="0" applyNumberFormat="1" applyFont="1" applyFill="1" applyBorder="1" applyAlignment="1" applyProtection="1">
      <alignment horizontal="center" vertical="center" wrapText="1"/>
    </xf>
    <xf numFmtId="0" fontId="4" fillId="25" borderId="20" xfId="0" applyNumberFormat="1" applyFont="1" applyFill="1" applyBorder="1" applyAlignment="1" applyProtection="1">
      <alignment horizontal="center" vertical="center" wrapText="1"/>
    </xf>
    <xf numFmtId="0" fontId="4" fillId="25" borderId="42" xfId="0" applyNumberFormat="1" applyFont="1" applyFill="1" applyBorder="1" applyAlignment="1" applyProtection="1">
      <alignment horizontal="center" vertical="center" wrapText="1"/>
    </xf>
    <xf numFmtId="0" fontId="4" fillId="25" borderId="15" xfId="0" applyNumberFormat="1" applyFont="1" applyFill="1" applyBorder="1" applyAlignment="1" applyProtection="1">
      <alignment horizontal="center" vertical="center" wrapText="1"/>
    </xf>
    <xf numFmtId="0" fontId="4" fillId="25" borderId="32" xfId="0" applyNumberFormat="1" applyFont="1" applyFill="1" applyBorder="1" applyAlignment="1" applyProtection="1">
      <alignment horizontal="center" vertical="center" wrapText="1"/>
    </xf>
    <xf numFmtId="0" fontId="4" fillId="25" borderId="37" xfId="0" applyNumberFormat="1" applyFont="1" applyFill="1" applyBorder="1" applyAlignment="1" applyProtection="1">
      <alignment horizontal="center" vertical="center" wrapText="1"/>
    </xf>
    <xf numFmtId="0" fontId="1" fillId="0" borderId="109" xfId="0" applyFont="1" applyBorder="1" applyAlignment="1">
      <alignment horizontal="left" vertical="center" wrapText="1"/>
    </xf>
    <xf numFmtId="0" fontId="4" fillId="0" borderId="19" xfId="0" applyNumberFormat="1" applyFont="1" applyFill="1" applyBorder="1" applyAlignment="1" applyProtection="1">
      <alignment horizontal="center" vertical="center" wrapText="1"/>
    </xf>
    <xf numFmtId="0" fontId="4" fillId="0" borderId="4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32" xfId="0" applyNumberFormat="1" applyFont="1" applyFill="1" applyBorder="1" applyAlignment="1" applyProtection="1">
      <alignment horizontal="center" vertical="center" wrapText="1"/>
    </xf>
    <xf numFmtId="0" fontId="4" fillId="0" borderId="110" xfId="0" applyNumberFormat="1" applyFont="1" applyFill="1" applyBorder="1" applyAlignment="1" applyProtection="1">
      <alignment horizontal="center" vertical="center" wrapText="1"/>
    </xf>
    <xf numFmtId="0" fontId="4" fillId="0" borderId="111" xfId="0" applyNumberFormat="1" applyFont="1" applyFill="1" applyBorder="1" applyAlignment="1" applyProtection="1">
      <alignment horizontal="center" vertical="center" wrapText="1"/>
    </xf>
    <xf numFmtId="0" fontId="2" fillId="25" borderId="10" xfId="0" applyNumberFormat="1" applyFont="1" applyFill="1" applyBorder="1" applyAlignment="1" applyProtection="1">
      <alignment horizontal="center" vertical="center" wrapText="1"/>
    </xf>
    <xf numFmtId="0" fontId="5" fillId="0" borderId="18" xfId="0" applyNumberFormat="1" applyFont="1" applyFill="1" applyBorder="1" applyAlignment="1" applyProtection="1">
      <alignment horizontal="left" vertical="top" wrapText="1"/>
    </xf>
    <xf numFmtId="0" fontId="5" fillId="0" borderId="17" xfId="0" applyNumberFormat="1" applyFont="1" applyFill="1" applyBorder="1" applyAlignment="1" applyProtection="1">
      <alignment horizontal="left" vertical="top" wrapText="1"/>
    </xf>
    <xf numFmtId="0" fontId="5" fillId="0" borderId="22" xfId="0" applyNumberFormat="1" applyFont="1" applyFill="1" applyBorder="1" applyAlignment="1" applyProtection="1">
      <alignment horizontal="left" vertical="top" wrapText="1"/>
    </xf>
    <xf numFmtId="0" fontId="2" fillId="25" borderId="20" xfId="0" applyNumberFormat="1" applyFont="1" applyFill="1" applyBorder="1" applyAlignment="1" applyProtection="1">
      <alignment horizontal="center" vertical="center" wrapText="1"/>
    </xf>
    <xf numFmtId="0" fontId="2" fillId="25" borderId="42" xfId="0" applyNumberFormat="1" applyFont="1" applyFill="1" applyBorder="1" applyAlignment="1" applyProtection="1">
      <alignment horizontal="center" vertical="center" wrapText="1"/>
    </xf>
    <xf numFmtId="0" fontId="2" fillId="25" borderId="35" xfId="0" applyNumberFormat="1" applyFont="1" applyFill="1" applyBorder="1" applyAlignment="1" applyProtection="1">
      <alignment horizontal="center" vertical="center" wrapText="1"/>
    </xf>
    <xf numFmtId="0" fontId="2" fillId="25" borderId="46" xfId="0" applyNumberFormat="1" applyFont="1" applyFill="1" applyBorder="1" applyAlignment="1" applyProtection="1">
      <alignment horizontal="center" vertical="center" wrapText="1"/>
    </xf>
    <xf numFmtId="0" fontId="2" fillId="25" borderId="15" xfId="0" applyNumberFormat="1" applyFont="1" applyFill="1" applyBorder="1" applyAlignment="1" applyProtection="1">
      <alignment horizontal="center" vertical="center" wrapText="1"/>
    </xf>
    <xf numFmtId="0" fontId="2" fillId="25" borderId="32"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center" wrapText="1"/>
    </xf>
    <xf numFmtId="0" fontId="4" fillId="0" borderId="28" xfId="0" applyNumberFormat="1" applyFont="1" applyFill="1" applyBorder="1" applyAlignment="1" applyProtection="1">
      <alignment horizontal="left" vertical="center" wrapText="1"/>
    </xf>
    <xf numFmtId="0" fontId="4" fillId="25" borderId="10" xfId="0" applyNumberFormat="1" applyFont="1" applyFill="1" applyBorder="1" applyAlignment="1" applyProtection="1">
      <alignment horizontal="center" vertical="center" wrapText="1"/>
    </xf>
    <xf numFmtId="0" fontId="4" fillId="25" borderId="30"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left" vertical="top" wrapText="1"/>
    </xf>
    <xf numFmtId="0" fontId="3" fillId="0" borderId="17" xfId="0" applyNumberFormat="1" applyFont="1" applyFill="1" applyBorder="1" applyAlignment="1" applyProtection="1">
      <alignment horizontal="left" vertical="top" wrapText="1"/>
    </xf>
    <xf numFmtId="0" fontId="3" fillId="0" borderId="22" xfId="0" applyNumberFormat="1" applyFont="1" applyFill="1" applyBorder="1" applyAlignment="1" applyProtection="1">
      <alignment horizontal="left" vertical="top" wrapText="1"/>
    </xf>
    <xf numFmtId="0" fontId="3" fillId="0" borderId="18" xfId="0" applyNumberFormat="1" applyFont="1" applyFill="1" applyBorder="1" applyAlignment="1" applyProtection="1">
      <alignment horizontal="left" vertical="top" wrapText="1"/>
    </xf>
    <xf numFmtId="0" fontId="2" fillId="25" borderId="41" xfId="0" applyNumberFormat="1" applyFont="1" applyFill="1" applyBorder="1" applyAlignment="1" applyProtection="1">
      <alignment horizontal="center" vertical="center" wrapText="1"/>
    </xf>
    <xf numFmtId="0" fontId="2" fillId="25" borderId="16" xfId="0" applyNumberFormat="1" applyFont="1" applyFill="1" applyBorder="1" applyAlignment="1" applyProtection="1">
      <alignment horizontal="center" vertical="center" wrapText="1"/>
    </xf>
    <xf numFmtId="0" fontId="5" fillId="2" borderId="18" xfId="0" applyNumberFormat="1" applyFont="1" applyFill="1" applyBorder="1" applyAlignment="1" applyProtection="1">
      <alignment horizontal="left" vertical="top" textRotation="90" wrapText="1"/>
    </xf>
    <xf numFmtId="0" fontId="5" fillId="2" borderId="17" xfId="0" applyNumberFormat="1" applyFont="1" applyFill="1" applyBorder="1" applyAlignment="1" applyProtection="1">
      <alignment horizontal="left" vertical="top" textRotation="90" wrapText="1"/>
    </xf>
    <xf numFmtId="0" fontId="1" fillId="25" borderId="2" xfId="0" applyFont="1" applyFill="1" applyBorder="1" applyAlignment="1">
      <alignment horizontal="center" vertical="center"/>
    </xf>
    <xf numFmtId="0" fontId="1" fillId="25" borderId="30" xfId="0" applyFont="1" applyFill="1" applyBorder="1" applyAlignment="1">
      <alignment horizontal="center" vertical="center"/>
    </xf>
    <xf numFmtId="0" fontId="4" fillId="25" borderId="41" xfId="0" applyNumberFormat="1" applyFont="1" applyFill="1" applyBorder="1" applyAlignment="1" applyProtection="1">
      <alignment horizontal="center" vertical="center" wrapText="1"/>
    </xf>
    <xf numFmtId="0" fontId="2" fillId="25" borderId="33" xfId="0" applyNumberFormat="1" applyFont="1" applyFill="1" applyBorder="1" applyAlignment="1" applyProtection="1">
      <alignment horizontal="center" vertical="center" wrapText="1"/>
    </xf>
    <xf numFmtId="0" fontId="3" fillId="2" borderId="18" xfId="0" applyNumberFormat="1" applyFont="1" applyFill="1" applyBorder="1" applyAlignment="1" applyProtection="1">
      <alignment horizontal="center" vertical="top" textRotation="90" wrapText="1"/>
    </xf>
    <xf numFmtId="0" fontId="3" fillId="2" borderId="22" xfId="0" applyNumberFormat="1" applyFont="1" applyFill="1" applyBorder="1" applyAlignment="1" applyProtection="1">
      <alignment horizontal="center" vertical="top" textRotation="90" wrapText="1"/>
    </xf>
    <xf numFmtId="0" fontId="5" fillId="25" borderId="18" xfId="0" applyNumberFormat="1" applyFont="1" applyFill="1" applyBorder="1" applyAlignment="1" applyProtection="1">
      <alignment horizontal="left" vertical="top" wrapText="1"/>
    </xf>
    <xf numFmtId="0" fontId="5" fillId="25" borderId="22" xfId="0" applyNumberFormat="1" applyFont="1" applyFill="1" applyBorder="1" applyAlignment="1" applyProtection="1">
      <alignment horizontal="left" vertical="top" wrapText="1"/>
    </xf>
    <xf numFmtId="0" fontId="2" fillId="25" borderId="43" xfId="0" applyNumberFormat="1" applyFont="1" applyFill="1" applyBorder="1" applyAlignment="1" applyProtection="1">
      <alignment horizontal="center" vertical="center" wrapText="1"/>
    </xf>
    <xf numFmtId="0" fontId="2" fillId="25" borderId="78" xfId="0" applyNumberFormat="1" applyFont="1" applyFill="1" applyBorder="1" applyAlignment="1" applyProtection="1">
      <alignment horizontal="center" vertical="center" wrapText="1"/>
    </xf>
    <xf numFmtId="0" fontId="1" fillId="0" borderId="29" xfId="0" applyFont="1" applyBorder="1" applyAlignment="1">
      <alignment horizontal="left" vertical="center" wrapText="1"/>
    </xf>
    <xf numFmtId="0" fontId="1" fillId="0" borderId="22" xfId="0" applyFont="1" applyBorder="1" applyAlignment="1">
      <alignment horizontal="left" vertical="center" wrapText="1"/>
    </xf>
    <xf numFmtId="0" fontId="3" fillId="2" borderId="18" xfId="0" applyNumberFormat="1" applyFont="1" applyFill="1" applyBorder="1" applyAlignment="1" applyProtection="1">
      <alignment horizontal="left" vertical="top" textRotation="90" shrinkToFit="1"/>
    </xf>
    <xf numFmtId="0" fontId="3" fillId="2" borderId="17" xfId="0" applyNumberFormat="1" applyFont="1" applyFill="1" applyBorder="1" applyAlignment="1" applyProtection="1">
      <alignment horizontal="left" vertical="top" textRotation="90" shrinkToFit="1"/>
    </xf>
    <xf numFmtId="0" fontId="3" fillId="2" borderId="22" xfId="0" applyNumberFormat="1" applyFont="1" applyFill="1" applyBorder="1" applyAlignment="1" applyProtection="1">
      <alignment horizontal="left" vertical="top" textRotation="90" shrinkToFit="1"/>
    </xf>
    <xf numFmtId="0" fontId="2" fillId="27" borderId="10" xfId="0" applyNumberFormat="1" applyFont="1" applyFill="1" applyBorder="1" applyAlignment="1" applyProtection="1">
      <alignment horizontal="center" vertical="center" wrapText="1"/>
      <protection locked="0"/>
    </xf>
    <xf numFmtId="0" fontId="2" fillId="27" borderId="30" xfId="0"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25"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88" xfId="0" applyNumberFormat="1" applyFont="1" applyFill="1" applyBorder="1" applyAlignment="1" applyProtection="1">
      <alignment horizontal="center" vertical="center" wrapText="1"/>
    </xf>
    <xf numFmtId="0" fontId="2" fillId="0" borderId="27" xfId="0" applyNumberFormat="1" applyFont="1" applyFill="1" applyBorder="1" applyAlignment="1" applyProtection="1">
      <alignment horizontal="center" vertical="center" wrapText="1"/>
    </xf>
    <xf numFmtId="0" fontId="2" fillId="0" borderId="61" xfId="0" applyNumberFormat="1" applyFont="1" applyFill="1" applyBorder="1" applyAlignment="1" applyProtection="1">
      <alignment horizontal="center" vertical="center" wrapText="1"/>
    </xf>
    <xf numFmtId="0" fontId="2" fillId="0" borderId="82" xfId="0" applyNumberFormat="1" applyFont="1" applyFill="1" applyBorder="1" applyAlignment="1" applyProtection="1">
      <alignment horizontal="center" vertical="center" wrapText="1"/>
    </xf>
    <xf numFmtId="0" fontId="2" fillId="2" borderId="23" xfId="0" applyNumberFormat="1" applyFont="1" applyFill="1" applyBorder="1" applyAlignment="1" applyProtection="1">
      <alignment horizontal="center" wrapText="1"/>
    </xf>
    <xf numFmtId="0" fontId="2" fillId="2" borderId="24" xfId="0" applyNumberFormat="1" applyFont="1" applyFill="1" applyBorder="1" applyAlignment="1" applyProtection="1">
      <alignment horizontal="center" wrapText="1"/>
    </xf>
    <xf numFmtId="0" fontId="44" fillId="0" borderId="29"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xf>
    <xf numFmtId="0" fontId="7" fillId="0" borderId="28" xfId="0" applyNumberFormat="1" applyFont="1" applyFill="1" applyBorder="1" applyAlignment="1" applyProtection="1">
      <alignment horizontal="center" vertical="center" wrapText="1"/>
    </xf>
    <xf numFmtId="0" fontId="44" fillId="0" borderId="17" xfId="0" applyNumberFormat="1" applyFont="1" applyFill="1" applyBorder="1" applyAlignment="1" applyProtection="1">
      <alignment horizontal="center" vertical="center" wrapText="1"/>
    </xf>
    <xf numFmtId="0" fontId="44" fillId="0" borderId="28" xfId="0" applyNumberFormat="1" applyFont="1" applyFill="1" applyBorder="1" applyAlignment="1" applyProtection="1">
      <alignment horizontal="center" vertical="center" wrapText="1"/>
    </xf>
    <xf numFmtId="0" fontId="4" fillId="25" borderId="16"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7" fillId="0" borderId="107" xfId="0" applyNumberFormat="1" applyFont="1" applyFill="1" applyBorder="1" applyAlignment="1" applyProtection="1">
      <alignment horizontal="center" vertical="center" wrapText="1"/>
    </xf>
    <xf numFmtId="0" fontId="4" fillId="25" borderId="83" xfId="0" applyNumberFormat="1" applyFont="1" applyFill="1" applyBorder="1" applyAlignment="1" applyProtection="1">
      <alignment horizontal="center" vertical="top" wrapText="1"/>
    </xf>
    <xf numFmtId="0" fontId="2" fillId="25" borderId="42" xfId="0" applyNumberFormat="1" applyFont="1" applyFill="1" applyBorder="1" applyAlignment="1" applyProtection="1">
      <alignment horizontal="center" vertical="top" wrapText="1"/>
    </xf>
    <xf numFmtId="0" fontId="2" fillId="25" borderId="44" xfId="0" applyNumberFormat="1" applyFont="1" applyFill="1" applyBorder="1" applyAlignment="1" applyProtection="1">
      <alignment horizontal="center" vertical="top" wrapText="1"/>
    </xf>
    <xf numFmtId="0" fontId="2" fillId="25" borderId="78" xfId="0" applyNumberFormat="1" applyFont="1" applyFill="1" applyBorder="1" applyAlignment="1" applyProtection="1">
      <alignment horizontal="center" vertical="top" wrapText="1"/>
    </xf>
    <xf numFmtId="0" fontId="8" fillId="2" borderId="23" xfId="0" applyFont="1" applyFill="1" applyBorder="1" applyAlignment="1">
      <alignment horizontal="center" wrapText="1"/>
    </xf>
    <xf numFmtId="0" fontId="8" fillId="2" borderId="21" xfId="0" applyFont="1" applyFill="1" applyBorder="1" applyAlignment="1">
      <alignment horizontal="center" wrapText="1"/>
    </xf>
    <xf numFmtId="0" fontId="8" fillId="2" borderId="24" xfId="0" applyFont="1" applyFill="1" applyBorder="1" applyAlignment="1">
      <alignment horizontal="center" wrapText="1"/>
    </xf>
    <xf numFmtId="0" fontId="5" fillId="2" borderId="18" xfId="0" applyNumberFormat="1" applyFont="1" applyFill="1" applyBorder="1" applyAlignment="1" applyProtection="1">
      <alignment horizontal="center" vertical="top" textRotation="90" wrapText="1"/>
    </xf>
    <xf numFmtId="0" fontId="5" fillId="2" borderId="17" xfId="0" applyNumberFormat="1" applyFont="1" applyFill="1" applyBorder="1" applyAlignment="1" applyProtection="1">
      <alignment horizontal="center" vertical="top" textRotation="90" wrapText="1"/>
    </xf>
    <xf numFmtId="0" fontId="5" fillId="2" borderId="22" xfId="0" applyNumberFormat="1" applyFont="1" applyFill="1" applyBorder="1" applyAlignment="1" applyProtection="1">
      <alignment horizontal="center" vertical="top" textRotation="90" wrapText="1"/>
    </xf>
    <xf numFmtId="0" fontId="3" fillId="0" borderId="15" xfId="0" applyNumberFormat="1" applyFont="1" applyFill="1" applyBorder="1" applyAlignment="1" applyProtection="1">
      <alignment vertical="top" wrapText="1"/>
    </xf>
    <xf numFmtId="0" fontId="3" fillId="0" borderId="10" xfId="0" applyNumberFormat="1" applyFont="1" applyFill="1" applyBorder="1" applyAlignment="1" applyProtection="1">
      <alignment vertical="top" wrapText="1"/>
    </xf>
    <xf numFmtId="0" fontId="3" fillId="0" borderId="13" xfId="0" applyNumberFormat="1" applyFont="1" applyFill="1" applyBorder="1" applyAlignment="1" applyProtection="1">
      <alignment horizontal="left" vertical="top" wrapText="1"/>
    </xf>
    <xf numFmtId="0" fontId="5" fillId="0" borderId="13" xfId="0" applyNumberFormat="1" applyFont="1" applyFill="1" applyBorder="1" applyAlignment="1" applyProtection="1">
      <alignment horizontal="left" vertical="top" wrapText="1"/>
    </xf>
    <xf numFmtId="0" fontId="5" fillId="0" borderId="10" xfId="0" applyNumberFormat="1" applyFont="1" applyFill="1" applyBorder="1" applyAlignment="1" applyProtection="1">
      <alignment horizontal="left" vertical="top" wrapText="1"/>
    </xf>
    <xf numFmtId="0" fontId="5" fillId="2" borderId="23" xfId="0" applyNumberFormat="1" applyFont="1" applyFill="1" applyBorder="1" applyAlignment="1" applyProtection="1">
      <alignment horizontal="center" wrapText="1"/>
    </xf>
    <xf numFmtId="0" fontId="5" fillId="2" borderId="24" xfId="0" applyNumberFormat="1" applyFont="1" applyFill="1" applyBorder="1" applyAlignment="1" applyProtection="1">
      <alignment horizontal="center" wrapText="1"/>
    </xf>
    <xf numFmtId="0" fontId="2" fillId="0" borderId="38" xfId="0" applyNumberFormat="1" applyFont="1" applyFill="1" applyBorder="1" applyAlignment="1" applyProtection="1">
      <alignment horizontal="center" vertical="center" wrapText="1"/>
    </xf>
    <xf numFmtId="0" fontId="2" fillId="0" borderId="2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0" xfId="0" applyNumberFormat="1" applyFont="1" applyFill="1" applyBorder="1" applyAlignment="1" applyProtection="1">
      <alignment horizontal="center" vertical="center" wrapText="1"/>
    </xf>
    <xf numFmtId="0" fontId="31" fillId="25" borderId="23" xfId="0" applyNumberFormat="1" applyFont="1" applyFill="1" applyBorder="1" applyAlignment="1" applyProtection="1">
      <alignment horizontal="right" vertical="center" wrapText="1"/>
    </xf>
    <xf numFmtId="0" fontId="31" fillId="25" borderId="24" xfId="0" applyNumberFormat="1" applyFont="1" applyFill="1" applyBorder="1" applyAlignment="1" applyProtection="1">
      <alignment horizontal="right" vertical="center" wrapText="1"/>
    </xf>
    <xf numFmtId="0" fontId="10" fillId="27" borderId="23" xfId="0" applyFont="1" applyFill="1" applyBorder="1" applyAlignment="1" applyProtection="1">
      <alignment horizontal="left" vertical="center"/>
      <protection locked="0"/>
    </xf>
    <xf numFmtId="0" fontId="10" fillId="27" borderId="24" xfId="0" applyFont="1" applyFill="1" applyBorder="1" applyAlignment="1" applyProtection="1">
      <alignment horizontal="left" vertical="center"/>
      <protection locked="0"/>
    </xf>
    <xf numFmtId="0" fontId="31" fillId="25" borderId="43" xfId="0" applyNumberFormat="1" applyFont="1" applyFill="1" applyBorder="1" applyAlignment="1" applyProtection="1">
      <alignment horizontal="right" vertical="center" wrapText="1"/>
    </xf>
    <xf numFmtId="0" fontId="31" fillId="25" borderId="78" xfId="0" applyNumberFormat="1" applyFont="1" applyFill="1" applyBorder="1" applyAlignment="1" applyProtection="1">
      <alignment horizontal="right" vertical="center" wrapText="1"/>
    </xf>
    <xf numFmtId="0" fontId="31" fillId="25" borderId="19" xfId="0" applyNumberFormat="1" applyFont="1" applyFill="1" applyBorder="1" applyAlignment="1" applyProtection="1">
      <alignment horizontal="right" vertical="center" wrapText="1"/>
    </xf>
    <xf numFmtId="0" fontId="31" fillId="25" borderId="45" xfId="0" applyNumberFormat="1" applyFont="1" applyFill="1" applyBorder="1" applyAlignment="1" applyProtection="1">
      <alignment horizontal="right" vertical="center" wrapText="1"/>
    </xf>
    <xf numFmtId="0" fontId="70" fillId="25" borderId="21" xfId="0" applyNumberFormat="1" applyFont="1" applyFill="1" applyBorder="1" applyAlignment="1" applyProtection="1">
      <alignment horizontal="center" vertical="center" wrapText="1"/>
    </xf>
    <xf numFmtId="0" fontId="7" fillId="25" borderId="18" xfId="0" applyNumberFormat="1" applyFont="1" applyFill="1" applyBorder="1" applyAlignment="1" applyProtection="1">
      <alignment horizontal="center" vertical="center" wrapText="1"/>
    </xf>
    <xf numFmtId="0" fontId="7" fillId="25" borderId="28" xfId="0" applyNumberFormat="1" applyFont="1" applyFill="1" applyBorder="1" applyAlignment="1" applyProtection="1">
      <alignment horizontal="center" vertical="center" wrapText="1"/>
    </xf>
    <xf numFmtId="0" fontId="7" fillId="0" borderId="22" xfId="0" applyNumberFormat="1" applyFont="1" applyFill="1" applyBorder="1" applyAlignment="1" applyProtection="1">
      <alignment horizontal="center" vertical="center" wrapText="1"/>
    </xf>
    <xf numFmtId="0" fontId="1" fillId="25" borderId="2" xfId="0" applyFont="1" applyFill="1" applyBorder="1" applyAlignment="1">
      <alignment horizontal="center" vertical="center" wrapText="1"/>
    </xf>
    <xf numFmtId="0" fontId="1" fillId="25" borderId="30" xfId="0" applyFont="1" applyFill="1" applyBorder="1" applyAlignment="1">
      <alignment horizontal="center" vertical="center" wrapText="1"/>
    </xf>
    <xf numFmtId="0" fontId="2" fillId="0" borderId="20" xfId="0" applyNumberFormat="1" applyFont="1" applyFill="1" applyBorder="1" applyAlignment="1" applyProtection="1">
      <alignment horizontal="center" vertical="center" wrapText="1"/>
    </xf>
    <xf numFmtId="0" fontId="0" fillId="0" borderId="42" xfId="0" applyBorder="1" applyAlignment="1">
      <alignment horizontal="center" vertical="center"/>
    </xf>
    <xf numFmtId="0" fontId="2" fillId="27" borderId="7" xfId="0" applyNumberFormat="1" applyFont="1" applyFill="1" applyBorder="1" applyAlignment="1" applyProtection="1">
      <alignment horizontal="center" vertical="center" wrapText="1"/>
      <protection locked="0"/>
    </xf>
    <xf numFmtId="0" fontId="2" fillId="27" borderId="33" xfId="0" applyNumberFormat="1" applyFont="1" applyFill="1" applyBorder="1" applyAlignment="1" applyProtection="1">
      <alignment horizontal="center" vertical="center" wrapText="1"/>
      <protection locked="0"/>
    </xf>
    <xf numFmtId="0" fontId="2" fillId="25" borderId="2" xfId="0" applyNumberFormat="1" applyFont="1" applyFill="1" applyBorder="1" applyAlignment="1" applyProtection="1">
      <alignment horizontal="center" vertical="center" wrapText="1"/>
    </xf>
    <xf numFmtId="0" fontId="3" fillId="2" borderId="17" xfId="0" applyNumberFormat="1" applyFont="1" applyFill="1" applyBorder="1" applyAlignment="1" applyProtection="1">
      <alignment horizontal="center" vertical="top" textRotation="90" wrapText="1"/>
    </xf>
    <xf numFmtId="0" fontId="5" fillId="0" borderId="28" xfId="0" applyNumberFormat="1" applyFont="1" applyFill="1" applyBorder="1" applyAlignment="1" applyProtection="1">
      <alignment horizontal="left" vertical="top" wrapText="1"/>
    </xf>
    <xf numFmtId="0" fontId="2" fillId="25" borderId="80" xfId="0" applyNumberFormat="1" applyFont="1" applyFill="1" applyBorder="1" applyAlignment="1" applyProtection="1">
      <alignment horizontal="center" vertical="center" wrapText="1"/>
    </xf>
    <xf numFmtId="0" fontId="2" fillId="25" borderId="79" xfId="0" applyNumberFormat="1" applyFont="1" applyFill="1" applyBorder="1" applyAlignment="1" applyProtection="1">
      <alignment horizontal="center" vertical="center" wrapText="1"/>
    </xf>
    <xf numFmtId="0" fontId="7" fillId="25" borderId="18" xfId="0" applyNumberFormat="1" applyFont="1" applyFill="1" applyBorder="1" applyAlignment="1" applyProtection="1">
      <alignment horizontal="left" vertical="center"/>
    </xf>
    <xf numFmtId="0" fontId="7" fillId="25" borderId="28" xfId="0" applyNumberFormat="1" applyFont="1" applyFill="1" applyBorder="1" applyAlignment="1" applyProtection="1">
      <alignment horizontal="left" vertical="center"/>
    </xf>
    <xf numFmtId="0" fontId="4" fillId="25" borderId="18" xfId="0" applyNumberFormat="1" applyFont="1" applyFill="1" applyBorder="1" applyAlignment="1" applyProtection="1">
      <alignment horizontal="left" vertical="center" wrapText="1"/>
    </xf>
    <xf numFmtId="0" fontId="4" fillId="25" borderId="22" xfId="0" applyNumberFormat="1" applyFont="1" applyFill="1" applyBorder="1" applyAlignment="1" applyProtection="1">
      <alignment horizontal="left" vertical="center" wrapText="1"/>
    </xf>
    <xf numFmtId="0" fontId="4" fillId="25" borderId="12" xfId="0" applyNumberFormat="1" applyFont="1" applyFill="1" applyBorder="1" applyAlignment="1" applyProtection="1">
      <alignment horizontal="center" vertical="center" wrapText="1"/>
    </xf>
    <xf numFmtId="0" fontId="4" fillId="25" borderId="13" xfId="0" applyNumberFormat="1" applyFont="1" applyFill="1" applyBorder="1" applyAlignment="1" applyProtection="1">
      <alignment horizontal="center" vertical="center" wrapText="1"/>
    </xf>
    <xf numFmtId="0" fontId="4" fillId="25" borderId="5" xfId="0" applyNumberFormat="1" applyFont="1" applyFill="1" applyBorder="1" applyAlignment="1" applyProtection="1">
      <alignment horizontal="center" vertical="center" wrapText="1"/>
    </xf>
    <xf numFmtId="0" fontId="4" fillId="25" borderId="48" xfId="0" applyNumberFormat="1" applyFont="1" applyFill="1" applyBorder="1" applyAlignment="1" applyProtection="1">
      <alignment horizontal="center" vertical="center" wrapText="1"/>
    </xf>
    <xf numFmtId="0" fontId="4" fillId="25" borderId="7" xfId="0" applyNumberFormat="1" applyFont="1" applyFill="1" applyBorder="1" applyAlignment="1" applyProtection="1">
      <alignment horizontal="center" vertical="center" wrapText="1"/>
    </xf>
    <xf numFmtId="0" fontId="4" fillId="25" borderId="33" xfId="0"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left" vertical="center" wrapText="1"/>
    </xf>
    <xf numFmtId="0" fontId="2" fillId="0" borderId="17" xfId="0" applyNumberFormat="1" applyFont="1" applyFill="1" applyBorder="1" applyAlignment="1" applyProtection="1">
      <alignment horizontal="left" vertical="center" wrapText="1"/>
    </xf>
    <xf numFmtId="0" fontId="2" fillId="0" borderId="28" xfId="0" applyNumberFormat="1" applyFont="1" applyFill="1" applyBorder="1" applyAlignment="1" applyProtection="1">
      <alignment horizontal="left" vertical="center" wrapText="1"/>
    </xf>
    <xf numFmtId="0" fontId="2" fillId="25" borderId="61" xfId="0" applyNumberFormat="1" applyFont="1" applyFill="1" applyBorder="1" applyAlignment="1" applyProtection="1">
      <alignment horizontal="center" vertical="center" wrapText="1"/>
    </xf>
    <xf numFmtId="0" fontId="2" fillId="25" borderId="82" xfId="0" applyNumberFormat="1" applyFont="1" applyFill="1" applyBorder="1" applyAlignment="1" applyProtection="1">
      <alignment horizontal="center" vertical="center" wrapText="1"/>
    </xf>
    <xf numFmtId="0" fontId="4" fillId="25" borderId="19" xfId="0" applyNumberFormat="1" applyFont="1" applyFill="1" applyBorder="1" applyAlignment="1" applyProtection="1">
      <alignment horizontal="center" vertical="center" wrapText="1"/>
    </xf>
    <xf numFmtId="0" fontId="4" fillId="25" borderId="45" xfId="0" applyNumberFormat="1" applyFont="1" applyFill="1" applyBorder="1" applyAlignment="1" applyProtection="1">
      <alignment horizontal="center" vertical="center" wrapText="1"/>
    </xf>
    <xf numFmtId="0" fontId="4" fillId="25" borderId="43" xfId="0" applyNumberFormat="1" applyFont="1" applyFill="1" applyBorder="1" applyAlignment="1" applyProtection="1">
      <alignment horizontal="center" vertical="center" wrapText="1"/>
    </xf>
    <xf numFmtId="0" fontId="4" fillId="25" borderId="78" xfId="0" applyNumberFormat="1" applyFont="1" applyFill="1" applyBorder="1" applyAlignment="1" applyProtection="1">
      <alignment horizontal="center" vertical="center" wrapText="1"/>
    </xf>
    <xf numFmtId="0" fontId="5" fillId="25" borderId="17" xfId="0" applyNumberFormat="1" applyFont="1" applyFill="1" applyBorder="1" applyAlignment="1" applyProtection="1">
      <alignment horizontal="left" vertical="top" wrapText="1"/>
    </xf>
    <xf numFmtId="0" fontId="39" fillId="33" borderId="16" xfId="0" applyFont="1" applyFill="1" applyBorder="1" applyAlignment="1">
      <alignment horizontal="center"/>
    </xf>
    <xf numFmtId="0" fontId="39" fillId="33" borderId="2" xfId="0" applyFont="1" applyFill="1" applyBorder="1" applyAlignment="1">
      <alignment horizontal="center"/>
    </xf>
    <xf numFmtId="0" fontId="39" fillId="33" borderId="41" xfId="0" applyFont="1" applyFill="1" applyBorder="1" applyAlignment="1">
      <alignment horizontal="center"/>
    </xf>
    <xf numFmtId="0" fontId="39" fillId="25" borderId="16" xfId="0" applyFont="1" applyFill="1" applyBorder="1" applyAlignment="1">
      <alignment horizontal="center"/>
    </xf>
    <xf numFmtId="0" fontId="39" fillId="25" borderId="2" xfId="0" applyFont="1" applyFill="1" applyBorder="1" applyAlignment="1">
      <alignment horizontal="center"/>
    </xf>
    <xf numFmtId="0" fontId="39" fillId="25" borderId="41" xfId="0" applyFont="1" applyFill="1" applyBorder="1" applyAlignment="1">
      <alignment horizontal="center"/>
    </xf>
    <xf numFmtId="0" fontId="31" fillId="2" borderId="13" xfId="0" applyFont="1" applyFill="1" applyBorder="1" applyAlignment="1">
      <alignment horizontal="left" vertical="top"/>
    </xf>
    <xf numFmtId="0" fontId="39" fillId="25" borderId="98" xfId="0" applyFont="1" applyFill="1" applyBorder="1" applyAlignment="1">
      <alignment horizontal="center"/>
    </xf>
    <xf numFmtId="0" fontId="39" fillId="25" borderId="69" xfId="0" applyFont="1" applyFill="1" applyBorder="1" applyAlignment="1">
      <alignment horizontal="center"/>
    </xf>
    <xf numFmtId="0" fontId="39" fillId="25" borderId="77" xfId="0" applyFont="1" applyFill="1" applyBorder="1" applyAlignment="1">
      <alignment horizontal="center"/>
    </xf>
    <xf numFmtId="0" fontId="31" fillId="2" borderId="86" xfId="0" applyFont="1" applyFill="1" applyBorder="1" applyAlignment="1">
      <alignment horizontal="left" vertical="top"/>
    </xf>
    <xf numFmtId="0" fontId="31" fillId="2" borderId="89" xfId="0" applyFont="1" applyFill="1" applyBorder="1" applyAlignment="1">
      <alignment horizontal="left" vertical="top"/>
    </xf>
    <xf numFmtId="0" fontId="31" fillId="2" borderId="18" xfId="0" applyFont="1" applyFill="1" applyBorder="1" applyAlignment="1">
      <alignment horizontal="left" vertical="top"/>
    </xf>
    <xf numFmtId="0" fontId="31" fillId="2" borderId="17" xfId="0" applyFont="1" applyFill="1" applyBorder="1" applyAlignment="1">
      <alignment horizontal="left" vertical="top"/>
    </xf>
    <xf numFmtId="0" fontId="31" fillId="2" borderId="22" xfId="0" applyFont="1" applyFill="1" applyBorder="1" applyAlignment="1">
      <alignment horizontal="left" vertical="top"/>
    </xf>
    <xf numFmtId="0" fontId="39" fillId="0" borderId="27" xfId="0" applyFont="1" applyBorder="1" applyAlignment="1">
      <alignment horizontal="center"/>
    </xf>
    <xf numFmtId="0" fontId="39" fillId="0" borderId="83" xfId="0" applyFont="1" applyBorder="1" applyAlignment="1">
      <alignment horizontal="center"/>
    </xf>
    <xf numFmtId="0" fontId="39" fillId="0" borderId="39" xfId="0" applyFont="1" applyBorder="1" applyAlignment="1">
      <alignment horizontal="center"/>
    </xf>
    <xf numFmtId="0" fontId="31" fillId="2" borderId="97" xfId="0" applyFont="1" applyFill="1" applyBorder="1" applyAlignment="1">
      <alignment horizontal="center"/>
    </xf>
    <xf numFmtId="0" fontId="31" fillId="2" borderId="21" xfId="0" applyFont="1" applyFill="1" applyBorder="1" applyAlignment="1">
      <alignment horizontal="center"/>
    </xf>
    <xf numFmtId="0" fontId="31" fillId="2" borderId="65" xfId="0" applyFont="1" applyFill="1" applyBorder="1" applyAlignment="1">
      <alignment horizontal="center"/>
    </xf>
    <xf numFmtId="2" fontId="39" fillId="25" borderId="16" xfId="0" applyNumberFormat="1" applyFont="1" applyFill="1" applyBorder="1" applyAlignment="1">
      <alignment horizontal="center"/>
    </xf>
    <xf numFmtId="2" fontId="39" fillId="25" borderId="2" xfId="0" applyNumberFormat="1" applyFont="1" applyFill="1" applyBorder="1" applyAlignment="1">
      <alignment horizontal="center"/>
    </xf>
    <xf numFmtId="2" fontId="39" fillId="25" borderId="41" xfId="0" applyNumberFormat="1" applyFont="1" applyFill="1" applyBorder="1" applyAlignment="1">
      <alignment horizontal="center"/>
    </xf>
    <xf numFmtId="0" fontId="31" fillId="2" borderId="62" xfId="0" applyFont="1" applyFill="1" applyBorder="1" applyAlignment="1">
      <alignment horizontal="left" vertical="top" wrapText="1"/>
    </xf>
    <xf numFmtId="0" fontId="31" fillId="2" borderId="33" xfId="0" applyFont="1" applyFill="1" applyBorder="1" applyAlignment="1">
      <alignment horizontal="left" vertical="top" wrapText="1"/>
    </xf>
    <xf numFmtId="0" fontId="31" fillId="2" borderId="86" xfId="0" applyFont="1" applyFill="1" applyBorder="1" applyAlignment="1">
      <alignment horizontal="left" vertical="top" wrapText="1"/>
    </xf>
    <xf numFmtId="0" fontId="31" fillId="2" borderId="89" xfId="0" applyFont="1" applyFill="1" applyBorder="1" applyAlignment="1">
      <alignment horizontal="left" vertical="top" wrapText="1"/>
    </xf>
    <xf numFmtId="0" fontId="39" fillId="0" borderId="1" xfId="0" applyFont="1" applyBorder="1" applyAlignment="1">
      <alignment horizontal="center"/>
    </xf>
    <xf numFmtId="0" fontId="39" fillId="0" borderId="16" xfId="0" applyFont="1" applyBorder="1" applyAlignment="1">
      <alignment horizontal="center"/>
    </xf>
    <xf numFmtId="0" fontId="39" fillId="0" borderId="2" xfId="0" applyFont="1" applyBorder="1" applyAlignment="1">
      <alignment horizontal="center"/>
    </xf>
    <xf numFmtId="0" fontId="39" fillId="0" borderId="41" xfId="0" applyFont="1" applyBorder="1" applyAlignment="1">
      <alignment horizontal="center"/>
    </xf>
    <xf numFmtId="0" fontId="31" fillId="2" borderId="45" xfId="0" applyNumberFormat="1" applyFont="1" applyFill="1" applyBorder="1" applyAlignment="1" applyProtection="1">
      <alignment horizontal="left" vertical="top" wrapText="1"/>
    </xf>
    <xf numFmtId="0" fontId="31" fillId="2" borderId="46" xfId="0" applyNumberFormat="1" applyFont="1" applyFill="1" applyBorder="1" applyAlignment="1" applyProtection="1">
      <alignment horizontal="left" vertical="top" wrapText="1"/>
    </xf>
    <xf numFmtId="0" fontId="83" fillId="2" borderId="87" xfId="0" applyFont="1" applyFill="1" applyBorder="1" applyAlignment="1">
      <alignment horizontal="center" vertical="center" wrapText="1"/>
    </xf>
    <xf numFmtId="0" fontId="83" fillId="2" borderId="44" xfId="0" applyFont="1" applyFill="1" applyBorder="1" applyAlignment="1">
      <alignment horizontal="center" vertical="center"/>
    </xf>
    <xf numFmtId="0" fontId="83" fillId="2" borderId="67" xfId="0" applyFont="1" applyFill="1" applyBorder="1" applyAlignment="1">
      <alignment horizontal="center" vertical="center"/>
    </xf>
    <xf numFmtId="0" fontId="31" fillId="2" borderId="12" xfId="0" applyFont="1" applyFill="1" applyBorder="1" applyAlignment="1">
      <alignment horizontal="left" vertical="top" wrapText="1"/>
    </xf>
    <xf numFmtId="0" fontId="31" fillId="2" borderId="13" xfId="0" applyFont="1" applyFill="1" applyBorder="1" applyAlignment="1">
      <alignment horizontal="left" vertical="top" wrapText="1"/>
    </xf>
    <xf numFmtId="0" fontId="31" fillId="2" borderId="14" xfId="0" applyFont="1" applyFill="1" applyBorder="1" applyAlignment="1">
      <alignment horizontal="left" vertical="top" wrapText="1"/>
    </xf>
    <xf numFmtId="0" fontId="39" fillId="25" borderId="26" xfId="0" applyFont="1" applyFill="1" applyBorder="1" applyAlignment="1">
      <alignment horizontal="center"/>
    </xf>
    <xf numFmtId="0" fontId="39" fillId="25" borderId="91" xfId="0" applyFont="1" applyFill="1" applyBorder="1" applyAlignment="1">
      <alignment horizontal="center"/>
    </xf>
    <xf numFmtId="0" fontId="39" fillId="25" borderId="99" xfId="0" applyFont="1" applyFill="1" applyBorder="1" applyAlignment="1">
      <alignment horizontal="center"/>
    </xf>
    <xf numFmtId="0" fontId="39" fillId="25" borderId="90" xfId="0" applyFont="1" applyFill="1" applyBorder="1" applyAlignment="1">
      <alignment horizontal="center"/>
    </xf>
    <xf numFmtId="0" fontId="31" fillId="2" borderId="39" xfId="0" applyFont="1" applyFill="1" applyBorder="1" applyAlignment="1">
      <alignment horizontal="left" vertical="top"/>
    </xf>
    <xf numFmtId="0" fontId="31" fillId="2" borderId="40" xfId="0" applyFont="1" applyFill="1" applyBorder="1" applyAlignment="1">
      <alignment horizontal="left" vertical="top"/>
    </xf>
    <xf numFmtId="0" fontId="31" fillId="2" borderId="67" xfId="0" applyFont="1" applyFill="1" applyBorder="1" applyAlignment="1">
      <alignment horizontal="left" vertical="top"/>
    </xf>
    <xf numFmtId="0" fontId="87" fillId="2" borderId="88" xfId="0" applyFont="1" applyFill="1" applyBorder="1" applyAlignment="1">
      <alignment horizontal="left" vertical="top"/>
    </xf>
    <xf numFmtId="0" fontId="87" fillId="2" borderId="95" xfId="0" applyFont="1" applyFill="1" applyBorder="1" applyAlignment="1">
      <alignment horizontal="left" vertical="top"/>
    </xf>
    <xf numFmtId="0" fontId="87" fillId="2" borderId="11" xfId="0" applyFont="1" applyFill="1" applyBorder="1" applyAlignment="1">
      <alignment horizontal="left" vertical="top"/>
    </xf>
    <xf numFmtId="0" fontId="87" fillId="2" borderId="88" xfId="0" applyFont="1" applyFill="1" applyBorder="1" applyAlignment="1">
      <alignment horizontal="left" vertical="top" wrapText="1"/>
    </xf>
    <xf numFmtId="0" fontId="87" fillId="2" borderId="95" xfId="0" applyFont="1" applyFill="1" applyBorder="1" applyAlignment="1">
      <alignment horizontal="left" vertical="top" wrapText="1"/>
    </xf>
    <xf numFmtId="0" fontId="87" fillId="2" borderId="11" xfId="0" applyFont="1" applyFill="1" applyBorder="1" applyAlignment="1">
      <alignment horizontal="left" vertical="top" wrapText="1"/>
    </xf>
    <xf numFmtId="0" fontId="88" fillId="34" borderId="16" xfId="0" applyFont="1" applyFill="1" applyBorder="1" applyAlignment="1">
      <alignment horizontal="center"/>
    </xf>
    <xf numFmtId="0" fontId="88" fillId="34" borderId="41" xfId="0" applyFont="1" applyFill="1" applyBorder="1" applyAlignment="1">
      <alignment horizontal="center"/>
    </xf>
    <xf numFmtId="0" fontId="88" fillId="34" borderId="2" xfId="0" applyFont="1" applyFill="1" applyBorder="1" applyAlignment="1">
      <alignment horizontal="center"/>
    </xf>
    <xf numFmtId="0" fontId="87" fillId="2" borderId="16" xfId="0" applyFont="1" applyFill="1" applyBorder="1" applyAlignment="1">
      <alignment horizontal="center"/>
    </xf>
    <xf numFmtId="0" fontId="87" fillId="2" borderId="41" xfId="0" applyFont="1" applyFill="1" applyBorder="1" applyAlignment="1">
      <alignment horizontal="center"/>
    </xf>
    <xf numFmtId="0" fontId="88" fillId="25" borderId="1" xfId="0" applyFont="1" applyFill="1" applyBorder="1" applyAlignment="1">
      <alignment horizontal="center"/>
    </xf>
    <xf numFmtId="0" fontId="87" fillId="2" borderId="27" xfId="0" applyFont="1" applyFill="1" applyBorder="1" applyAlignment="1">
      <alignment horizontal="center"/>
    </xf>
    <xf numFmtId="0" fontId="87" fillId="2" borderId="83" xfId="0" applyFont="1" applyFill="1" applyBorder="1" applyAlignment="1">
      <alignment horizontal="center"/>
    </xf>
    <xf numFmtId="0" fontId="87" fillId="2" borderId="39" xfId="0" applyFont="1" applyFill="1" applyBorder="1" applyAlignment="1">
      <alignment horizontal="center"/>
    </xf>
    <xf numFmtId="0" fontId="87" fillId="2" borderId="1" xfId="0" applyFont="1" applyFill="1" applyBorder="1" applyAlignment="1">
      <alignment horizontal="center"/>
    </xf>
    <xf numFmtId="0" fontId="88" fillId="25" borderId="16" xfId="0" applyFont="1" applyFill="1" applyBorder="1" applyAlignment="1">
      <alignment horizontal="center"/>
    </xf>
    <xf numFmtId="0" fontId="88" fillId="25" borderId="41" xfId="0" applyFont="1" applyFill="1" applyBorder="1" applyAlignment="1">
      <alignment horizontal="center"/>
    </xf>
    <xf numFmtId="0" fontId="83" fillId="2" borderId="23" xfId="0" applyFont="1" applyFill="1" applyBorder="1" applyAlignment="1">
      <alignment horizontal="center" vertical="center"/>
    </xf>
    <xf numFmtId="0" fontId="83" fillId="2" borderId="65" xfId="0" applyFont="1" applyFill="1" applyBorder="1" applyAlignment="1">
      <alignment horizontal="center" vertical="center"/>
    </xf>
    <xf numFmtId="0" fontId="31" fillId="2" borderId="84" xfId="0" applyFont="1" applyFill="1" applyBorder="1" applyAlignment="1">
      <alignment horizontal="left" vertical="top" wrapText="1"/>
    </xf>
    <xf numFmtId="0" fontId="31" fillId="2" borderId="95" xfId="0" applyFont="1" applyFill="1" applyBorder="1" applyAlignment="1">
      <alignment horizontal="left" vertical="top" wrapText="1"/>
    </xf>
    <xf numFmtId="0" fontId="39" fillId="33" borderId="97" xfId="0" applyFont="1" applyFill="1" applyBorder="1" applyAlignment="1">
      <alignment horizontal="center"/>
    </xf>
    <xf numFmtId="0" fontId="39" fillId="33" borderId="65" xfId="0" applyFont="1" applyFill="1" applyBorder="1" applyAlignment="1">
      <alignment horizontal="center"/>
    </xf>
    <xf numFmtId="0" fontId="39" fillId="34" borderId="97" xfId="0" applyFont="1" applyFill="1" applyBorder="1" applyAlignment="1">
      <alignment horizontal="center"/>
    </xf>
    <xf numFmtId="0" fontId="39" fillId="34" borderId="65" xfId="0" applyFont="1" applyFill="1" applyBorder="1" applyAlignment="1">
      <alignment horizontal="center"/>
    </xf>
    <xf numFmtId="0" fontId="39" fillId="0" borderId="26" xfId="0" applyFont="1" applyBorder="1" applyAlignment="1">
      <alignment horizontal="center"/>
    </xf>
    <xf numFmtId="0" fontId="39" fillId="0" borderId="90" xfId="0" applyFont="1" applyBorder="1" applyAlignment="1">
      <alignment horizontal="center"/>
    </xf>
    <xf numFmtId="0" fontId="39" fillId="0" borderId="108" xfId="0" applyFont="1" applyFill="1" applyBorder="1" applyAlignment="1">
      <alignment horizontal="center"/>
    </xf>
    <xf numFmtId="0" fontId="39" fillId="0" borderId="106" xfId="0" applyFont="1" applyFill="1" applyBorder="1" applyAlignment="1">
      <alignment horizontal="center"/>
    </xf>
    <xf numFmtId="0" fontId="39" fillId="0" borderId="25" xfId="0" applyFont="1" applyBorder="1" applyAlignment="1">
      <alignment horizontal="center"/>
    </xf>
    <xf numFmtId="0" fontId="39" fillId="0" borderId="66" xfId="0" applyFont="1" applyBorder="1" applyAlignment="1">
      <alignment horizontal="center"/>
    </xf>
    <xf numFmtId="0" fontId="39" fillId="33" borderId="27" xfId="0" applyFont="1" applyFill="1" applyBorder="1" applyAlignment="1">
      <alignment horizontal="center"/>
    </xf>
    <xf numFmtId="0" fontId="39" fillId="33" borderId="39" xfId="0" applyFont="1" applyFill="1" applyBorder="1" applyAlignment="1">
      <alignment horizontal="center"/>
    </xf>
    <xf numFmtId="0" fontId="39" fillId="33" borderId="16" xfId="0" quotePrefix="1" applyFont="1" applyFill="1" applyBorder="1" applyAlignment="1">
      <alignment horizontal="center"/>
    </xf>
    <xf numFmtId="0" fontId="39" fillId="33" borderId="41" xfId="0" quotePrefix="1" applyFont="1" applyFill="1" applyBorder="1" applyAlignment="1">
      <alignment horizontal="center"/>
    </xf>
    <xf numFmtId="2" fontId="39" fillId="0" borderId="27" xfId="0" applyNumberFormat="1" applyFont="1" applyBorder="1" applyAlignment="1">
      <alignment horizontal="center"/>
    </xf>
    <xf numFmtId="2" fontId="39" fillId="0" borderId="83" xfId="0" applyNumberFormat="1" applyFont="1" applyBorder="1" applyAlignment="1">
      <alignment horizontal="center"/>
    </xf>
    <xf numFmtId="2" fontId="39" fillId="0" borderId="39" xfId="0" applyNumberFormat="1" applyFont="1" applyBorder="1" applyAlignment="1">
      <alignment horizontal="center"/>
    </xf>
    <xf numFmtId="0" fontId="31" fillId="2" borderId="23" xfId="0" applyFont="1" applyFill="1" applyBorder="1" applyAlignment="1">
      <alignment horizontal="center"/>
    </xf>
    <xf numFmtId="0" fontId="31" fillId="2" borderId="98" xfId="0" applyFont="1" applyFill="1" applyBorder="1" applyAlignment="1">
      <alignment horizontal="center"/>
    </xf>
    <xf numFmtId="0" fontId="31" fillId="2" borderId="77" xfId="0" applyFont="1" applyFill="1" applyBorder="1" applyAlignment="1">
      <alignment horizontal="center"/>
    </xf>
    <xf numFmtId="0" fontId="39" fillId="0" borderId="6" xfId="0" applyFont="1" applyBorder="1" applyAlignment="1">
      <alignment horizontal="center"/>
    </xf>
    <xf numFmtId="0" fontId="39" fillId="0" borderId="91" xfId="0" applyFont="1" applyBorder="1" applyAlignment="1">
      <alignment horizontal="center"/>
    </xf>
    <xf numFmtId="2" fontId="39" fillId="0" borderId="16" xfId="0" applyNumberFormat="1" applyFont="1" applyBorder="1" applyAlignment="1">
      <alignment horizontal="center"/>
    </xf>
    <xf numFmtId="2" fontId="39" fillId="0" borderId="2" xfId="0" applyNumberFormat="1" applyFont="1" applyBorder="1" applyAlignment="1">
      <alignment horizontal="center"/>
    </xf>
    <xf numFmtId="2" fontId="39" fillId="0" borderId="41" xfId="0" applyNumberFormat="1" applyFont="1" applyBorder="1" applyAlignment="1">
      <alignment horizontal="center"/>
    </xf>
    <xf numFmtId="0" fontId="31" fillId="33" borderId="16" xfId="0" applyFont="1" applyFill="1" applyBorder="1" applyAlignment="1">
      <alignment horizontal="center"/>
    </xf>
    <xf numFmtId="0" fontId="31" fillId="33" borderId="2" xfId="0" applyFont="1" applyFill="1" applyBorder="1" applyAlignment="1">
      <alignment horizontal="center"/>
    </xf>
    <xf numFmtId="0" fontId="31" fillId="33" borderId="41" xfId="0" applyFont="1" applyFill="1" applyBorder="1" applyAlignment="1">
      <alignment horizontal="center"/>
    </xf>
    <xf numFmtId="0" fontId="31" fillId="33" borderId="27" xfId="0" applyFont="1" applyFill="1" applyBorder="1" applyAlignment="1">
      <alignment horizontal="center"/>
    </xf>
    <xf numFmtId="0" fontId="31" fillId="33" borderId="83" xfId="0" applyFont="1" applyFill="1" applyBorder="1" applyAlignment="1">
      <alignment horizontal="center"/>
    </xf>
    <xf numFmtId="0" fontId="31" fillId="33" borderId="39" xfId="0" applyFont="1" applyFill="1" applyBorder="1" applyAlignment="1">
      <alignment horizontal="center"/>
    </xf>
    <xf numFmtId="0" fontId="39" fillId="25" borderId="1" xfId="0" applyFont="1" applyFill="1" applyBorder="1" applyAlignment="1">
      <alignment horizontal="center"/>
    </xf>
    <xf numFmtId="0" fontId="31" fillId="33" borderId="26" xfId="0" applyFont="1" applyFill="1" applyBorder="1" applyAlignment="1">
      <alignment horizontal="center"/>
    </xf>
    <xf numFmtId="0" fontId="31" fillId="33" borderId="91" xfId="0" applyFont="1" applyFill="1" applyBorder="1" applyAlignment="1">
      <alignment horizontal="center"/>
    </xf>
    <xf numFmtId="0" fontId="31" fillId="33" borderId="90" xfId="0" applyFont="1" applyFill="1" applyBorder="1" applyAlignment="1">
      <alignment horizontal="center"/>
    </xf>
    <xf numFmtId="0" fontId="83" fillId="2" borderId="63" xfId="0" applyFont="1" applyFill="1" applyBorder="1" applyAlignment="1">
      <alignment horizontal="center" vertical="center"/>
    </xf>
    <xf numFmtId="0" fontId="31" fillId="2" borderId="12" xfId="0" applyFont="1" applyFill="1" applyBorder="1" applyAlignment="1">
      <alignment horizontal="left" vertical="top"/>
    </xf>
    <xf numFmtId="0" fontId="31" fillId="2" borderId="63" xfId="0" applyFont="1" applyFill="1" applyBorder="1" applyAlignment="1">
      <alignment horizontal="center"/>
    </xf>
    <xf numFmtId="0" fontId="31" fillId="2" borderId="18" xfId="0" applyNumberFormat="1" applyFont="1" applyFill="1" applyBorder="1" applyAlignment="1" applyProtection="1">
      <alignment horizontal="left" vertical="top" wrapText="1"/>
    </xf>
    <xf numFmtId="0" fontId="31" fillId="2" borderId="17" xfId="0" applyNumberFormat="1" applyFont="1" applyFill="1" applyBorder="1" applyAlignment="1" applyProtection="1">
      <alignment horizontal="left" vertical="top" wrapText="1"/>
    </xf>
    <xf numFmtId="0" fontId="31" fillId="2" borderId="22" xfId="0" applyNumberFormat="1" applyFont="1" applyFill="1" applyBorder="1" applyAlignment="1" applyProtection="1">
      <alignment horizontal="left" vertical="top" wrapText="1"/>
    </xf>
    <xf numFmtId="0" fontId="0" fillId="2" borderId="26" xfId="0" applyFill="1" applyBorder="1" applyAlignment="1">
      <alignment horizontal="center"/>
    </xf>
    <xf numFmtId="0" fontId="0" fillId="2" borderId="16" xfId="0" applyFill="1" applyBorder="1" applyAlignment="1">
      <alignment horizontal="center"/>
    </xf>
    <xf numFmtId="0" fontId="0" fillId="2" borderId="49" xfId="0" applyFill="1" applyBorder="1" applyAlignment="1">
      <alignment horizontal="center"/>
    </xf>
    <xf numFmtId="0" fontId="0" fillId="2" borderId="34" xfId="0" applyFill="1" applyBorder="1" applyAlignment="1">
      <alignment horizontal="center"/>
    </xf>
    <xf numFmtId="0" fontId="0" fillId="2" borderId="1" xfId="0" applyFill="1" applyBorder="1" applyAlignment="1">
      <alignment horizontal="center"/>
    </xf>
    <xf numFmtId="0" fontId="0" fillId="2" borderId="34" xfId="0" applyFill="1" applyBorder="1" applyAlignment="1">
      <alignment horizontal="center" wrapText="1"/>
    </xf>
    <xf numFmtId="0" fontId="0" fillId="2" borderId="1" xfId="0" applyFill="1" applyBorder="1" applyAlignment="1">
      <alignment horizontal="center" wrapText="1"/>
    </xf>
    <xf numFmtId="0" fontId="0" fillId="0" borderId="60" xfId="0" applyBorder="1" applyAlignment="1">
      <alignment horizontal="center"/>
    </xf>
    <xf numFmtId="0" fontId="0" fillId="0" borderId="80" xfId="0" applyBorder="1" applyAlignment="1">
      <alignment horizontal="center"/>
    </xf>
    <xf numFmtId="0" fontId="0" fillId="0" borderId="79" xfId="0" applyBorder="1" applyAlignment="1">
      <alignment horizontal="center"/>
    </xf>
    <xf numFmtId="0" fontId="10" fillId="2" borderId="13" xfId="0" applyFont="1" applyFill="1" applyBorder="1" applyAlignment="1">
      <alignment horizontal="left" vertical="top"/>
    </xf>
    <xf numFmtId="0" fontId="10" fillId="2" borderId="12" xfId="0" applyFont="1" applyFill="1" applyBorder="1" applyAlignment="1">
      <alignment horizontal="left" vertical="top"/>
    </xf>
    <xf numFmtId="0" fontId="0" fillId="0" borderId="46" xfId="0" applyBorder="1" applyAlignment="1">
      <alignment horizontal="center"/>
    </xf>
    <xf numFmtId="0" fontId="0" fillId="0" borderId="60" xfId="0" applyFont="1" applyBorder="1" applyAlignment="1">
      <alignment horizontal="left"/>
    </xf>
    <xf numFmtId="0" fontId="0" fillId="0" borderId="79" xfId="0" applyFont="1" applyBorder="1" applyAlignment="1">
      <alignment horizontal="left"/>
    </xf>
    <xf numFmtId="0" fontId="0" fillId="0" borderId="61" xfId="0" applyFont="1" applyBorder="1"/>
    <xf numFmtId="0" fontId="0" fillId="0" borderId="82" xfId="0" applyFont="1" applyBorder="1"/>
    <xf numFmtId="0" fontId="0" fillId="2" borderId="23" xfId="0" applyFont="1" applyFill="1" applyBorder="1" applyAlignment="1">
      <alignment horizontal="center"/>
    </xf>
    <xf numFmtId="0" fontId="0" fillId="2" borderId="24" xfId="0" applyFont="1" applyFill="1" applyBorder="1" applyAlignment="1">
      <alignment horizontal="center"/>
    </xf>
    <xf numFmtId="0" fontId="0" fillId="0" borderId="10" xfId="0" applyFont="1" applyBorder="1"/>
    <xf numFmtId="0" fontId="0" fillId="0" borderId="30" xfId="0" applyFont="1" applyBorder="1"/>
    <xf numFmtId="0" fontId="5" fillId="25" borderId="18" xfId="0" applyNumberFormat="1" applyFont="1" applyFill="1" applyBorder="1" applyAlignment="1" applyProtection="1">
      <alignment horizontal="center" vertical="center" wrapText="1"/>
    </xf>
    <xf numFmtId="0" fontId="5" fillId="25" borderId="17" xfId="0" applyNumberFormat="1" applyFont="1" applyFill="1" applyBorder="1" applyAlignment="1" applyProtection="1">
      <alignment horizontal="center" vertical="center" wrapText="1"/>
    </xf>
    <xf numFmtId="0" fontId="5" fillId="32" borderId="17" xfId="0" applyNumberFormat="1" applyFont="1" applyFill="1" applyBorder="1" applyAlignment="1" applyProtection="1">
      <alignment horizontal="center" vertical="center" wrapText="1"/>
    </xf>
    <xf numFmtId="0" fontId="5" fillId="25" borderId="22" xfId="0" applyNumberFormat="1" applyFont="1" applyFill="1" applyBorder="1" applyAlignment="1" applyProtection="1">
      <alignment horizontal="center" vertical="center" wrapText="1"/>
    </xf>
    <xf numFmtId="0" fontId="5" fillId="32" borderId="12" xfId="0" applyNumberFormat="1" applyFont="1" applyFill="1" applyBorder="1" applyAlignment="1" applyProtection="1">
      <alignment horizontal="center" vertical="center" wrapText="1"/>
    </xf>
    <xf numFmtId="0" fontId="5" fillId="32" borderId="13" xfId="0" applyNumberFormat="1" applyFont="1" applyFill="1" applyBorder="1" applyAlignment="1" applyProtection="1">
      <alignment horizontal="center" vertical="center" wrapText="1"/>
    </xf>
    <xf numFmtId="0" fontId="39" fillId="32" borderId="13" xfId="0" applyFont="1" applyFill="1" applyBorder="1" applyAlignment="1">
      <alignment horizontal="center" vertical="center"/>
    </xf>
    <xf numFmtId="0" fontId="39" fillId="32" borderId="14" xfId="0" applyFont="1" applyFill="1" applyBorder="1" applyAlignment="1">
      <alignment horizontal="center" vertical="center"/>
    </xf>
    <xf numFmtId="0" fontId="5" fillId="25" borderId="60" xfId="0" applyNumberFormat="1" applyFont="1" applyFill="1" applyBorder="1" applyAlignment="1" applyProtection="1">
      <alignment horizontal="center" vertical="center" wrapText="1"/>
    </xf>
    <xf numFmtId="0" fontId="5" fillId="25" borderId="10" xfId="0" applyNumberFormat="1" applyFont="1" applyFill="1" applyBorder="1" applyAlignment="1" applyProtection="1">
      <alignment horizontal="center" vertical="center" wrapText="1"/>
    </xf>
    <xf numFmtId="0" fontId="5" fillId="25" borderId="20" xfId="0" applyNumberFormat="1" applyFont="1" applyFill="1" applyBorder="1" applyAlignment="1" applyProtection="1">
      <alignment horizontal="center" vertical="center" wrapText="1"/>
    </xf>
    <xf numFmtId="0" fontId="5" fillId="32" borderId="60" xfId="0" applyNumberFormat="1" applyFont="1" applyFill="1" applyBorder="1" applyAlignment="1" applyProtection="1">
      <alignment horizontal="center" vertical="center" wrapText="1"/>
    </xf>
    <xf numFmtId="0" fontId="5" fillId="32" borderId="10" xfId="0" applyNumberFormat="1" applyFont="1" applyFill="1" applyBorder="1" applyAlignment="1" applyProtection="1">
      <alignment horizontal="center" vertical="center" wrapText="1"/>
    </xf>
    <xf numFmtId="0" fontId="5" fillId="32" borderId="61" xfId="0" applyNumberFormat="1" applyFont="1" applyFill="1" applyBorder="1" applyAlignment="1" applyProtection="1">
      <alignment horizontal="center" vertical="center" wrapText="1"/>
    </xf>
    <xf numFmtId="0" fontId="5" fillId="32" borderId="15" xfId="0" applyNumberFormat="1" applyFont="1" applyFill="1" applyBorder="1" applyAlignment="1" applyProtection="1">
      <alignment horizontal="center" vertical="center" wrapText="1"/>
    </xf>
    <xf numFmtId="0" fontId="5" fillId="32" borderId="20" xfId="0" applyNumberFormat="1" applyFont="1" applyFill="1" applyBorder="1" applyAlignment="1" applyProtection="1">
      <alignment horizontal="center" vertical="center" wrapText="1"/>
    </xf>
    <xf numFmtId="0" fontId="5" fillId="25" borderId="35" xfId="0" applyNumberFormat="1" applyFont="1" applyFill="1" applyBorder="1" applyAlignment="1" applyProtection="1">
      <alignment horizontal="center" vertical="center" wrapText="1"/>
    </xf>
    <xf numFmtId="0" fontId="5" fillId="25" borderId="17" xfId="0" applyNumberFormat="1" applyFont="1" applyFill="1" applyBorder="1" applyAlignment="1" applyProtection="1">
      <alignment horizontal="left" vertical="center" wrapText="1"/>
    </xf>
    <xf numFmtId="0" fontId="5" fillId="25" borderId="22" xfId="0" applyNumberFormat="1" applyFont="1" applyFill="1" applyBorder="1" applyAlignment="1" applyProtection="1">
      <alignment horizontal="left" vertical="center" wrapText="1"/>
    </xf>
    <xf numFmtId="0" fontId="58" fillId="38" borderId="3" xfId="54" applyFont="1" applyFill="1" applyBorder="1" applyAlignment="1" applyProtection="1">
      <alignment horizontal="center" vertical="center" wrapText="1"/>
    </xf>
    <xf numFmtId="0" fontId="58" fillId="38" borderId="34" xfId="54" applyFont="1" applyFill="1" applyBorder="1" applyAlignment="1" applyProtection="1">
      <alignment horizontal="center" vertical="center" wrapText="1"/>
    </xf>
    <xf numFmtId="0" fontId="59" fillId="40" borderId="1" xfId="54" applyFont="1" applyFill="1" applyBorder="1" applyAlignment="1" applyProtection="1">
      <alignment horizontal="center" vertical="center" wrapText="1"/>
    </xf>
    <xf numFmtId="0" fontId="58" fillId="40" borderId="16" xfId="54" applyFont="1" applyFill="1" applyBorder="1" applyAlignment="1" applyProtection="1">
      <alignment horizontal="center" vertical="center" wrapText="1"/>
    </xf>
    <xf numFmtId="0" fontId="58" fillId="40" borderId="2" xfId="54" applyFont="1" applyFill="1" applyBorder="1" applyAlignment="1" applyProtection="1">
      <alignment horizontal="center" vertical="center" wrapText="1"/>
    </xf>
    <xf numFmtId="0" fontId="58" fillId="40" borderId="41" xfId="54" applyFont="1" applyFill="1" applyBorder="1" applyAlignment="1" applyProtection="1">
      <alignment horizontal="center" vertical="center" wrapText="1"/>
    </xf>
    <xf numFmtId="0" fontId="13" fillId="0" borderId="0" xfId="54" applyFont="1" applyAlignment="1" applyProtection="1">
      <alignment horizontal="left" vertical="top" wrapText="1"/>
    </xf>
    <xf numFmtId="0" fontId="58" fillId="40" borderId="1" xfId="54" applyFont="1" applyFill="1" applyBorder="1" applyAlignment="1" applyProtection="1">
      <alignment horizontal="center" vertical="center" wrapText="1"/>
    </xf>
    <xf numFmtId="0" fontId="31" fillId="2" borderId="5" xfId="0" applyFont="1" applyFill="1" applyBorder="1" applyAlignment="1">
      <alignment horizontal="left"/>
    </xf>
    <xf numFmtId="0" fontId="31" fillId="2" borderId="66" xfId="0" applyFont="1" applyFill="1" applyBorder="1" applyAlignment="1">
      <alignment horizontal="left"/>
    </xf>
    <xf numFmtId="1" fontId="39" fillId="0" borderId="48" xfId="0" applyNumberFormat="1" applyFont="1" applyBorder="1"/>
  </cellXfs>
  <cellStyles count="718">
    <cellStyle name="0.00%" xfId="57" xr:uid="{00000000-0005-0000-0000-000000000000}"/>
    <cellStyle name="0.00% 2" xfId="620" xr:uid="{00000000-0005-0000-0000-000001000000}"/>
    <cellStyle name="20% - Accent1 10" xfId="58" xr:uid="{00000000-0005-0000-0000-000002000000}"/>
    <cellStyle name="20% - Accent1 11" xfId="59" xr:uid="{00000000-0005-0000-0000-000003000000}"/>
    <cellStyle name="20% - Accent1 12" xfId="60" xr:uid="{00000000-0005-0000-0000-000004000000}"/>
    <cellStyle name="20% - Accent1 13" xfId="61" xr:uid="{00000000-0005-0000-0000-000005000000}"/>
    <cellStyle name="20% - Accent1 2" xfId="6" xr:uid="{00000000-0005-0000-0000-000006000000}"/>
    <cellStyle name="20% - Accent1 3" xfId="62" xr:uid="{00000000-0005-0000-0000-000007000000}"/>
    <cellStyle name="20% - Accent1 4" xfId="63" xr:uid="{00000000-0005-0000-0000-000008000000}"/>
    <cellStyle name="20% - Accent1 5" xfId="64" xr:uid="{00000000-0005-0000-0000-000009000000}"/>
    <cellStyle name="20% - Accent1 6" xfId="65" xr:uid="{00000000-0005-0000-0000-00000A000000}"/>
    <cellStyle name="20% - Accent1 7" xfId="66" xr:uid="{00000000-0005-0000-0000-00000B000000}"/>
    <cellStyle name="20% - Accent1 8" xfId="67" xr:uid="{00000000-0005-0000-0000-00000C000000}"/>
    <cellStyle name="20% - Accent1 9" xfId="68" xr:uid="{00000000-0005-0000-0000-00000D000000}"/>
    <cellStyle name="20% - Accent2 10" xfId="69" xr:uid="{00000000-0005-0000-0000-00000E000000}"/>
    <cellStyle name="20% - Accent2 11" xfId="70" xr:uid="{00000000-0005-0000-0000-00000F000000}"/>
    <cellStyle name="20% - Accent2 12" xfId="71" xr:uid="{00000000-0005-0000-0000-000010000000}"/>
    <cellStyle name="20% - Accent2 13" xfId="72" xr:uid="{00000000-0005-0000-0000-000011000000}"/>
    <cellStyle name="20% - Accent2 2" xfId="7" xr:uid="{00000000-0005-0000-0000-000012000000}"/>
    <cellStyle name="20% - Accent2 3" xfId="73" xr:uid="{00000000-0005-0000-0000-000013000000}"/>
    <cellStyle name="20% - Accent2 4" xfId="74" xr:uid="{00000000-0005-0000-0000-000014000000}"/>
    <cellStyle name="20% - Accent2 5" xfId="75" xr:uid="{00000000-0005-0000-0000-000015000000}"/>
    <cellStyle name="20% - Accent2 6" xfId="76" xr:uid="{00000000-0005-0000-0000-000016000000}"/>
    <cellStyle name="20% - Accent2 7" xfId="77" xr:uid="{00000000-0005-0000-0000-000017000000}"/>
    <cellStyle name="20% - Accent2 8" xfId="78" xr:uid="{00000000-0005-0000-0000-000018000000}"/>
    <cellStyle name="20% - Accent2 9" xfId="79" xr:uid="{00000000-0005-0000-0000-000019000000}"/>
    <cellStyle name="20% - Accent3 10" xfId="80" xr:uid="{00000000-0005-0000-0000-00001A000000}"/>
    <cellStyle name="20% - Accent3 11" xfId="81" xr:uid="{00000000-0005-0000-0000-00001B000000}"/>
    <cellStyle name="20% - Accent3 12" xfId="82" xr:uid="{00000000-0005-0000-0000-00001C000000}"/>
    <cellStyle name="20% - Accent3 13" xfId="83" xr:uid="{00000000-0005-0000-0000-00001D000000}"/>
    <cellStyle name="20% - Accent3 2" xfId="8" xr:uid="{00000000-0005-0000-0000-00001E000000}"/>
    <cellStyle name="20% - Accent3 3" xfId="84" xr:uid="{00000000-0005-0000-0000-00001F000000}"/>
    <cellStyle name="20% - Accent3 4" xfId="85" xr:uid="{00000000-0005-0000-0000-000020000000}"/>
    <cellStyle name="20% - Accent3 5" xfId="86" xr:uid="{00000000-0005-0000-0000-000021000000}"/>
    <cellStyle name="20% - Accent3 6" xfId="87" xr:uid="{00000000-0005-0000-0000-000022000000}"/>
    <cellStyle name="20% - Accent3 7" xfId="88" xr:uid="{00000000-0005-0000-0000-000023000000}"/>
    <cellStyle name="20% - Accent3 8" xfId="89" xr:uid="{00000000-0005-0000-0000-000024000000}"/>
    <cellStyle name="20% - Accent3 9" xfId="90" xr:uid="{00000000-0005-0000-0000-000025000000}"/>
    <cellStyle name="20% - Accent4 10" xfId="91" xr:uid="{00000000-0005-0000-0000-000026000000}"/>
    <cellStyle name="20% - Accent4 11" xfId="92" xr:uid="{00000000-0005-0000-0000-000027000000}"/>
    <cellStyle name="20% - Accent4 12" xfId="93" xr:uid="{00000000-0005-0000-0000-000028000000}"/>
    <cellStyle name="20% - Accent4 13" xfId="94" xr:uid="{00000000-0005-0000-0000-000029000000}"/>
    <cellStyle name="20% - Accent4 2" xfId="9" xr:uid="{00000000-0005-0000-0000-00002A000000}"/>
    <cellStyle name="20% - Accent4 3" xfId="95" xr:uid="{00000000-0005-0000-0000-00002B000000}"/>
    <cellStyle name="20% - Accent4 4" xfId="96" xr:uid="{00000000-0005-0000-0000-00002C000000}"/>
    <cellStyle name="20% - Accent4 5" xfId="97" xr:uid="{00000000-0005-0000-0000-00002D000000}"/>
    <cellStyle name="20% - Accent4 6" xfId="98" xr:uid="{00000000-0005-0000-0000-00002E000000}"/>
    <cellStyle name="20% - Accent4 7" xfId="99" xr:uid="{00000000-0005-0000-0000-00002F000000}"/>
    <cellStyle name="20% - Accent4 8" xfId="100" xr:uid="{00000000-0005-0000-0000-000030000000}"/>
    <cellStyle name="20% - Accent4 9" xfId="101" xr:uid="{00000000-0005-0000-0000-000031000000}"/>
    <cellStyle name="20% - Accent5 10" xfId="102" xr:uid="{00000000-0005-0000-0000-000032000000}"/>
    <cellStyle name="20% - Accent5 11" xfId="103" xr:uid="{00000000-0005-0000-0000-000033000000}"/>
    <cellStyle name="20% - Accent5 12" xfId="104" xr:uid="{00000000-0005-0000-0000-000034000000}"/>
    <cellStyle name="20% - Accent5 13" xfId="105" xr:uid="{00000000-0005-0000-0000-000035000000}"/>
    <cellStyle name="20% - Accent5 2" xfId="10" xr:uid="{00000000-0005-0000-0000-000036000000}"/>
    <cellStyle name="20% - Accent5 3" xfId="106" xr:uid="{00000000-0005-0000-0000-000037000000}"/>
    <cellStyle name="20% - Accent5 4" xfId="107" xr:uid="{00000000-0005-0000-0000-000038000000}"/>
    <cellStyle name="20% - Accent5 5" xfId="108" xr:uid="{00000000-0005-0000-0000-000039000000}"/>
    <cellStyle name="20% - Accent5 6" xfId="109" xr:uid="{00000000-0005-0000-0000-00003A000000}"/>
    <cellStyle name="20% - Accent5 7" xfId="110" xr:uid="{00000000-0005-0000-0000-00003B000000}"/>
    <cellStyle name="20% - Accent5 8" xfId="111" xr:uid="{00000000-0005-0000-0000-00003C000000}"/>
    <cellStyle name="20% - Accent5 9" xfId="112" xr:uid="{00000000-0005-0000-0000-00003D000000}"/>
    <cellStyle name="20% - Accent6 10" xfId="113" xr:uid="{00000000-0005-0000-0000-00003E000000}"/>
    <cellStyle name="20% - Accent6 11" xfId="114" xr:uid="{00000000-0005-0000-0000-00003F000000}"/>
    <cellStyle name="20% - Accent6 12" xfId="115" xr:uid="{00000000-0005-0000-0000-000040000000}"/>
    <cellStyle name="20% - Accent6 13" xfId="116" xr:uid="{00000000-0005-0000-0000-000041000000}"/>
    <cellStyle name="20% - Accent6 2" xfId="11" xr:uid="{00000000-0005-0000-0000-000042000000}"/>
    <cellStyle name="20% - Accent6 3" xfId="117" xr:uid="{00000000-0005-0000-0000-000043000000}"/>
    <cellStyle name="20% - Accent6 4" xfId="118" xr:uid="{00000000-0005-0000-0000-000044000000}"/>
    <cellStyle name="20% - Accent6 5" xfId="119" xr:uid="{00000000-0005-0000-0000-000045000000}"/>
    <cellStyle name="20% - Accent6 6" xfId="120" xr:uid="{00000000-0005-0000-0000-000046000000}"/>
    <cellStyle name="20% - Accent6 7" xfId="121" xr:uid="{00000000-0005-0000-0000-000047000000}"/>
    <cellStyle name="20% - Accent6 8" xfId="122" xr:uid="{00000000-0005-0000-0000-000048000000}"/>
    <cellStyle name="20% - Accent6 9" xfId="123" xr:uid="{00000000-0005-0000-0000-000049000000}"/>
    <cellStyle name="40% - Accent1 10" xfId="124" xr:uid="{00000000-0005-0000-0000-00004A000000}"/>
    <cellStyle name="40% - Accent1 11" xfId="125" xr:uid="{00000000-0005-0000-0000-00004B000000}"/>
    <cellStyle name="40% - Accent1 12" xfId="126" xr:uid="{00000000-0005-0000-0000-00004C000000}"/>
    <cellStyle name="40% - Accent1 13" xfId="127" xr:uid="{00000000-0005-0000-0000-00004D000000}"/>
    <cellStyle name="40% - Accent1 2" xfId="12" xr:uid="{00000000-0005-0000-0000-00004E000000}"/>
    <cellStyle name="40% - Accent1 3" xfId="128" xr:uid="{00000000-0005-0000-0000-00004F000000}"/>
    <cellStyle name="40% - Accent1 4" xfId="129" xr:uid="{00000000-0005-0000-0000-000050000000}"/>
    <cellStyle name="40% - Accent1 5" xfId="130" xr:uid="{00000000-0005-0000-0000-000051000000}"/>
    <cellStyle name="40% - Accent1 6" xfId="131" xr:uid="{00000000-0005-0000-0000-000052000000}"/>
    <cellStyle name="40% - Accent1 7" xfId="132" xr:uid="{00000000-0005-0000-0000-000053000000}"/>
    <cellStyle name="40% - Accent1 8" xfId="133" xr:uid="{00000000-0005-0000-0000-000054000000}"/>
    <cellStyle name="40% - Accent1 9" xfId="134" xr:uid="{00000000-0005-0000-0000-000055000000}"/>
    <cellStyle name="40% - Accent2 10" xfId="135" xr:uid="{00000000-0005-0000-0000-000056000000}"/>
    <cellStyle name="40% - Accent2 11" xfId="136" xr:uid="{00000000-0005-0000-0000-000057000000}"/>
    <cellStyle name="40% - Accent2 12" xfId="137" xr:uid="{00000000-0005-0000-0000-000058000000}"/>
    <cellStyle name="40% - Accent2 13" xfId="138" xr:uid="{00000000-0005-0000-0000-000059000000}"/>
    <cellStyle name="40% - Accent2 2" xfId="13" xr:uid="{00000000-0005-0000-0000-00005A000000}"/>
    <cellStyle name="40% - Accent2 3" xfId="139" xr:uid="{00000000-0005-0000-0000-00005B000000}"/>
    <cellStyle name="40% - Accent2 4" xfId="140" xr:uid="{00000000-0005-0000-0000-00005C000000}"/>
    <cellStyle name="40% - Accent2 5" xfId="141" xr:uid="{00000000-0005-0000-0000-00005D000000}"/>
    <cellStyle name="40% - Accent2 6" xfId="142" xr:uid="{00000000-0005-0000-0000-00005E000000}"/>
    <cellStyle name="40% - Accent2 7" xfId="143" xr:uid="{00000000-0005-0000-0000-00005F000000}"/>
    <cellStyle name="40% - Accent2 8" xfId="144" xr:uid="{00000000-0005-0000-0000-000060000000}"/>
    <cellStyle name="40% - Accent2 9" xfId="145" xr:uid="{00000000-0005-0000-0000-000061000000}"/>
    <cellStyle name="40% - Accent3 10" xfId="146" xr:uid="{00000000-0005-0000-0000-000062000000}"/>
    <cellStyle name="40% - Accent3 11" xfId="147" xr:uid="{00000000-0005-0000-0000-000063000000}"/>
    <cellStyle name="40% - Accent3 12" xfId="148" xr:uid="{00000000-0005-0000-0000-000064000000}"/>
    <cellStyle name="40% - Accent3 13" xfId="149" xr:uid="{00000000-0005-0000-0000-000065000000}"/>
    <cellStyle name="40% - Accent3 2" xfId="14" xr:uid="{00000000-0005-0000-0000-000066000000}"/>
    <cellStyle name="40% - Accent3 3" xfId="150" xr:uid="{00000000-0005-0000-0000-000067000000}"/>
    <cellStyle name="40% - Accent3 4" xfId="151" xr:uid="{00000000-0005-0000-0000-000068000000}"/>
    <cellStyle name="40% - Accent3 5" xfId="152" xr:uid="{00000000-0005-0000-0000-000069000000}"/>
    <cellStyle name="40% - Accent3 6" xfId="153" xr:uid="{00000000-0005-0000-0000-00006A000000}"/>
    <cellStyle name="40% - Accent3 7" xfId="154" xr:uid="{00000000-0005-0000-0000-00006B000000}"/>
    <cellStyle name="40% - Accent3 8" xfId="155" xr:uid="{00000000-0005-0000-0000-00006C000000}"/>
    <cellStyle name="40% - Accent3 9" xfId="156" xr:uid="{00000000-0005-0000-0000-00006D000000}"/>
    <cellStyle name="40% - Accent4 10" xfId="157" xr:uid="{00000000-0005-0000-0000-00006E000000}"/>
    <cellStyle name="40% - Accent4 11" xfId="158" xr:uid="{00000000-0005-0000-0000-00006F000000}"/>
    <cellStyle name="40% - Accent4 12" xfId="159" xr:uid="{00000000-0005-0000-0000-000070000000}"/>
    <cellStyle name="40% - Accent4 13" xfId="160" xr:uid="{00000000-0005-0000-0000-000071000000}"/>
    <cellStyle name="40% - Accent4 2" xfId="15" xr:uid="{00000000-0005-0000-0000-000072000000}"/>
    <cellStyle name="40% - Accent4 3" xfId="161" xr:uid="{00000000-0005-0000-0000-000073000000}"/>
    <cellStyle name="40% - Accent4 4" xfId="162" xr:uid="{00000000-0005-0000-0000-000074000000}"/>
    <cellStyle name="40% - Accent4 5" xfId="163" xr:uid="{00000000-0005-0000-0000-000075000000}"/>
    <cellStyle name="40% - Accent4 6" xfId="164" xr:uid="{00000000-0005-0000-0000-000076000000}"/>
    <cellStyle name="40% - Accent4 7" xfId="165" xr:uid="{00000000-0005-0000-0000-000077000000}"/>
    <cellStyle name="40% - Accent4 8" xfId="166" xr:uid="{00000000-0005-0000-0000-000078000000}"/>
    <cellStyle name="40% - Accent4 9" xfId="167" xr:uid="{00000000-0005-0000-0000-000079000000}"/>
    <cellStyle name="40% - Accent5 10" xfId="168" xr:uid="{00000000-0005-0000-0000-00007A000000}"/>
    <cellStyle name="40% - Accent5 11" xfId="169" xr:uid="{00000000-0005-0000-0000-00007B000000}"/>
    <cellStyle name="40% - Accent5 12" xfId="170" xr:uid="{00000000-0005-0000-0000-00007C000000}"/>
    <cellStyle name="40% - Accent5 13" xfId="171" xr:uid="{00000000-0005-0000-0000-00007D000000}"/>
    <cellStyle name="40% - Accent5 2" xfId="16" xr:uid="{00000000-0005-0000-0000-00007E000000}"/>
    <cellStyle name="40% - Accent5 3" xfId="172" xr:uid="{00000000-0005-0000-0000-00007F000000}"/>
    <cellStyle name="40% - Accent5 4" xfId="173" xr:uid="{00000000-0005-0000-0000-000080000000}"/>
    <cellStyle name="40% - Accent5 5" xfId="174" xr:uid="{00000000-0005-0000-0000-000081000000}"/>
    <cellStyle name="40% - Accent5 6" xfId="175" xr:uid="{00000000-0005-0000-0000-000082000000}"/>
    <cellStyle name="40% - Accent5 7" xfId="176" xr:uid="{00000000-0005-0000-0000-000083000000}"/>
    <cellStyle name="40% - Accent5 8" xfId="177" xr:uid="{00000000-0005-0000-0000-000084000000}"/>
    <cellStyle name="40% - Accent5 9" xfId="178" xr:uid="{00000000-0005-0000-0000-000085000000}"/>
    <cellStyle name="40% - Accent6 10" xfId="179" xr:uid="{00000000-0005-0000-0000-000086000000}"/>
    <cellStyle name="40% - Accent6 11" xfId="180" xr:uid="{00000000-0005-0000-0000-000087000000}"/>
    <cellStyle name="40% - Accent6 12" xfId="181" xr:uid="{00000000-0005-0000-0000-000088000000}"/>
    <cellStyle name="40% - Accent6 13" xfId="182" xr:uid="{00000000-0005-0000-0000-000089000000}"/>
    <cellStyle name="40% - Accent6 2" xfId="17" xr:uid="{00000000-0005-0000-0000-00008A000000}"/>
    <cellStyle name="40% - Accent6 3" xfId="183" xr:uid="{00000000-0005-0000-0000-00008B000000}"/>
    <cellStyle name="40% - Accent6 4" xfId="184" xr:uid="{00000000-0005-0000-0000-00008C000000}"/>
    <cellStyle name="40% - Accent6 5" xfId="185" xr:uid="{00000000-0005-0000-0000-00008D000000}"/>
    <cellStyle name="40% - Accent6 6" xfId="186" xr:uid="{00000000-0005-0000-0000-00008E000000}"/>
    <cellStyle name="40% - Accent6 7" xfId="187" xr:uid="{00000000-0005-0000-0000-00008F000000}"/>
    <cellStyle name="40% - Accent6 8" xfId="188" xr:uid="{00000000-0005-0000-0000-000090000000}"/>
    <cellStyle name="40% - Accent6 9" xfId="189" xr:uid="{00000000-0005-0000-0000-000091000000}"/>
    <cellStyle name="60% - Accent1 10" xfId="190" xr:uid="{00000000-0005-0000-0000-000092000000}"/>
    <cellStyle name="60% - Accent1 11" xfId="191" xr:uid="{00000000-0005-0000-0000-000093000000}"/>
    <cellStyle name="60% - Accent1 12" xfId="192" xr:uid="{00000000-0005-0000-0000-000094000000}"/>
    <cellStyle name="60% - Accent1 13" xfId="193" xr:uid="{00000000-0005-0000-0000-000095000000}"/>
    <cellStyle name="60% - Accent1 2" xfId="18" xr:uid="{00000000-0005-0000-0000-000096000000}"/>
    <cellStyle name="60% - Accent1 3" xfId="194" xr:uid="{00000000-0005-0000-0000-000097000000}"/>
    <cellStyle name="60% - Accent1 4" xfId="195" xr:uid="{00000000-0005-0000-0000-000098000000}"/>
    <cellStyle name="60% - Accent1 5" xfId="196" xr:uid="{00000000-0005-0000-0000-000099000000}"/>
    <cellStyle name="60% - Accent1 6" xfId="197" xr:uid="{00000000-0005-0000-0000-00009A000000}"/>
    <cellStyle name="60% - Accent1 7" xfId="198" xr:uid="{00000000-0005-0000-0000-00009B000000}"/>
    <cellStyle name="60% - Accent1 8" xfId="199" xr:uid="{00000000-0005-0000-0000-00009C000000}"/>
    <cellStyle name="60% - Accent1 9" xfId="200" xr:uid="{00000000-0005-0000-0000-00009D000000}"/>
    <cellStyle name="60% - Accent2 10" xfId="201" xr:uid="{00000000-0005-0000-0000-00009E000000}"/>
    <cellStyle name="60% - Accent2 11" xfId="202" xr:uid="{00000000-0005-0000-0000-00009F000000}"/>
    <cellStyle name="60% - Accent2 12" xfId="203" xr:uid="{00000000-0005-0000-0000-0000A0000000}"/>
    <cellStyle name="60% - Accent2 13" xfId="204" xr:uid="{00000000-0005-0000-0000-0000A1000000}"/>
    <cellStyle name="60% - Accent2 2" xfId="19" xr:uid="{00000000-0005-0000-0000-0000A2000000}"/>
    <cellStyle name="60% - Accent2 3" xfId="205" xr:uid="{00000000-0005-0000-0000-0000A3000000}"/>
    <cellStyle name="60% - Accent2 4" xfId="206" xr:uid="{00000000-0005-0000-0000-0000A4000000}"/>
    <cellStyle name="60% - Accent2 5" xfId="207" xr:uid="{00000000-0005-0000-0000-0000A5000000}"/>
    <cellStyle name="60% - Accent2 6" xfId="208" xr:uid="{00000000-0005-0000-0000-0000A6000000}"/>
    <cellStyle name="60% - Accent2 7" xfId="209" xr:uid="{00000000-0005-0000-0000-0000A7000000}"/>
    <cellStyle name="60% - Accent2 8" xfId="210" xr:uid="{00000000-0005-0000-0000-0000A8000000}"/>
    <cellStyle name="60% - Accent2 9" xfId="211" xr:uid="{00000000-0005-0000-0000-0000A9000000}"/>
    <cellStyle name="60% - Accent3 10" xfId="212" xr:uid="{00000000-0005-0000-0000-0000AA000000}"/>
    <cellStyle name="60% - Accent3 11" xfId="213" xr:uid="{00000000-0005-0000-0000-0000AB000000}"/>
    <cellStyle name="60% - Accent3 12" xfId="214" xr:uid="{00000000-0005-0000-0000-0000AC000000}"/>
    <cellStyle name="60% - Accent3 13" xfId="215" xr:uid="{00000000-0005-0000-0000-0000AD000000}"/>
    <cellStyle name="60% - Accent3 2" xfId="20" xr:uid="{00000000-0005-0000-0000-0000AE000000}"/>
    <cellStyle name="60% - Accent3 3" xfId="216" xr:uid="{00000000-0005-0000-0000-0000AF000000}"/>
    <cellStyle name="60% - Accent3 4" xfId="217" xr:uid="{00000000-0005-0000-0000-0000B0000000}"/>
    <cellStyle name="60% - Accent3 5" xfId="218" xr:uid="{00000000-0005-0000-0000-0000B1000000}"/>
    <cellStyle name="60% - Accent3 6" xfId="219" xr:uid="{00000000-0005-0000-0000-0000B2000000}"/>
    <cellStyle name="60% - Accent3 7" xfId="220" xr:uid="{00000000-0005-0000-0000-0000B3000000}"/>
    <cellStyle name="60% - Accent3 8" xfId="221" xr:uid="{00000000-0005-0000-0000-0000B4000000}"/>
    <cellStyle name="60% - Accent3 9" xfId="222" xr:uid="{00000000-0005-0000-0000-0000B5000000}"/>
    <cellStyle name="60% - Accent4 10" xfId="223" xr:uid="{00000000-0005-0000-0000-0000B6000000}"/>
    <cellStyle name="60% - Accent4 11" xfId="224" xr:uid="{00000000-0005-0000-0000-0000B7000000}"/>
    <cellStyle name="60% - Accent4 12" xfId="225" xr:uid="{00000000-0005-0000-0000-0000B8000000}"/>
    <cellStyle name="60% - Accent4 13" xfId="226" xr:uid="{00000000-0005-0000-0000-0000B9000000}"/>
    <cellStyle name="60% - Accent4 2" xfId="21" xr:uid="{00000000-0005-0000-0000-0000BA000000}"/>
    <cellStyle name="60% - Accent4 3" xfId="227" xr:uid="{00000000-0005-0000-0000-0000BB000000}"/>
    <cellStyle name="60% - Accent4 4" xfId="228" xr:uid="{00000000-0005-0000-0000-0000BC000000}"/>
    <cellStyle name="60% - Accent4 5" xfId="229" xr:uid="{00000000-0005-0000-0000-0000BD000000}"/>
    <cellStyle name="60% - Accent4 6" xfId="230" xr:uid="{00000000-0005-0000-0000-0000BE000000}"/>
    <cellStyle name="60% - Accent4 7" xfId="231" xr:uid="{00000000-0005-0000-0000-0000BF000000}"/>
    <cellStyle name="60% - Accent4 8" xfId="232" xr:uid="{00000000-0005-0000-0000-0000C0000000}"/>
    <cellStyle name="60% - Accent4 9" xfId="233" xr:uid="{00000000-0005-0000-0000-0000C1000000}"/>
    <cellStyle name="60% - Accent5 10" xfId="234" xr:uid="{00000000-0005-0000-0000-0000C2000000}"/>
    <cellStyle name="60% - Accent5 11" xfId="235" xr:uid="{00000000-0005-0000-0000-0000C3000000}"/>
    <cellStyle name="60% - Accent5 12" xfId="236" xr:uid="{00000000-0005-0000-0000-0000C4000000}"/>
    <cellStyle name="60% - Accent5 13" xfId="237" xr:uid="{00000000-0005-0000-0000-0000C5000000}"/>
    <cellStyle name="60% - Accent5 2" xfId="22" xr:uid="{00000000-0005-0000-0000-0000C6000000}"/>
    <cellStyle name="60% - Accent5 3" xfId="238" xr:uid="{00000000-0005-0000-0000-0000C7000000}"/>
    <cellStyle name="60% - Accent5 4" xfId="239" xr:uid="{00000000-0005-0000-0000-0000C8000000}"/>
    <cellStyle name="60% - Accent5 5" xfId="240" xr:uid="{00000000-0005-0000-0000-0000C9000000}"/>
    <cellStyle name="60% - Accent5 6" xfId="241" xr:uid="{00000000-0005-0000-0000-0000CA000000}"/>
    <cellStyle name="60% - Accent5 7" xfId="242" xr:uid="{00000000-0005-0000-0000-0000CB000000}"/>
    <cellStyle name="60% - Accent5 8" xfId="243" xr:uid="{00000000-0005-0000-0000-0000CC000000}"/>
    <cellStyle name="60% - Accent5 9" xfId="244" xr:uid="{00000000-0005-0000-0000-0000CD000000}"/>
    <cellStyle name="60% - Accent6 10" xfId="245" xr:uid="{00000000-0005-0000-0000-0000CE000000}"/>
    <cellStyle name="60% - Accent6 11" xfId="246" xr:uid="{00000000-0005-0000-0000-0000CF000000}"/>
    <cellStyle name="60% - Accent6 12" xfId="247" xr:uid="{00000000-0005-0000-0000-0000D0000000}"/>
    <cellStyle name="60% - Accent6 13" xfId="248" xr:uid="{00000000-0005-0000-0000-0000D1000000}"/>
    <cellStyle name="60% - Accent6 2" xfId="23" xr:uid="{00000000-0005-0000-0000-0000D2000000}"/>
    <cellStyle name="60% - Accent6 3" xfId="249" xr:uid="{00000000-0005-0000-0000-0000D3000000}"/>
    <cellStyle name="60% - Accent6 4" xfId="250" xr:uid="{00000000-0005-0000-0000-0000D4000000}"/>
    <cellStyle name="60% - Accent6 5" xfId="251" xr:uid="{00000000-0005-0000-0000-0000D5000000}"/>
    <cellStyle name="60% - Accent6 6" xfId="252" xr:uid="{00000000-0005-0000-0000-0000D6000000}"/>
    <cellStyle name="60% - Accent6 7" xfId="253" xr:uid="{00000000-0005-0000-0000-0000D7000000}"/>
    <cellStyle name="60% - Accent6 8" xfId="254" xr:uid="{00000000-0005-0000-0000-0000D8000000}"/>
    <cellStyle name="60% - Accent6 9" xfId="255" xr:uid="{00000000-0005-0000-0000-0000D9000000}"/>
    <cellStyle name="Accent1 10" xfId="256" xr:uid="{00000000-0005-0000-0000-0000DA000000}"/>
    <cellStyle name="Accent1 11" xfId="257" xr:uid="{00000000-0005-0000-0000-0000DB000000}"/>
    <cellStyle name="Accent1 12" xfId="258" xr:uid="{00000000-0005-0000-0000-0000DC000000}"/>
    <cellStyle name="Accent1 13" xfId="259" xr:uid="{00000000-0005-0000-0000-0000DD000000}"/>
    <cellStyle name="Accent1 14" xfId="711" xr:uid="{00000000-0005-0000-0000-0000DE000000}"/>
    <cellStyle name="Accent1 2" xfId="24" xr:uid="{00000000-0005-0000-0000-0000DF000000}"/>
    <cellStyle name="Accent1 3" xfId="260" xr:uid="{00000000-0005-0000-0000-0000E0000000}"/>
    <cellStyle name="Accent1 4" xfId="261" xr:uid="{00000000-0005-0000-0000-0000E1000000}"/>
    <cellStyle name="Accent1 5" xfId="262" xr:uid="{00000000-0005-0000-0000-0000E2000000}"/>
    <cellStyle name="Accent1 6" xfId="263" xr:uid="{00000000-0005-0000-0000-0000E3000000}"/>
    <cellStyle name="Accent1 7" xfId="264" xr:uid="{00000000-0005-0000-0000-0000E4000000}"/>
    <cellStyle name="Accent1 8" xfId="265" xr:uid="{00000000-0005-0000-0000-0000E5000000}"/>
    <cellStyle name="Accent1 9" xfId="266" xr:uid="{00000000-0005-0000-0000-0000E6000000}"/>
    <cellStyle name="Accent2 10" xfId="267" xr:uid="{00000000-0005-0000-0000-0000E7000000}"/>
    <cellStyle name="Accent2 11" xfId="268" xr:uid="{00000000-0005-0000-0000-0000E8000000}"/>
    <cellStyle name="Accent2 12" xfId="269" xr:uid="{00000000-0005-0000-0000-0000E9000000}"/>
    <cellStyle name="Accent2 13" xfId="270" xr:uid="{00000000-0005-0000-0000-0000EA000000}"/>
    <cellStyle name="Accent2 2" xfId="25" xr:uid="{00000000-0005-0000-0000-0000EB000000}"/>
    <cellStyle name="Accent2 3" xfId="271" xr:uid="{00000000-0005-0000-0000-0000EC000000}"/>
    <cellStyle name="Accent2 4" xfId="272" xr:uid="{00000000-0005-0000-0000-0000ED000000}"/>
    <cellStyle name="Accent2 5" xfId="273" xr:uid="{00000000-0005-0000-0000-0000EE000000}"/>
    <cellStyle name="Accent2 6" xfId="274" xr:uid="{00000000-0005-0000-0000-0000EF000000}"/>
    <cellStyle name="Accent2 7" xfId="275" xr:uid="{00000000-0005-0000-0000-0000F0000000}"/>
    <cellStyle name="Accent2 8" xfId="276" xr:uid="{00000000-0005-0000-0000-0000F1000000}"/>
    <cellStyle name="Accent2 9" xfId="277" xr:uid="{00000000-0005-0000-0000-0000F2000000}"/>
    <cellStyle name="Accent3 10" xfId="278" xr:uid="{00000000-0005-0000-0000-0000F3000000}"/>
    <cellStyle name="Accent3 11" xfId="279" xr:uid="{00000000-0005-0000-0000-0000F4000000}"/>
    <cellStyle name="Accent3 12" xfId="280" xr:uid="{00000000-0005-0000-0000-0000F5000000}"/>
    <cellStyle name="Accent3 13" xfId="281" xr:uid="{00000000-0005-0000-0000-0000F6000000}"/>
    <cellStyle name="Accent3 2" xfId="26" xr:uid="{00000000-0005-0000-0000-0000F7000000}"/>
    <cellStyle name="Accent3 3" xfId="282" xr:uid="{00000000-0005-0000-0000-0000F8000000}"/>
    <cellStyle name="Accent3 4" xfId="283" xr:uid="{00000000-0005-0000-0000-0000F9000000}"/>
    <cellStyle name="Accent3 5" xfId="284" xr:uid="{00000000-0005-0000-0000-0000FA000000}"/>
    <cellStyle name="Accent3 6" xfId="285" xr:uid="{00000000-0005-0000-0000-0000FB000000}"/>
    <cellStyle name="Accent3 7" xfId="286" xr:uid="{00000000-0005-0000-0000-0000FC000000}"/>
    <cellStyle name="Accent3 8" xfId="287" xr:uid="{00000000-0005-0000-0000-0000FD000000}"/>
    <cellStyle name="Accent3 9" xfId="288" xr:uid="{00000000-0005-0000-0000-0000FE000000}"/>
    <cellStyle name="Accent4 10" xfId="289" xr:uid="{00000000-0005-0000-0000-0000FF000000}"/>
    <cellStyle name="Accent4 11" xfId="290" xr:uid="{00000000-0005-0000-0000-000000010000}"/>
    <cellStyle name="Accent4 12" xfId="291" xr:uid="{00000000-0005-0000-0000-000001010000}"/>
    <cellStyle name="Accent4 13" xfId="292" xr:uid="{00000000-0005-0000-0000-000002010000}"/>
    <cellStyle name="Accent4 2" xfId="27" xr:uid="{00000000-0005-0000-0000-000003010000}"/>
    <cellStyle name="Accent4 3" xfId="293" xr:uid="{00000000-0005-0000-0000-000004010000}"/>
    <cellStyle name="Accent4 4" xfId="294" xr:uid="{00000000-0005-0000-0000-000005010000}"/>
    <cellStyle name="Accent4 5" xfId="295" xr:uid="{00000000-0005-0000-0000-000006010000}"/>
    <cellStyle name="Accent4 6" xfId="296" xr:uid="{00000000-0005-0000-0000-000007010000}"/>
    <cellStyle name="Accent4 7" xfId="297" xr:uid="{00000000-0005-0000-0000-000008010000}"/>
    <cellStyle name="Accent4 8" xfId="298" xr:uid="{00000000-0005-0000-0000-000009010000}"/>
    <cellStyle name="Accent4 9" xfId="299" xr:uid="{00000000-0005-0000-0000-00000A010000}"/>
    <cellStyle name="Accent5 10" xfId="300" xr:uid="{00000000-0005-0000-0000-00000B010000}"/>
    <cellStyle name="Accent5 11" xfId="301" xr:uid="{00000000-0005-0000-0000-00000C010000}"/>
    <cellStyle name="Accent5 12" xfId="302" xr:uid="{00000000-0005-0000-0000-00000D010000}"/>
    <cellStyle name="Accent5 13" xfId="303" xr:uid="{00000000-0005-0000-0000-00000E010000}"/>
    <cellStyle name="Accent5 2" xfId="28" xr:uid="{00000000-0005-0000-0000-00000F010000}"/>
    <cellStyle name="Accent5 3" xfId="304" xr:uid="{00000000-0005-0000-0000-000010010000}"/>
    <cellStyle name="Accent5 4" xfId="305" xr:uid="{00000000-0005-0000-0000-000011010000}"/>
    <cellStyle name="Accent5 5" xfId="306" xr:uid="{00000000-0005-0000-0000-000012010000}"/>
    <cellStyle name="Accent5 6" xfId="307" xr:uid="{00000000-0005-0000-0000-000013010000}"/>
    <cellStyle name="Accent5 7" xfId="308" xr:uid="{00000000-0005-0000-0000-000014010000}"/>
    <cellStyle name="Accent5 8" xfId="309" xr:uid="{00000000-0005-0000-0000-000015010000}"/>
    <cellStyle name="Accent5 9" xfId="310" xr:uid="{00000000-0005-0000-0000-000016010000}"/>
    <cellStyle name="Accent6 10" xfId="311" xr:uid="{00000000-0005-0000-0000-000017010000}"/>
    <cellStyle name="Accent6 11" xfId="312" xr:uid="{00000000-0005-0000-0000-000018010000}"/>
    <cellStyle name="Accent6 12" xfId="313" xr:uid="{00000000-0005-0000-0000-000019010000}"/>
    <cellStyle name="Accent6 13" xfId="314" xr:uid="{00000000-0005-0000-0000-00001A010000}"/>
    <cellStyle name="Accent6 2" xfId="29" xr:uid="{00000000-0005-0000-0000-00001B010000}"/>
    <cellStyle name="Accent6 3" xfId="315" xr:uid="{00000000-0005-0000-0000-00001C010000}"/>
    <cellStyle name="Accent6 4" xfId="316" xr:uid="{00000000-0005-0000-0000-00001D010000}"/>
    <cellStyle name="Accent6 5" xfId="317" xr:uid="{00000000-0005-0000-0000-00001E010000}"/>
    <cellStyle name="Accent6 6" xfId="318" xr:uid="{00000000-0005-0000-0000-00001F010000}"/>
    <cellStyle name="Accent6 7" xfId="319" xr:uid="{00000000-0005-0000-0000-000020010000}"/>
    <cellStyle name="Accent6 8" xfId="320" xr:uid="{00000000-0005-0000-0000-000021010000}"/>
    <cellStyle name="Accent6 9" xfId="321" xr:uid="{00000000-0005-0000-0000-000022010000}"/>
    <cellStyle name="Bad 10" xfId="322" xr:uid="{00000000-0005-0000-0000-000023010000}"/>
    <cellStyle name="Bad 11" xfId="323" xr:uid="{00000000-0005-0000-0000-000024010000}"/>
    <cellStyle name="Bad 12" xfId="324" xr:uid="{00000000-0005-0000-0000-000025010000}"/>
    <cellStyle name="Bad 13" xfId="325" xr:uid="{00000000-0005-0000-0000-000026010000}"/>
    <cellStyle name="Bad 2" xfId="30" xr:uid="{00000000-0005-0000-0000-000027010000}"/>
    <cellStyle name="Bad 3" xfId="326" xr:uid="{00000000-0005-0000-0000-000028010000}"/>
    <cellStyle name="Bad 4" xfId="327" xr:uid="{00000000-0005-0000-0000-000029010000}"/>
    <cellStyle name="Bad 5" xfId="328" xr:uid="{00000000-0005-0000-0000-00002A010000}"/>
    <cellStyle name="Bad 6" xfId="329" xr:uid="{00000000-0005-0000-0000-00002B010000}"/>
    <cellStyle name="Bad 7" xfId="330" xr:uid="{00000000-0005-0000-0000-00002C010000}"/>
    <cellStyle name="Bad 8" xfId="331" xr:uid="{00000000-0005-0000-0000-00002D010000}"/>
    <cellStyle name="Bad 9" xfId="332" xr:uid="{00000000-0005-0000-0000-00002E010000}"/>
    <cellStyle name="Blue Font" xfId="333" xr:uid="{00000000-0005-0000-0000-00002F010000}"/>
    <cellStyle name="Blue Font 2" xfId="621" xr:uid="{00000000-0005-0000-0000-000030010000}"/>
    <cellStyle name="Blue, Bold" xfId="334" xr:uid="{00000000-0005-0000-0000-000031010000}"/>
    <cellStyle name="Blue, Bold 2" xfId="622" xr:uid="{00000000-0005-0000-0000-000032010000}"/>
    <cellStyle name="Bottom Border, Unlocked" xfId="335" xr:uid="{00000000-0005-0000-0000-000033010000}"/>
    <cellStyle name="Bottom Border, Unlocked 2" xfId="616" xr:uid="{00000000-0005-0000-0000-000034010000}"/>
    <cellStyle name="Bottom Border, Unlocked 3" xfId="615" xr:uid="{00000000-0005-0000-0000-000035010000}"/>
    <cellStyle name="Bottom Border, Unlocked 4" xfId="623" xr:uid="{00000000-0005-0000-0000-000036010000}"/>
    <cellStyle name="Calculation 10" xfId="336" xr:uid="{00000000-0005-0000-0000-000037010000}"/>
    <cellStyle name="Calculation 11" xfId="337" xr:uid="{00000000-0005-0000-0000-000038010000}"/>
    <cellStyle name="Calculation 12" xfId="338" xr:uid="{00000000-0005-0000-0000-000039010000}"/>
    <cellStyle name="Calculation 13" xfId="339" xr:uid="{00000000-0005-0000-0000-00003A010000}"/>
    <cellStyle name="Calculation 14" xfId="712" xr:uid="{00000000-0005-0000-0000-00003B010000}"/>
    <cellStyle name="Calculation 2" xfId="31" xr:uid="{00000000-0005-0000-0000-00003C010000}"/>
    <cellStyle name="Calculation 3" xfId="340" xr:uid="{00000000-0005-0000-0000-00003D010000}"/>
    <cellStyle name="Calculation 4" xfId="341" xr:uid="{00000000-0005-0000-0000-00003E010000}"/>
    <cellStyle name="Calculation 5" xfId="342" xr:uid="{00000000-0005-0000-0000-00003F010000}"/>
    <cellStyle name="Calculation 6" xfId="343" xr:uid="{00000000-0005-0000-0000-000040010000}"/>
    <cellStyle name="Calculation 7" xfId="344" xr:uid="{00000000-0005-0000-0000-000041010000}"/>
    <cellStyle name="Calculation 8" xfId="345" xr:uid="{00000000-0005-0000-0000-000042010000}"/>
    <cellStyle name="Calculation 9" xfId="346" xr:uid="{00000000-0005-0000-0000-000043010000}"/>
    <cellStyle name="Check Cell 10" xfId="347" xr:uid="{00000000-0005-0000-0000-000044010000}"/>
    <cellStyle name="Check Cell 11" xfId="348" xr:uid="{00000000-0005-0000-0000-000045010000}"/>
    <cellStyle name="Check Cell 12" xfId="349" xr:uid="{00000000-0005-0000-0000-000046010000}"/>
    <cellStyle name="Check Cell 13" xfId="350" xr:uid="{00000000-0005-0000-0000-000047010000}"/>
    <cellStyle name="Check Cell 2" xfId="32" xr:uid="{00000000-0005-0000-0000-000048010000}"/>
    <cellStyle name="Check Cell 3" xfId="351" xr:uid="{00000000-0005-0000-0000-000049010000}"/>
    <cellStyle name="Check Cell 4" xfId="352" xr:uid="{00000000-0005-0000-0000-00004A010000}"/>
    <cellStyle name="Check Cell 5" xfId="353" xr:uid="{00000000-0005-0000-0000-00004B010000}"/>
    <cellStyle name="Check Cell 6" xfId="354" xr:uid="{00000000-0005-0000-0000-00004C010000}"/>
    <cellStyle name="Check Cell 7" xfId="355" xr:uid="{00000000-0005-0000-0000-00004D010000}"/>
    <cellStyle name="Check Cell 8" xfId="356" xr:uid="{00000000-0005-0000-0000-00004E010000}"/>
    <cellStyle name="Check Cell 9" xfId="357" xr:uid="{00000000-0005-0000-0000-00004F010000}"/>
    <cellStyle name="Comma" xfId="610" builtinId="3"/>
    <cellStyle name="Comma 2" xfId="33" xr:uid="{00000000-0005-0000-0000-000051010000}"/>
    <cellStyle name="Comma 2 10" xfId="358" xr:uid="{00000000-0005-0000-0000-000052010000}"/>
    <cellStyle name="Comma 2 11" xfId="359" xr:uid="{00000000-0005-0000-0000-000053010000}"/>
    <cellStyle name="Comma 2 12" xfId="360" xr:uid="{00000000-0005-0000-0000-000054010000}"/>
    <cellStyle name="Comma 2 13" xfId="361" xr:uid="{00000000-0005-0000-0000-000055010000}"/>
    <cellStyle name="Comma 2 14" xfId="362" xr:uid="{00000000-0005-0000-0000-000056010000}"/>
    <cellStyle name="Comma 2 15" xfId="363" xr:uid="{00000000-0005-0000-0000-000057010000}"/>
    <cellStyle name="Comma 2 16" xfId="364" xr:uid="{00000000-0005-0000-0000-000058010000}"/>
    <cellStyle name="Comma 2 17" xfId="365" xr:uid="{00000000-0005-0000-0000-000059010000}"/>
    <cellStyle name="Comma 2 18" xfId="366" xr:uid="{00000000-0005-0000-0000-00005A010000}"/>
    <cellStyle name="Comma 2 19" xfId="367" xr:uid="{00000000-0005-0000-0000-00005B010000}"/>
    <cellStyle name="Comma 2 2" xfId="34" xr:uid="{00000000-0005-0000-0000-00005C010000}"/>
    <cellStyle name="Comma 2 2 2" xfId="632" xr:uid="{00000000-0005-0000-0000-00005D010000}"/>
    <cellStyle name="Comma 2 20" xfId="368" xr:uid="{00000000-0005-0000-0000-00005E010000}"/>
    <cellStyle name="Comma 2 3" xfId="369" xr:uid="{00000000-0005-0000-0000-00005F010000}"/>
    <cellStyle name="Comma 2 3 2" xfId="633" xr:uid="{00000000-0005-0000-0000-000060010000}"/>
    <cellStyle name="Comma 2 4" xfId="370" xr:uid="{00000000-0005-0000-0000-000061010000}"/>
    <cellStyle name="Comma 2 4 2" xfId="634" xr:uid="{00000000-0005-0000-0000-000062010000}"/>
    <cellStyle name="Comma 2 5" xfId="371" xr:uid="{00000000-0005-0000-0000-000063010000}"/>
    <cellStyle name="Comma 2 5 2" xfId="635" xr:uid="{00000000-0005-0000-0000-000064010000}"/>
    <cellStyle name="Comma 2 6" xfId="372" xr:uid="{00000000-0005-0000-0000-000065010000}"/>
    <cellStyle name="Comma 2 6 2" xfId="636" xr:uid="{00000000-0005-0000-0000-000066010000}"/>
    <cellStyle name="Comma 2 7" xfId="373" xr:uid="{00000000-0005-0000-0000-000067010000}"/>
    <cellStyle name="Comma 2 7 2" xfId="637" xr:uid="{00000000-0005-0000-0000-000068010000}"/>
    <cellStyle name="Comma 2 8" xfId="374" xr:uid="{00000000-0005-0000-0000-000069010000}"/>
    <cellStyle name="Comma 2 8 2" xfId="638" xr:uid="{00000000-0005-0000-0000-00006A010000}"/>
    <cellStyle name="Comma 2 9" xfId="375" xr:uid="{00000000-0005-0000-0000-00006B010000}"/>
    <cellStyle name="Comma 3" xfId="56" xr:uid="{00000000-0005-0000-0000-00006C010000}"/>
    <cellStyle name="Comma 3 2" xfId="631" xr:uid="{00000000-0005-0000-0000-00006D010000}"/>
    <cellStyle name="Comma 4" xfId="376" xr:uid="{00000000-0005-0000-0000-00006E010000}"/>
    <cellStyle name="Comma 4 2" xfId="639" xr:uid="{00000000-0005-0000-0000-00006F010000}"/>
    <cellStyle name="Comma 5" xfId="377" xr:uid="{00000000-0005-0000-0000-000070010000}"/>
    <cellStyle name="Currency" xfId="53" builtinId="4"/>
    <cellStyle name="Currency 2" xfId="2" xr:uid="{00000000-0005-0000-0000-000072010000}"/>
    <cellStyle name="Currency 2 2" xfId="378" xr:uid="{00000000-0005-0000-0000-000073010000}"/>
    <cellStyle name="Currency 2 2 2" xfId="640" xr:uid="{00000000-0005-0000-0000-000074010000}"/>
    <cellStyle name="Currency 2 3" xfId="641" xr:uid="{00000000-0005-0000-0000-000075010000}"/>
    <cellStyle name="Currency 3" xfId="379" xr:uid="{00000000-0005-0000-0000-000076010000}"/>
    <cellStyle name="Currency 3 2" xfId="642" xr:uid="{00000000-0005-0000-0000-000077010000}"/>
    <cellStyle name="Currency 4" xfId="380" xr:uid="{00000000-0005-0000-0000-000078010000}"/>
    <cellStyle name="Currency 4 2" xfId="643" xr:uid="{00000000-0005-0000-0000-000079010000}"/>
    <cellStyle name="Currency 5" xfId="614" xr:uid="{00000000-0005-0000-0000-00007A010000}"/>
    <cellStyle name="Currency 6" xfId="709" xr:uid="{00000000-0005-0000-0000-00007B010000}"/>
    <cellStyle name="DollarHideZero" xfId="381" xr:uid="{00000000-0005-0000-0000-00007C010000}"/>
    <cellStyle name="DollarHideZero 2" xfId="382" xr:uid="{00000000-0005-0000-0000-00007D010000}"/>
    <cellStyle name="DollarHideZero 2 2" xfId="644" xr:uid="{00000000-0005-0000-0000-00007E010000}"/>
    <cellStyle name="DollarHideZero 3" xfId="645" xr:uid="{00000000-0005-0000-0000-00007F010000}"/>
    <cellStyle name="Explanatory Text 10" xfId="383" xr:uid="{00000000-0005-0000-0000-000080010000}"/>
    <cellStyle name="Explanatory Text 11" xfId="384" xr:uid="{00000000-0005-0000-0000-000081010000}"/>
    <cellStyle name="Explanatory Text 12" xfId="385" xr:uid="{00000000-0005-0000-0000-000082010000}"/>
    <cellStyle name="Explanatory Text 13" xfId="386" xr:uid="{00000000-0005-0000-0000-000083010000}"/>
    <cellStyle name="Explanatory Text 2" xfId="35" xr:uid="{00000000-0005-0000-0000-000084010000}"/>
    <cellStyle name="Explanatory Text 3" xfId="387" xr:uid="{00000000-0005-0000-0000-000085010000}"/>
    <cellStyle name="Explanatory Text 4" xfId="388" xr:uid="{00000000-0005-0000-0000-000086010000}"/>
    <cellStyle name="Explanatory Text 5" xfId="389" xr:uid="{00000000-0005-0000-0000-000087010000}"/>
    <cellStyle name="Explanatory Text 6" xfId="390" xr:uid="{00000000-0005-0000-0000-000088010000}"/>
    <cellStyle name="Explanatory Text 7" xfId="391" xr:uid="{00000000-0005-0000-0000-000089010000}"/>
    <cellStyle name="Explanatory Text 8" xfId="392" xr:uid="{00000000-0005-0000-0000-00008A010000}"/>
    <cellStyle name="Explanatory Text 9" xfId="393" xr:uid="{00000000-0005-0000-0000-00008B010000}"/>
    <cellStyle name="Good 10" xfId="394" xr:uid="{00000000-0005-0000-0000-00008C010000}"/>
    <cellStyle name="Good 10 2" xfId="646" xr:uid="{00000000-0005-0000-0000-00008D010000}"/>
    <cellStyle name="Good 11" xfId="395" xr:uid="{00000000-0005-0000-0000-00008E010000}"/>
    <cellStyle name="Good 11 2" xfId="647" xr:uid="{00000000-0005-0000-0000-00008F010000}"/>
    <cellStyle name="Good 12" xfId="396" xr:uid="{00000000-0005-0000-0000-000090010000}"/>
    <cellStyle name="Good 12 2" xfId="648" xr:uid="{00000000-0005-0000-0000-000091010000}"/>
    <cellStyle name="Good 13" xfId="397" xr:uid="{00000000-0005-0000-0000-000092010000}"/>
    <cellStyle name="Good 13 2" xfId="649" xr:uid="{00000000-0005-0000-0000-000093010000}"/>
    <cellStyle name="Good 2" xfId="36" xr:uid="{00000000-0005-0000-0000-000094010000}"/>
    <cellStyle name="Good 2 2" xfId="650" xr:uid="{00000000-0005-0000-0000-000095010000}"/>
    <cellStyle name="Good 3" xfId="398" xr:uid="{00000000-0005-0000-0000-000096010000}"/>
    <cellStyle name="Good 3 2" xfId="651" xr:uid="{00000000-0005-0000-0000-000097010000}"/>
    <cellStyle name="Good 4" xfId="399" xr:uid="{00000000-0005-0000-0000-000098010000}"/>
    <cellStyle name="Good 4 2" xfId="652" xr:uid="{00000000-0005-0000-0000-000099010000}"/>
    <cellStyle name="Good 5" xfId="400" xr:uid="{00000000-0005-0000-0000-00009A010000}"/>
    <cellStyle name="Good 5 2" xfId="653" xr:uid="{00000000-0005-0000-0000-00009B010000}"/>
    <cellStyle name="Good 6" xfId="401" xr:uid="{00000000-0005-0000-0000-00009C010000}"/>
    <cellStyle name="Good 6 2" xfId="654" xr:uid="{00000000-0005-0000-0000-00009D010000}"/>
    <cellStyle name="Good 7" xfId="402" xr:uid="{00000000-0005-0000-0000-00009E010000}"/>
    <cellStyle name="Good 7 2" xfId="655" xr:uid="{00000000-0005-0000-0000-00009F010000}"/>
    <cellStyle name="Good 8" xfId="403" xr:uid="{00000000-0005-0000-0000-0000A0010000}"/>
    <cellStyle name="Good 8 2" xfId="656" xr:uid="{00000000-0005-0000-0000-0000A1010000}"/>
    <cellStyle name="Good 9" xfId="404" xr:uid="{00000000-0005-0000-0000-0000A2010000}"/>
    <cellStyle name="Good 9 2" xfId="657" xr:uid="{00000000-0005-0000-0000-0000A3010000}"/>
    <cellStyle name="Heading 1 10" xfId="405" xr:uid="{00000000-0005-0000-0000-0000A4010000}"/>
    <cellStyle name="Heading 1 11" xfId="406" xr:uid="{00000000-0005-0000-0000-0000A5010000}"/>
    <cellStyle name="Heading 1 12" xfId="407" xr:uid="{00000000-0005-0000-0000-0000A6010000}"/>
    <cellStyle name="Heading 1 13" xfId="408" xr:uid="{00000000-0005-0000-0000-0000A7010000}"/>
    <cellStyle name="Heading 1 2" xfId="37" xr:uid="{00000000-0005-0000-0000-0000A8010000}"/>
    <cellStyle name="Heading 1 3" xfId="409" xr:uid="{00000000-0005-0000-0000-0000A9010000}"/>
    <cellStyle name="Heading 1 4" xfId="410" xr:uid="{00000000-0005-0000-0000-0000AA010000}"/>
    <cellStyle name="Heading 1 5" xfId="411" xr:uid="{00000000-0005-0000-0000-0000AB010000}"/>
    <cellStyle name="Heading 1 6" xfId="412" xr:uid="{00000000-0005-0000-0000-0000AC010000}"/>
    <cellStyle name="Heading 1 7" xfId="413" xr:uid="{00000000-0005-0000-0000-0000AD010000}"/>
    <cellStyle name="Heading 1 8" xfId="414" xr:uid="{00000000-0005-0000-0000-0000AE010000}"/>
    <cellStyle name="Heading 1 9" xfId="415" xr:uid="{00000000-0005-0000-0000-0000AF010000}"/>
    <cellStyle name="Heading 2 10" xfId="416" xr:uid="{00000000-0005-0000-0000-0000B0010000}"/>
    <cellStyle name="Heading 2 11" xfId="417" xr:uid="{00000000-0005-0000-0000-0000B1010000}"/>
    <cellStyle name="Heading 2 12" xfId="418" xr:uid="{00000000-0005-0000-0000-0000B2010000}"/>
    <cellStyle name="Heading 2 13" xfId="419" xr:uid="{00000000-0005-0000-0000-0000B3010000}"/>
    <cellStyle name="Heading 2 2" xfId="38" xr:uid="{00000000-0005-0000-0000-0000B4010000}"/>
    <cellStyle name="Heading 2 3" xfId="420" xr:uid="{00000000-0005-0000-0000-0000B5010000}"/>
    <cellStyle name="Heading 2 4" xfId="421" xr:uid="{00000000-0005-0000-0000-0000B6010000}"/>
    <cellStyle name="Heading 2 5" xfId="422" xr:uid="{00000000-0005-0000-0000-0000B7010000}"/>
    <cellStyle name="Heading 2 6" xfId="423" xr:uid="{00000000-0005-0000-0000-0000B8010000}"/>
    <cellStyle name="Heading 2 7" xfId="424" xr:uid="{00000000-0005-0000-0000-0000B9010000}"/>
    <cellStyle name="Heading 2 8" xfId="425" xr:uid="{00000000-0005-0000-0000-0000BA010000}"/>
    <cellStyle name="Heading 2 9" xfId="426" xr:uid="{00000000-0005-0000-0000-0000BB010000}"/>
    <cellStyle name="Heading 3 10" xfId="427" xr:uid="{00000000-0005-0000-0000-0000BC010000}"/>
    <cellStyle name="Heading 3 11" xfId="428" xr:uid="{00000000-0005-0000-0000-0000BD010000}"/>
    <cellStyle name="Heading 3 12" xfId="429" xr:uid="{00000000-0005-0000-0000-0000BE010000}"/>
    <cellStyle name="Heading 3 13" xfId="430" xr:uid="{00000000-0005-0000-0000-0000BF010000}"/>
    <cellStyle name="Heading 3 2" xfId="39" xr:uid="{00000000-0005-0000-0000-0000C0010000}"/>
    <cellStyle name="Heading 3 3" xfId="431" xr:uid="{00000000-0005-0000-0000-0000C1010000}"/>
    <cellStyle name="Heading 3 4" xfId="432" xr:uid="{00000000-0005-0000-0000-0000C2010000}"/>
    <cellStyle name="Heading 3 5" xfId="433" xr:uid="{00000000-0005-0000-0000-0000C3010000}"/>
    <cellStyle name="Heading 3 6" xfId="434" xr:uid="{00000000-0005-0000-0000-0000C4010000}"/>
    <cellStyle name="Heading 3 7" xfId="435" xr:uid="{00000000-0005-0000-0000-0000C5010000}"/>
    <cellStyle name="Heading 3 8" xfId="436" xr:uid="{00000000-0005-0000-0000-0000C6010000}"/>
    <cellStyle name="Heading 3 9" xfId="437" xr:uid="{00000000-0005-0000-0000-0000C7010000}"/>
    <cellStyle name="Heading 4 10" xfId="438" xr:uid="{00000000-0005-0000-0000-0000C8010000}"/>
    <cellStyle name="Heading 4 11" xfId="439" xr:uid="{00000000-0005-0000-0000-0000C9010000}"/>
    <cellStyle name="Heading 4 12" xfId="440" xr:uid="{00000000-0005-0000-0000-0000CA010000}"/>
    <cellStyle name="Heading 4 13" xfId="441" xr:uid="{00000000-0005-0000-0000-0000CB010000}"/>
    <cellStyle name="Heading 4 2" xfId="40" xr:uid="{00000000-0005-0000-0000-0000CC010000}"/>
    <cellStyle name="Heading 4 3" xfId="442" xr:uid="{00000000-0005-0000-0000-0000CD010000}"/>
    <cellStyle name="Heading 4 4" xfId="443" xr:uid="{00000000-0005-0000-0000-0000CE010000}"/>
    <cellStyle name="Heading 4 5" xfId="444" xr:uid="{00000000-0005-0000-0000-0000CF010000}"/>
    <cellStyle name="Heading 4 6" xfId="445" xr:uid="{00000000-0005-0000-0000-0000D0010000}"/>
    <cellStyle name="Heading 4 7" xfId="446" xr:uid="{00000000-0005-0000-0000-0000D1010000}"/>
    <cellStyle name="Heading 4 8" xfId="447" xr:uid="{00000000-0005-0000-0000-0000D2010000}"/>
    <cellStyle name="Heading 4 9" xfId="448" xr:uid="{00000000-0005-0000-0000-0000D3010000}"/>
    <cellStyle name="Hyperlink" xfId="717" builtinId="8"/>
    <cellStyle name="Hyperlink 2" xfId="449" xr:uid="{00000000-0005-0000-0000-0000D5010000}"/>
    <cellStyle name="Hyperlink 3" xfId="612" xr:uid="{00000000-0005-0000-0000-0000D6010000}"/>
    <cellStyle name="Hyperlink 4" xfId="619" xr:uid="{00000000-0005-0000-0000-0000D7010000}"/>
    <cellStyle name="Input 10" xfId="450" xr:uid="{00000000-0005-0000-0000-0000D8010000}"/>
    <cellStyle name="Input 11" xfId="451" xr:uid="{00000000-0005-0000-0000-0000D9010000}"/>
    <cellStyle name="Input 12" xfId="452" xr:uid="{00000000-0005-0000-0000-0000DA010000}"/>
    <cellStyle name="Input 13" xfId="453" xr:uid="{00000000-0005-0000-0000-0000DB010000}"/>
    <cellStyle name="Input 14" xfId="713" xr:uid="{00000000-0005-0000-0000-0000DC010000}"/>
    <cellStyle name="Input 2" xfId="41" xr:uid="{00000000-0005-0000-0000-0000DD010000}"/>
    <cellStyle name="Input 3" xfId="454" xr:uid="{00000000-0005-0000-0000-0000DE010000}"/>
    <cellStyle name="Input 4" xfId="455" xr:uid="{00000000-0005-0000-0000-0000DF010000}"/>
    <cellStyle name="Input 5" xfId="456" xr:uid="{00000000-0005-0000-0000-0000E0010000}"/>
    <cellStyle name="Input 6" xfId="457" xr:uid="{00000000-0005-0000-0000-0000E1010000}"/>
    <cellStyle name="Input 7" xfId="458" xr:uid="{00000000-0005-0000-0000-0000E2010000}"/>
    <cellStyle name="Input 8" xfId="459" xr:uid="{00000000-0005-0000-0000-0000E3010000}"/>
    <cellStyle name="Input 9" xfId="460" xr:uid="{00000000-0005-0000-0000-0000E4010000}"/>
    <cellStyle name="Installed" xfId="461" xr:uid="{00000000-0005-0000-0000-0000E5010000}"/>
    <cellStyle name="Installed 2" xfId="624" xr:uid="{00000000-0005-0000-0000-0000E6010000}"/>
    <cellStyle name="Linked Cell 10" xfId="462" xr:uid="{00000000-0005-0000-0000-0000E7010000}"/>
    <cellStyle name="Linked Cell 11" xfId="463" xr:uid="{00000000-0005-0000-0000-0000E8010000}"/>
    <cellStyle name="Linked Cell 12" xfId="464" xr:uid="{00000000-0005-0000-0000-0000E9010000}"/>
    <cellStyle name="Linked Cell 13" xfId="465" xr:uid="{00000000-0005-0000-0000-0000EA010000}"/>
    <cellStyle name="Linked Cell 2" xfId="42" xr:uid="{00000000-0005-0000-0000-0000EB010000}"/>
    <cellStyle name="Linked Cell 3" xfId="466" xr:uid="{00000000-0005-0000-0000-0000EC010000}"/>
    <cellStyle name="Linked Cell 4" xfId="467" xr:uid="{00000000-0005-0000-0000-0000ED010000}"/>
    <cellStyle name="Linked Cell 5" xfId="468" xr:uid="{00000000-0005-0000-0000-0000EE010000}"/>
    <cellStyle name="Linked Cell 6" xfId="469" xr:uid="{00000000-0005-0000-0000-0000EF010000}"/>
    <cellStyle name="Linked Cell 7" xfId="470" xr:uid="{00000000-0005-0000-0000-0000F0010000}"/>
    <cellStyle name="Linked Cell 8" xfId="471" xr:uid="{00000000-0005-0000-0000-0000F1010000}"/>
    <cellStyle name="Linked Cell 9" xfId="472" xr:uid="{00000000-0005-0000-0000-0000F2010000}"/>
    <cellStyle name="Neutral 10" xfId="473" xr:uid="{00000000-0005-0000-0000-0000F3010000}"/>
    <cellStyle name="Neutral 11" xfId="474" xr:uid="{00000000-0005-0000-0000-0000F4010000}"/>
    <cellStyle name="Neutral 12" xfId="475" xr:uid="{00000000-0005-0000-0000-0000F5010000}"/>
    <cellStyle name="Neutral 13" xfId="476" xr:uid="{00000000-0005-0000-0000-0000F6010000}"/>
    <cellStyle name="Neutral 2" xfId="43" xr:uid="{00000000-0005-0000-0000-0000F7010000}"/>
    <cellStyle name="Neutral 3" xfId="477" xr:uid="{00000000-0005-0000-0000-0000F8010000}"/>
    <cellStyle name="Neutral 4" xfId="478" xr:uid="{00000000-0005-0000-0000-0000F9010000}"/>
    <cellStyle name="Neutral 5" xfId="479" xr:uid="{00000000-0005-0000-0000-0000FA010000}"/>
    <cellStyle name="Neutral 6" xfId="480" xr:uid="{00000000-0005-0000-0000-0000FB010000}"/>
    <cellStyle name="Neutral 7" xfId="481" xr:uid="{00000000-0005-0000-0000-0000FC010000}"/>
    <cellStyle name="Neutral 8" xfId="482" xr:uid="{00000000-0005-0000-0000-0000FD010000}"/>
    <cellStyle name="Neutral 9" xfId="483" xr:uid="{00000000-0005-0000-0000-0000FE010000}"/>
    <cellStyle name="Normal" xfId="0" builtinId="0"/>
    <cellStyle name="Normal 10" xfId="54" xr:uid="{00000000-0005-0000-0000-000000020000}"/>
    <cellStyle name="Normal 10 2" xfId="658" xr:uid="{00000000-0005-0000-0000-000001020000}"/>
    <cellStyle name="Normal 11" xfId="613" xr:uid="{00000000-0005-0000-0000-000002020000}"/>
    <cellStyle name="Normal 11 2" xfId="617" xr:uid="{00000000-0005-0000-0000-000003020000}"/>
    <cellStyle name="Normal 11 3" xfId="708" xr:uid="{00000000-0005-0000-0000-000004020000}"/>
    <cellStyle name="Normal 12" xfId="618" xr:uid="{00000000-0005-0000-0000-000005020000}"/>
    <cellStyle name="Normal 18" xfId="484" xr:uid="{00000000-0005-0000-0000-000006020000}"/>
    <cellStyle name="Normal 18 2" xfId="485" xr:uid="{00000000-0005-0000-0000-000007020000}"/>
    <cellStyle name="Normal 18 2 2" xfId="659" xr:uid="{00000000-0005-0000-0000-000008020000}"/>
    <cellStyle name="Normal 18 3" xfId="660" xr:uid="{00000000-0005-0000-0000-000009020000}"/>
    <cellStyle name="Normal 2" xfId="51" xr:uid="{00000000-0005-0000-0000-00000A020000}"/>
    <cellStyle name="Normal 2 10" xfId="486" xr:uid="{00000000-0005-0000-0000-00000B020000}"/>
    <cellStyle name="Normal 2 11" xfId="487" xr:uid="{00000000-0005-0000-0000-00000C020000}"/>
    <cellStyle name="Normal 2 12" xfId="488" xr:uid="{00000000-0005-0000-0000-00000D020000}"/>
    <cellStyle name="Normal 2 13" xfId="489" xr:uid="{00000000-0005-0000-0000-00000E020000}"/>
    <cellStyle name="Normal 2 14" xfId="490" xr:uid="{00000000-0005-0000-0000-00000F020000}"/>
    <cellStyle name="Normal 2 15" xfId="491" xr:uid="{00000000-0005-0000-0000-000010020000}"/>
    <cellStyle name="Normal 2 16" xfId="492" xr:uid="{00000000-0005-0000-0000-000011020000}"/>
    <cellStyle name="Normal 2 17" xfId="493" xr:uid="{00000000-0005-0000-0000-000012020000}"/>
    <cellStyle name="Normal 2 18" xfId="494" xr:uid="{00000000-0005-0000-0000-000013020000}"/>
    <cellStyle name="Normal 2 19" xfId="495" xr:uid="{00000000-0005-0000-0000-000014020000}"/>
    <cellStyle name="Normal 2 2" xfId="44" xr:uid="{00000000-0005-0000-0000-000015020000}"/>
    <cellStyle name="Normal 2 2 2" xfId="496" xr:uid="{00000000-0005-0000-0000-000016020000}"/>
    <cellStyle name="Normal 2 2 2 2" xfId="661" xr:uid="{00000000-0005-0000-0000-000017020000}"/>
    <cellStyle name="Normal 2 2 3" xfId="662" xr:uid="{00000000-0005-0000-0000-000018020000}"/>
    <cellStyle name="Normal 2 20" xfId="497" xr:uid="{00000000-0005-0000-0000-000019020000}"/>
    <cellStyle name="Normal 2 3" xfId="498" xr:uid="{00000000-0005-0000-0000-00001A020000}"/>
    <cellStyle name="Normal 2 3 2" xfId="663" xr:uid="{00000000-0005-0000-0000-00001B020000}"/>
    <cellStyle name="Normal 2 4" xfId="499" xr:uid="{00000000-0005-0000-0000-00001C020000}"/>
    <cellStyle name="Normal 2 4 2" xfId="664" xr:uid="{00000000-0005-0000-0000-00001D020000}"/>
    <cellStyle name="Normal 2 5" xfId="500" xr:uid="{00000000-0005-0000-0000-00001E020000}"/>
    <cellStyle name="Normal 2 5 2" xfId="665" xr:uid="{00000000-0005-0000-0000-00001F020000}"/>
    <cellStyle name="Normal 2 6" xfId="501" xr:uid="{00000000-0005-0000-0000-000020020000}"/>
    <cellStyle name="Normal 2 6 2" xfId="666" xr:uid="{00000000-0005-0000-0000-000021020000}"/>
    <cellStyle name="Normal 2 7" xfId="502" xr:uid="{00000000-0005-0000-0000-000022020000}"/>
    <cellStyle name="Normal 2 7 2" xfId="667" xr:uid="{00000000-0005-0000-0000-000023020000}"/>
    <cellStyle name="Normal 2 8" xfId="503" xr:uid="{00000000-0005-0000-0000-000024020000}"/>
    <cellStyle name="Normal 2 8 2" xfId="668" xr:uid="{00000000-0005-0000-0000-000025020000}"/>
    <cellStyle name="Normal 2 9" xfId="504" xr:uid="{00000000-0005-0000-0000-000026020000}"/>
    <cellStyle name="Normal 2_NC - Project Name - ERP Tables_rev0_SWA" xfId="55" xr:uid="{00000000-0005-0000-0000-000027020000}"/>
    <cellStyle name="Normal 3" xfId="505" xr:uid="{00000000-0005-0000-0000-000028020000}"/>
    <cellStyle name="Normal 3 10" xfId="669" xr:uid="{00000000-0005-0000-0000-000029020000}"/>
    <cellStyle name="Normal 3 11" xfId="714" xr:uid="{00000000-0005-0000-0000-00002A020000}"/>
    <cellStyle name="Normal 3 2" xfId="506" xr:uid="{00000000-0005-0000-0000-00002B020000}"/>
    <cellStyle name="Normal 3 2 2" xfId="670" xr:uid="{00000000-0005-0000-0000-00002C020000}"/>
    <cellStyle name="Normal 3 3" xfId="507" xr:uid="{00000000-0005-0000-0000-00002D020000}"/>
    <cellStyle name="Normal 3 3 2" xfId="671" xr:uid="{00000000-0005-0000-0000-00002E020000}"/>
    <cellStyle name="Normal 3 4" xfId="508" xr:uid="{00000000-0005-0000-0000-00002F020000}"/>
    <cellStyle name="Normal 3 4 2" xfId="672" xr:uid="{00000000-0005-0000-0000-000030020000}"/>
    <cellStyle name="Normal 3 5" xfId="509" xr:uid="{00000000-0005-0000-0000-000031020000}"/>
    <cellStyle name="Normal 3 5 2" xfId="673" xr:uid="{00000000-0005-0000-0000-000032020000}"/>
    <cellStyle name="Normal 3 6" xfId="510" xr:uid="{00000000-0005-0000-0000-000033020000}"/>
    <cellStyle name="Normal 3 6 2" xfId="674" xr:uid="{00000000-0005-0000-0000-000034020000}"/>
    <cellStyle name="Normal 3 7" xfId="511" xr:uid="{00000000-0005-0000-0000-000035020000}"/>
    <cellStyle name="Normal 3 7 2" xfId="675" xr:uid="{00000000-0005-0000-0000-000036020000}"/>
    <cellStyle name="Normal 3 8" xfId="512" xr:uid="{00000000-0005-0000-0000-000037020000}"/>
    <cellStyle name="Normal 3 8 2" xfId="676" xr:uid="{00000000-0005-0000-0000-000038020000}"/>
    <cellStyle name="Normal 3 9" xfId="611" xr:uid="{00000000-0005-0000-0000-000039020000}"/>
    <cellStyle name="Normal 4" xfId="3" xr:uid="{00000000-0005-0000-0000-00003A020000}"/>
    <cellStyle name="Normal 4 2" xfId="513" xr:uid="{00000000-0005-0000-0000-00003B020000}"/>
    <cellStyle name="Normal 4 2 2" xfId="677" xr:uid="{00000000-0005-0000-0000-00003C020000}"/>
    <cellStyle name="Normal 4 3" xfId="678" xr:uid="{00000000-0005-0000-0000-00003D020000}"/>
    <cellStyle name="Normal 5" xfId="4" xr:uid="{00000000-0005-0000-0000-00003E020000}"/>
    <cellStyle name="Normal 5 2" xfId="514" xr:uid="{00000000-0005-0000-0000-00003F020000}"/>
    <cellStyle name="Normal 5 2 2" xfId="679" xr:uid="{00000000-0005-0000-0000-000040020000}"/>
    <cellStyle name="Normal 5 3" xfId="680" xr:uid="{00000000-0005-0000-0000-000041020000}"/>
    <cellStyle name="Normal 6" xfId="5" xr:uid="{00000000-0005-0000-0000-000042020000}"/>
    <cellStyle name="Normal 6 2" xfId="515" xr:uid="{00000000-0005-0000-0000-000043020000}"/>
    <cellStyle name="Normal 6 2 2" xfId="681" xr:uid="{00000000-0005-0000-0000-000044020000}"/>
    <cellStyle name="Normal 6 3" xfId="682" xr:uid="{00000000-0005-0000-0000-000045020000}"/>
    <cellStyle name="Normal 7" xfId="516" xr:uid="{00000000-0005-0000-0000-000046020000}"/>
    <cellStyle name="Normal 7 2" xfId="683" xr:uid="{00000000-0005-0000-0000-000047020000}"/>
    <cellStyle name="Normal 8" xfId="517" xr:uid="{00000000-0005-0000-0000-000048020000}"/>
    <cellStyle name="Normal 8 2" xfId="684" xr:uid="{00000000-0005-0000-0000-000049020000}"/>
    <cellStyle name="Normal 9" xfId="518" xr:uid="{00000000-0005-0000-0000-00004A020000}"/>
    <cellStyle name="Normal 9 2" xfId="685" xr:uid="{00000000-0005-0000-0000-00004B020000}"/>
    <cellStyle name="Note 10" xfId="519" xr:uid="{00000000-0005-0000-0000-00004D020000}"/>
    <cellStyle name="Note 11" xfId="520" xr:uid="{00000000-0005-0000-0000-00004E020000}"/>
    <cellStyle name="Note 12" xfId="521" xr:uid="{00000000-0005-0000-0000-00004F020000}"/>
    <cellStyle name="Note 13" xfId="522" xr:uid="{00000000-0005-0000-0000-000050020000}"/>
    <cellStyle name="Note 14" xfId="523" xr:uid="{00000000-0005-0000-0000-000051020000}"/>
    <cellStyle name="Note 15" xfId="524" xr:uid="{00000000-0005-0000-0000-000052020000}"/>
    <cellStyle name="Note 16" xfId="525" xr:uid="{00000000-0005-0000-0000-000053020000}"/>
    <cellStyle name="Note 17" xfId="526" xr:uid="{00000000-0005-0000-0000-000054020000}"/>
    <cellStyle name="Note 18" xfId="527" xr:uid="{00000000-0005-0000-0000-000055020000}"/>
    <cellStyle name="Note 19" xfId="528" xr:uid="{00000000-0005-0000-0000-000056020000}"/>
    <cellStyle name="Note 2" xfId="45" xr:uid="{00000000-0005-0000-0000-000057020000}"/>
    <cellStyle name="Note 2 2" xfId="686" xr:uid="{00000000-0005-0000-0000-000058020000}"/>
    <cellStyle name="Note 20" xfId="529" xr:uid="{00000000-0005-0000-0000-000059020000}"/>
    <cellStyle name="Note 3" xfId="530" xr:uid="{00000000-0005-0000-0000-00005A020000}"/>
    <cellStyle name="Note 3 2" xfId="687" xr:uid="{00000000-0005-0000-0000-00005B020000}"/>
    <cellStyle name="Note 4" xfId="531" xr:uid="{00000000-0005-0000-0000-00005C020000}"/>
    <cellStyle name="Note 4 2" xfId="688" xr:uid="{00000000-0005-0000-0000-00005D020000}"/>
    <cellStyle name="Note 5" xfId="532" xr:uid="{00000000-0005-0000-0000-00005E020000}"/>
    <cellStyle name="Note 5 2" xfId="689" xr:uid="{00000000-0005-0000-0000-00005F020000}"/>
    <cellStyle name="Note 6" xfId="533" xr:uid="{00000000-0005-0000-0000-000060020000}"/>
    <cellStyle name="Note 6 2" xfId="690" xr:uid="{00000000-0005-0000-0000-000061020000}"/>
    <cellStyle name="Note 7" xfId="534" xr:uid="{00000000-0005-0000-0000-000062020000}"/>
    <cellStyle name="Note 7 2" xfId="691" xr:uid="{00000000-0005-0000-0000-000063020000}"/>
    <cellStyle name="Note 8" xfId="535" xr:uid="{00000000-0005-0000-0000-000064020000}"/>
    <cellStyle name="Note 8 2" xfId="692" xr:uid="{00000000-0005-0000-0000-000065020000}"/>
    <cellStyle name="Note 9" xfId="536" xr:uid="{00000000-0005-0000-0000-000066020000}"/>
    <cellStyle name="NumberHideZero" xfId="537" xr:uid="{00000000-0005-0000-0000-000067020000}"/>
    <cellStyle name="NumberHideZero 2" xfId="538" xr:uid="{00000000-0005-0000-0000-000068020000}"/>
    <cellStyle name="NumberHideZero 2 2" xfId="693" xr:uid="{00000000-0005-0000-0000-000069020000}"/>
    <cellStyle name="NumberHideZero 2 3" xfId="694" xr:uid="{00000000-0005-0000-0000-00006A020000}"/>
    <cellStyle name="NumberHideZero 3" xfId="695" xr:uid="{00000000-0005-0000-0000-00006B020000}"/>
    <cellStyle name="NumberHideZero 4" xfId="696" xr:uid="{00000000-0005-0000-0000-00006C020000}"/>
    <cellStyle name="Ordered" xfId="539" xr:uid="{00000000-0005-0000-0000-00006D020000}"/>
    <cellStyle name="Ordered 2" xfId="625" xr:uid="{00000000-0005-0000-0000-00006E020000}"/>
    <cellStyle name="Output 10" xfId="540" xr:uid="{00000000-0005-0000-0000-00006F020000}"/>
    <cellStyle name="Output 11" xfId="541" xr:uid="{00000000-0005-0000-0000-000070020000}"/>
    <cellStyle name="Output 12" xfId="542" xr:uid="{00000000-0005-0000-0000-000071020000}"/>
    <cellStyle name="Output 13" xfId="543" xr:uid="{00000000-0005-0000-0000-000072020000}"/>
    <cellStyle name="Output 14" xfId="715" xr:uid="{00000000-0005-0000-0000-000073020000}"/>
    <cellStyle name="Output 2" xfId="46" xr:uid="{00000000-0005-0000-0000-000074020000}"/>
    <cellStyle name="Output 3" xfId="544" xr:uid="{00000000-0005-0000-0000-000075020000}"/>
    <cellStyle name="Output 4" xfId="545" xr:uid="{00000000-0005-0000-0000-000076020000}"/>
    <cellStyle name="Output 5" xfId="546" xr:uid="{00000000-0005-0000-0000-000077020000}"/>
    <cellStyle name="Output 6" xfId="547" xr:uid="{00000000-0005-0000-0000-000078020000}"/>
    <cellStyle name="Output 7" xfId="548" xr:uid="{00000000-0005-0000-0000-000079020000}"/>
    <cellStyle name="Output 8" xfId="549" xr:uid="{00000000-0005-0000-0000-00007A020000}"/>
    <cellStyle name="Output 9" xfId="550" xr:uid="{00000000-0005-0000-0000-00007B020000}"/>
    <cellStyle name="Percent" xfId="1" builtinId="5"/>
    <cellStyle name="Percent 2" xfId="52" xr:uid="{00000000-0005-0000-0000-00007D020000}"/>
    <cellStyle name="Percent 2 10" xfId="551" xr:uid="{00000000-0005-0000-0000-00007E020000}"/>
    <cellStyle name="Percent 2 11" xfId="552" xr:uid="{00000000-0005-0000-0000-00007F020000}"/>
    <cellStyle name="Percent 2 12" xfId="553" xr:uid="{00000000-0005-0000-0000-000080020000}"/>
    <cellStyle name="Percent 2 13" xfId="554" xr:uid="{00000000-0005-0000-0000-000081020000}"/>
    <cellStyle name="Percent 2 14" xfId="555" xr:uid="{00000000-0005-0000-0000-000082020000}"/>
    <cellStyle name="Percent 2 15" xfId="556" xr:uid="{00000000-0005-0000-0000-000083020000}"/>
    <cellStyle name="Percent 2 16" xfId="557" xr:uid="{00000000-0005-0000-0000-000084020000}"/>
    <cellStyle name="Percent 2 17" xfId="558" xr:uid="{00000000-0005-0000-0000-000085020000}"/>
    <cellStyle name="Percent 2 18" xfId="559" xr:uid="{00000000-0005-0000-0000-000086020000}"/>
    <cellStyle name="Percent 2 19" xfId="560" xr:uid="{00000000-0005-0000-0000-000087020000}"/>
    <cellStyle name="Percent 2 2" xfId="47" xr:uid="{00000000-0005-0000-0000-000088020000}"/>
    <cellStyle name="Percent 2 2 2" xfId="697" xr:uid="{00000000-0005-0000-0000-000089020000}"/>
    <cellStyle name="Percent 2 20" xfId="561" xr:uid="{00000000-0005-0000-0000-00008A020000}"/>
    <cellStyle name="Percent 2 3" xfId="562" xr:uid="{00000000-0005-0000-0000-00008B020000}"/>
    <cellStyle name="Percent 2 3 2" xfId="698" xr:uid="{00000000-0005-0000-0000-00008C020000}"/>
    <cellStyle name="Percent 2 4" xfId="563" xr:uid="{00000000-0005-0000-0000-00008D020000}"/>
    <cellStyle name="Percent 2 4 2" xfId="699" xr:uid="{00000000-0005-0000-0000-00008E020000}"/>
    <cellStyle name="Percent 2 5" xfId="564" xr:uid="{00000000-0005-0000-0000-00008F020000}"/>
    <cellStyle name="Percent 2 5 2" xfId="700" xr:uid="{00000000-0005-0000-0000-000090020000}"/>
    <cellStyle name="Percent 2 6" xfId="565" xr:uid="{00000000-0005-0000-0000-000091020000}"/>
    <cellStyle name="Percent 2 6 2" xfId="701" xr:uid="{00000000-0005-0000-0000-000092020000}"/>
    <cellStyle name="Percent 2 7" xfId="566" xr:uid="{00000000-0005-0000-0000-000093020000}"/>
    <cellStyle name="Percent 2 7 2" xfId="702" xr:uid="{00000000-0005-0000-0000-000094020000}"/>
    <cellStyle name="Percent 2 8" xfId="567" xr:uid="{00000000-0005-0000-0000-000095020000}"/>
    <cellStyle name="Percent 2 8 2" xfId="703" xr:uid="{00000000-0005-0000-0000-000096020000}"/>
    <cellStyle name="Percent 2 9" xfId="568" xr:uid="{00000000-0005-0000-0000-000097020000}"/>
    <cellStyle name="Percent 3" xfId="569" xr:uid="{00000000-0005-0000-0000-000098020000}"/>
    <cellStyle name="Percent 3 2" xfId="704" xr:uid="{00000000-0005-0000-0000-000099020000}"/>
    <cellStyle name="Percent 4" xfId="570" xr:uid="{00000000-0005-0000-0000-00009A020000}"/>
    <cellStyle name="Percent 4 2" xfId="705" xr:uid="{00000000-0005-0000-0000-00009B020000}"/>
    <cellStyle name="Percent 5" xfId="571" xr:uid="{00000000-0005-0000-0000-00009C020000}"/>
    <cellStyle name="Percent 6" xfId="710" xr:uid="{00000000-0005-0000-0000-00009D020000}"/>
    <cellStyle name="Received" xfId="572" xr:uid="{00000000-0005-0000-0000-00009E020000}"/>
    <cellStyle name="Received 2" xfId="626" xr:uid="{00000000-0005-0000-0000-00009F020000}"/>
    <cellStyle name="Red Font" xfId="573" xr:uid="{00000000-0005-0000-0000-0000A0020000}"/>
    <cellStyle name="Red Font 2" xfId="627" xr:uid="{00000000-0005-0000-0000-0000A1020000}"/>
    <cellStyle name="Subtotal" xfId="574" xr:uid="{00000000-0005-0000-0000-0000A2020000}"/>
    <cellStyle name="Subtotal 2" xfId="706" xr:uid="{00000000-0005-0000-0000-0000A3020000}"/>
    <cellStyle name="Subtotal 3" xfId="628" xr:uid="{00000000-0005-0000-0000-0000A4020000}"/>
    <cellStyle name="Title 10" xfId="575" xr:uid="{00000000-0005-0000-0000-0000A5020000}"/>
    <cellStyle name="Title 11" xfId="576" xr:uid="{00000000-0005-0000-0000-0000A6020000}"/>
    <cellStyle name="Title 12" xfId="577" xr:uid="{00000000-0005-0000-0000-0000A7020000}"/>
    <cellStyle name="Title 13" xfId="578" xr:uid="{00000000-0005-0000-0000-0000A8020000}"/>
    <cellStyle name="Title 2" xfId="48" xr:uid="{00000000-0005-0000-0000-0000A9020000}"/>
    <cellStyle name="Title 3" xfId="579" xr:uid="{00000000-0005-0000-0000-0000AA020000}"/>
    <cellStyle name="Title 4" xfId="580" xr:uid="{00000000-0005-0000-0000-0000AB020000}"/>
    <cellStyle name="Title 5" xfId="581" xr:uid="{00000000-0005-0000-0000-0000AC020000}"/>
    <cellStyle name="Title 6" xfId="582" xr:uid="{00000000-0005-0000-0000-0000AD020000}"/>
    <cellStyle name="Title 7" xfId="583" xr:uid="{00000000-0005-0000-0000-0000AE020000}"/>
    <cellStyle name="Title 8" xfId="584" xr:uid="{00000000-0005-0000-0000-0000AF020000}"/>
    <cellStyle name="Title 9" xfId="585" xr:uid="{00000000-0005-0000-0000-0000B0020000}"/>
    <cellStyle name="Top Border. Aqua" xfId="586" xr:uid="{00000000-0005-0000-0000-0000B1020000}"/>
    <cellStyle name="Top Border. Aqua 2" xfId="707" xr:uid="{00000000-0005-0000-0000-0000B2020000}"/>
    <cellStyle name="Top Border. Aqua 3" xfId="629" xr:uid="{00000000-0005-0000-0000-0000B3020000}"/>
    <cellStyle name="Total 10" xfId="587" xr:uid="{00000000-0005-0000-0000-0000B4020000}"/>
    <cellStyle name="Total 11" xfId="588" xr:uid="{00000000-0005-0000-0000-0000B5020000}"/>
    <cellStyle name="Total 12" xfId="589" xr:uid="{00000000-0005-0000-0000-0000B6020000}"/>
    <cellStyle name="Total 13" xfId="590" xr:uid="{00000000-0005-0000-0000-0000B7020000}"/>
    <cellStyle name="Total 14" xfId="716" xr:uid="{00000000-0005-0000-0000-0000B8020000}"/>
    <cellStyle name="Total 2" xfId="49" xr:uid="{00000000-0005-0000-0000-0000B9020000}"/>
    <cellStyle name="Total 3" xfId="591" xr:uid="{00000000-0005-0000-0000-0000BA020000}"/>
    <cellStyle name="Total 4" xfId="592" xr:uid="{00000000-0005-0000-0000-0000BB020000}"/>
    <cellStyle name="Total 5" xfId="593" xr:uid="{00000000-0005-0000-0000-0000BC020000}"/>
    <cellStyle name="Total 6" xfId="594" xr:uid="{00000000-0005-0000-0000-0000BD020000}"/>
    <cellStyle name="Total 7" xfId="595" xr:uid="{00000000-0005-0000-0000-0000BE020000}"/>
    <cellStyle name="Total 8" xfId="596" xr:uid="{00000000-0005-0000-0000-0000BF020000}"/>
    <cellStyle name="Total 9" xfId="597" xr:uid="{00000000-0005-0000-0000-0000C0020000}"/>
    <cellStyle name="Unlocked" xfId="598" xr:uid="{00000000-0005-0000-0000-0000C1020000}"/>
    <cellStyle name="Unlocked 2" xfId="630" xr:uid="{00000000-0005-0000-0000-0000C2020000}"/>
    <cellStyle name="Warning Text 10" xfId="599" xr:uid="{00000000-0005-0000-0000-0000C3020000}"/>
    <cellStyle name="Warning Text 11" xfId="600" xr:uid="{00000000-0005-0000-0000-0000C4020000}"/>
    <cellStyle name="Warning Text 12" xfId="601" xr:uid="{00000000-0005-0000-0000-0000C5020000}"/>
    <cellStyle name="Warning Text 13" xfId="602" xr:uid="{00000000-0005-0000-0000-0000C6020000}"/>
    <cellStyle name="Warning Text 2" xfId="50" xr:uid="{00000000-0005-0000-0000-0000C7020000}"/>
    <cellStyle name="Warning Text 3" xfId="603" xr:uid="{00000000-0005-0000-0000-0000C8020000}"/>
    <cellStyle name="Warning Text 4" xfId="604" xr:uid="{00000000-0005-0000-0000-0000C9020000}"/>
    <cellStyle name="Warning Text 5" xfId="605" xr:uid="{00000000-0005-0000-0000-0000CA020000}"/>
    <cellStyle name="Warning Text 6" xfId="606" xr:uid="{00000000-0005-0000-0000-0000CB020000}"/>
    <cellStyle name="Warning Text 7" xfId="607" xr:uid="{00000000-0005-0000-0000-0000CC020000}"/>
    <cellStyle name="Warning Text 8" xfId="608" xr:uid="{00000000-0005-0000-0000-0000CD020000}"/>
    <cellStyle name="Warning Text 9" xfId="609" xr:uid="{00000000-0005-0000-0000-0000CE020000}"/>
  </cellStyles>
  <dxfs count="4">
    <dxf>
      <font>
        <color rgb="FFFF0000"/>
      </font>
    </dxf>
    <dxf>
      <font>
        <color theme="1"/>
      </font>
      <fill>
        <patternFill>
          <bgColor theme="3" tint="0.79998168889431442"/>
        </patternFill>
      </fill>
      <border>
        <left style="thin">
          <color auto="1"/>
        </left>
        <right style="thin">
          <color auto="1"/>
        </right>
        <top style="thin">
          <color auto="1"/>
        </top>
        <bottom style="thin">
          <color auto="1"/>
        </bottom>
      </border>
    </dxf>
    <dxf>
      <fill>
        <patternFill patternType="lightUp">
          <fgColor auto="1"/>
          <bgColor theme="0" tint="-4.9989318521683403E-2"/>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00FFFF"/>
      <color rgb="FF0099CC"/>
      <color rgb="FF659A2A"/>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F$32" lockText="1" noThreeD="1"/>
</file>

<file path=xl/ctrlProps/ctrlProp108.xml><?xml version="1.0" encoding="utf-8"?>
<formControlPr xmlns="http://schemas.microsoft.com/office/spreadsheetml/2009/9/main" objectType="CheckBox" fmlaLink="$G$32"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F$27" lockText="1" noThreeD="1"/>
</file>

<file path=xl/ctrlProps/ctrlProp32.xml><?xml version="1.0" encoding="utf-8"?>
<formControlPr xmlns="http://schemas.microsoft.com/office/spreadsheetml/2009/9/main" objectType="CheckBox" fmlaLink="$F$28"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F$29" lockText="1" noThreeD="1"/>
</file>

<file path=xl/ctrlProps/ctrlProp35.xml><?xml version="1.0" encoding="utf-8"?>
<formControlPr xmlns="http://schemas.microsoft.com/office/spreadsheetml/2009/9/main" objectType="CheckBox" fmlaLink="$F$30"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F$33"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F$3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F$40"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J$72"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257175</xdr:colOff>
          <xdr:row>11</xdr:row>
          <xdr:rowOff>0</xdr:rowOff>
        </xdr:from>
        <xdr:to>
          <xdr:col>5</xdr:col>
          <xdr:colOff>561975</xdr:colOff>
          <xdr:row>12</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12</xdr:row>
          <xdr:rowOff>0</xdr:rowOff>
        </xdr:from>
        <xdr:to>
          <xdr:col>5</xdr:col>
          <xdr:colOff>561975</xdr:colOff>
          <xdr:row>13</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0</xdr:rowOff>
        </xdr:from>
        <xdr:to>
          <xdr:col>5</xdr:col>
          <xdr:colOff>561975</xdr:colOff>
          <xdr:row>14</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14</xdr:row>
          <xdr:rowOff>0</xdr:rowOff>
        </xdr:from>
        <xdr:to>
          <xdr:col>5</xdr:col>
          <xdr:colOff>561975</xdr:colOff>
          <xdr:row>15</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15</xdr:row>
          <xdr:rowOff>0</xdr:rowOff>
        </xdr:from>
        <xdr:to>
          <xdr:col>5</xdr:col>
          <xdr:colOff>561975</xdr:colOff>
          <xdr:row>16</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16</xdr:row>
          <xdr:rowOff>133350</xdr:rowOff>
        </xdr:from>
        <xdr:to>
          <xdr:col>5</xdr:col>
          <xdr:colOff>561975</xdr:colOff>
          <xdr:row>16</xdr:row>
          <xdr:rowOff>352425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2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17</xdr:row>
          <xdr:rowOff>19050</xdr:rowOff>
        </xdr:from>
        <xdr:to>
          <xdr:col>5</xdr:col>
          <xdr:colOff>561975</xdr:colOff>
          <xdr:row>18</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18</xdr:row>
          <xdr:rowOff>0</xdr:rowOff>
        </xdr:from>
        <xdr:to>
          <xdr:col>5</xdr:col>
          <xdr:colOff>561975</xdr:colOff>
          <xdr:row>19</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19</xdr:row>
          <xdr:rowOff>0</xdr:rowOff>
        </xdr:from>
        <xdr:to>
          <xdr:col>5</xdr:col>
          <xdr:colOff>561975</xdr:colOff>
          <xdr:row>20</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21</xdr:row>
          <xdr:rowOff>314325</xdr:rowOff>
        </xdr:from>
        <xdr:to>
          <xdr:col>5</xdr:col>
          <xdr:colOff>561975</xdr:colOff>
          <xdr:row>23</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23</xdr:row>
          <xdr:rowOff>0</xdr:rowOff>
        </xdr:from>
        <xdr:to>
          <xdr:col>5</xdr:col>
          <xdr:colOff>561975</xdr:colOff>
          <xdr:row>24</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24</xdr:row>
          <xdr:rowOff>0</xdr:rowOff>
        </xdr:from>
        <xdr:to>
          <xdr:col>5</xdr:col>
          <xdr:colOff>561975</xdr:colOff>
          <xdr:row>25</xdr:row>
          <xdr:rowOff>19050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2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24</xdr:row>
          <xdr:rowOff>0</xdr:rowOff>
        </xdr:from>
        <xdr:to>
          <xdr:col>5</xdr:col>
          <xdr:colOff>561975</xdr:colOff>
          <xdr:row>25</xdr:row>
          <xdr:rowOff>19050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9</xdr:row>
          <xdr:rowOff>0</xdr:rowOff>
        </xdr:from>
        <xdr:to>
          <xdr:col>6</xdr:col>
          <xdr:colOff>561975</xdr:colOff>
          <xdr:row>10</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10</xdr:row>
          <xdr:rowOff>0</xdr:rowOff>
        </xdr:from>
        <xdr:to>
          <xdr:col>6</xdr:col>
          <xdr:colOff>561975</xdr:colOff>
          <xdr:row>11</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11</xdr:row>
          <xdr:rowOff>0</xdr:rowOff>
        </xdr:from>
        <xdr:to>
          <xdr:col>6</xdr:col>
          <xdr:colOff>561975</xdr:colOff>
          <xdr:row>12</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12</xdr:row>
          <xdr:rowOff>0</xdr:rowOff>
        </xdr:from>
        <xdr:to>
          <xdr:col>6</xdr:col>
          <xdr:colOff>561975</xdr:colOff>
          <xdr:row>13</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2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13</xdr:row>
          <xdr:rowOff>0</xdr:rowOff>
        </xdr:from>
        <xdr:to>
          <xdr:col>6</xdr:col>
          <xdr:colOff>561975</xdr:colOff>
          <xdr:row>14</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14</xdr:row>
          <xdr:rowOff>0</xdr:rowOff>
        </xdr:from>
        <xdr:to>
          <xdr:col>6</xdr:col>
          <xdr:colOff>561975</xdr:colOff>
          <xdr:row>15</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2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15</xdr:row>
          <xdr:rowOff>0</xdr:rowOff>
        </xdr:from>
        <xdr:to>
          <xdr:col>6</xdr:col>
          <xdr:colOff>561975</xdr:colOff>
          <xdr:row>16</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2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16</xdr:row>
          <xdr:rowOff>133350</xdr:rowOff>
        </xdr:from>
        <xdr:to>
          <xdr:col>6</xdr:col>
          <xdr:colOff>561975</xdr:colOff>
          <xdr:row>16</xdr:row>
          <xdr:rowOff>352425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2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xdr:row>
          <xdr:rowOff>19050</xdr:rowOff>
        </xdr:from>
        <xdr:to>
          <xdr:col>6</xdr:col>
          <xdr:colOff>561975</xdr:colOff>
          <xdr:row>18</xdr:row>
          <xdr:rowOff>19050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2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18</xdr:row>
          <xdr:rowOff>0</xdr:rowOff>
        </xdr:from>
        <xdr:to>
          <xdr:col>6</xdr:col>
          <xdr:colOff>561975</xdr:colOff>
          <xdr:row>19</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2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19</xdr:row>
          <xdr:rowOff>0</xdr:rowOff>
        </xdr:from>
        <xdr:to>
          <xdr:col>6</xdr:col>
          <xdr:colOff>561975</xdr:colOff>
          <xdr:row>20</xdr:row>
          <xdr:rowOff>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2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21</xdr:row>
          <xdr:rowOff>304800</xdr:rowOff>
        </xdr:from>
        <xdr:to>
          <xdr:col>6</xdr:col>
          <xdr:colOff>561975</xdr:colOff>
          <xdr:row>23</xdr:row>
          <xdr:rowOff>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2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23</xdr:row>
          <xdr:rowOff>0</xdr:rowOff>
        </xdr:from>
        <xdr:to>
          <xdr:col>6</xdr:col>
          <xdr:colOff>561975</xdr:colOff>
          <xdr:row>24</xdr:row>
          <xdr:rowOff>28575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2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24</xdr:row>
          <xdr:rowOff>0</xdr:rowOff>
        </xdr:from>
        <xdr:to>
          <xdr:col>6</xdr:col>
          <xdr:colOff>561975</xdr:colOff>
          <xdr:row>25</xdr:row>
          <xdr:rowOff>19050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2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24</xdr:row>
          <xdr:rowOff>0</xdr:rowOff>
        </xdr:from>
        <xdr:to>
          <xdr:col>6</xdr:col>
          <xdr:colOff>561975</xdr:colOff>
          <xdr:row>25</xdr:row>
          <xdr:rowOff>19050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2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9</xdr:row>
          <xdr:rowOff>0</xdr:rowOff>
        </xdr:from>
        <xdr:to>
          <xdr:col>5</xdr:col>
          <xdr:colOff>561975</xdr:colOff>
          <xdr:row>10</xdr:row>
          <xdr:rowOff>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2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10</xdr:row>
          <xdr:rowOff>0</xdr:rowOff>
        </xdr:from>
        <xdr:to>
          <xdr:col>5</xdr:col>
          <xdr:colOff>561975</xdr:colOff>
          <xdr:row>11</xdr:row>
          <xdr:rowOff>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2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26</xdr:row>
          <xdr:rowOff>0</xdr:rowOff>
        </xdr:from>
        <xdr:to>
          <xdr:col>5</xdr:col>
          <xdr:colOff>561975</xdr:colOff>
          <xdr:row>27</xdr:row>
          <xdr:rowOff>28575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2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27</xdr:row>
          <xdr:rowOff>0</xdr:rowOff>
        </xdr:from>
        <xdr:to>
          <xdr:col>5</xdr:col>
          <xdr:colOff>561975</xdr:colOff>
          <xdr:row>28</xdr:row>
          <xdr:rowOff>28575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2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28</xdr:row>
          <xdr:rowOff>0</xdr:rowOff>
        </xdr:from>
        <xdr:to>
          <xdr:col>5</xdr:col>
          <xdr:colOff>561975</xdr:colOff>
          <xdr:row>29</xdr:row>
          <xdr:rowOff>19050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2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28</xdr:row>
          <xdr:rowOff>0</xdr:rowOff>
        </xdr:from>
        <xdr:to>
          <xdr:col>5</xdr:col>
          <xdr:colOff>561975</xdr:colOff>
          <xdr:row>29</xdr:row>
          <xdr:rowOff>19050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2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29</xdr:row>
          <xdr:rowOff>0</xdr:rowOff>
        </xdr:from>
        <xdr:to>
          <xdr:col>5</xdr:col>
          <xdr:colOff>561975</xdr:colOff>
          <xdr:row>30</xdr:row>
          <xdr:rowOff>19050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2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26</xdr:row>
          <xdr:rowOff>0</xdr:rowOff>
        </xdr:from>
        <xdr:to>
          <xdr:col>6</xdr:col>
          <xdr:colOff>561975</xdr:colOff>
          <xdr:row>27</xdr:row>
          <xdr:rowOff>28575</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2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27</xdr:row>
          <xdr:rowOff>0</xdr:rowOff>
        </xdr:from>
        <xdr:to>
          <xdr:col>6</xdr:col>
          <xdr:colOff>561975</xdr:colOff>
          <xdr:row>28</xdr:row>
          <xdr:rowOff>28575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2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28</xdr:row>
          <xdr:rowOff>0</xdr:rowOff>
        </xdr:from>
        <xdr:to>
          <xdr:col>6</xdr:col>
          <xdr:colOff>561975</xdr:colOff>
          <xdr:row>29</xdr:row>
          <xdr:rowOff>19050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2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28</xdr:row>
          <xdr:rowOff>0</xdr:rowOff>
        </xdr:from>
        <xdr:to>
          <xdr:col>6</xdr:col>
          <xdr:colOff>561975</xdr:colOff>
          <xdr:row>29</xdr:row>
          <xdr:rowOff>19050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2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29</xdr:row>
          <xdr:rowOff>0</xdr:rowOff>
        </xdr:from>
        <xdr:to>
          <xdr:col>6</xdr:col>
          <xdr:colOff>561975</xdr:colOff>
          <xdr:row>30</xdr:row>
          <xdr:rowOff>19050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2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33</xdr:row>
          <xdr:rowOff>0</xdr:rowOff>
        </xdr:from>
        <xdr:to>
          <xdr:col>6</xdr:col>
          <xdr:colOff>561975</xdr:colOff>
          <xdr:row>34</xdr:row>
          <xdr:rowOff>28575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2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33</xdr:row>
          <xdr:rowOff>0</xdr:rowOff>
        </xdr:from>
        <xdr:to>
          <xdr:col>5</xdr:col>
          <xdr:colOff>561975</xdr:colOff>
          <xdr:row>34</xdr:row>
          <xdr:rowOff>28575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2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36</xdr:row>
          <xdr:rowOff>0</xdr:rowOff>
        </xdr:from>
        <xdr:to>
          <xdr:col>6</xdr:col>
          <xdr:colOff>561975</xdr:colOff>
          <xdr:row>37</xdr:row>
          <xdr:rowOff>28575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2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36</xdr:row>
          <xdr:rowOff>0</xdr:rowOff>
        </xdr:from>
        <xdr:to>
          <xdr:col>5</xdr:col>
          <xdr:colOff>561975</xdr:colOff>
          <xdr:row>37</xdr:row>
          <xdr:rowOff>28575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2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38</xdr:row>
          <xdr:rowOff>47625</xdr:rowOff>
        </xdr:from>
        <xdr:to>
          <xdr:col>5</xdr:col>
          <xdr:colOff>561975</xdr:colOff>
          <xdr:row>38</xdr:row>
          <xdr:rowOff>266700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2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38</xdr:row>
          <xdr:rowOff>38100</xdr:rowOff>
        </xdr:from>
        <xdr:to>
          <xdr:col>6</xdr:col>
          <xdr:colOff>561975</xdr:colOff>
          <xdr:row>38</xdr:row>
          <xdr:rowOff>257175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2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39</xdr:row>
          <xdr:rowOff>142875</xdr:rowOff>
        </xdr:from>
        <xdr:to>
          <xdr:col>5</xdr:col>
          <xdr:colOff>561975</xdr:colOff>
          <xdr:row>40</xdr:row>
          <xdr:rowOff>104775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2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39</xdr:row>
          <xdr:rowOff>142875</xdr:rowOff>
        </xdr:from>
        <xdr:to>
          <xdr:col>6</xdr:col>
          <xdr:colOff>561975</xdr:colOff>
          <xdr:row>40</xdr:row>
          <xdr:rowOff>104775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2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41</xdr:row>
          <xdr:rowOff>142875</xdr:rowOff>
        </xdr:from>
        <xdr:to>
          <xdr:col>5</xdr:col>
          <xdr:colOff>561975</xdr:colOff>
          <xdr:row>42</xdr:row>
          <xdr:rowOff>114300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2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41</xdr:row>
          <xdr:rowOff>142875</xdr:rowOff>
        </xdr:from>
        <xdr:to>
          <xdr:col>6</xdr:col>
          <xdr:colOff>561975</xdr:colOff>
          <xdr:row>42</xdr:row>
          <xdr:rowOff>114300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2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45</xdr:row>
          <xdr:rowOff>0</xdr:rowOff>
        </xdr:from>
        <xdr:to>
          <xdr:col>5</xdr:col>
          <xdr:colOff>561975</xdr:colOff>
          <xdr:row>45</xdr:row>
          <xdr:rowOff>219075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2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45</xdr:row>
          <xdr:rowOff>0</xdr:rowOff>
        </xdr:from>
        <xdr:to>
          <xdr:col>6</xdr:col>
          <xdr:colOff>561975</xdr:colOff>
          <xdr:row>45</xdr:row>
          <xdr:rowOff>219075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2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46</xdr:row>
          <xdr:rowOff>0</xdr:rowOff>
        </xdr:from>
        <xdr:to>
          <xdr:col>5</xdr:col>
          <xdr:colOff>561975</xdr:colOff>
          <xdr:row>46</xdr:row>
          <xdr:rowOff>219075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2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46</xdr:row>
          <xdr:rowOff>0</xdr:rowOff>
        </xdr:from>
        <xdr:to>
          <xdr:col>6</xdr:col>
          <xdr:colOff>561975</xdr:colOff>
          <xdr:row>46</xdr:row>
          <xdr:rowOff>219075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2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47</xdr:row>
          <xdr:rowOff>0</xdr:rowOff>
        </xdr:from>
        <xdr:to>
          <xdr:col>5</xdr:col>
          <xdr:colOff>561975</xdr:colOff>
          <xdr:row>47</xdr:row>
          <xdr:rowOff>219075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2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47</xdr:row>
          <xdr:rowOff>0</xdr:rowOff>
        </xdr:from>
        <xdr:to>
          <xdr:col>6</xdr:col>
          <xdr:colOff>561975</xdr:colOff>
          <xdr:row>47</xdr:row>
          <xdr:rowOff>219075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2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48</xdr:row>
          <xdr:rowOff>0</xdr:rowOff>
        </xdr:from>
        <xdr:to>
          <xdr:col>5</xdr:col>
          <xdr:colOff>561975</xdr:colOff>
          <xdr:row>48</xdr:row>
          <xdr:rowOff>219075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2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48</xdr:row>
          <xdr:rowOff>0</xdr:rowOff>
        </xdr:from>
        <xdr:to>
          <xdr:col>6</xdr:col>
          <xdr:colOff>561975</xdr:colOff>
          <xdr:row>48</xdr:row>
          <xdr:rowOff>219075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2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49</xdr:row>
          <xdr:rowOff>0</xdr:rowOff>
        </xdr:from>
        <xdr:to>
          <xdr:col>5</xdr:col>
          <xdr:colOff>561975</xdr:colOff>
          <xdr:row>49</xdr:row>
          <xdr:rowOff>219075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2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49</xdr:row>
          <xdr:rowOff>0</xdr:rowOff>
        </xdr:from>
        <xdr:to>
          <xdr:col>6</xdr:col>
          <xdr:colOff>561975</xdr:colOff>
          <xdr:row>49</xdr:row>
          <xdr:rowOff>219075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2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50</xdr:row>
          <xdr:rowOff>57150</xdr:rowOff>
        </xdr:from>
        <xdr:to>
          <xdr:col>5</xdr:col>
          <xdr:colOff>561975</xdr:colOff>
          <xdr:row>50</xdr:row>
          <xdr:rowOff>276225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2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50</xdr:row>
          <xdr:rowOff>47625</xdr:rowOff>
        </xdr:from>
        <xdr:to>
          <xdr:col>6</xdr:col>
          <xdr:colOff>561975</xdr:colOff>
          <xdr:row>50</xdr:row>
          <xdr:rowOff>266700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2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51</xdr:row>
          <xdr:rowOff>38100</xdr:rowOff>
        </xdr:from>
        <xdr:to>
          <xdr:col>5</xdr:col>
          <xdr:colOff>571500</xdr:colOff>
          <xdr:row>51</xdr:row>
          <xdr:rowOff>257175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2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51</xdr:row>
          <xdr:rowOff>38100</xdr:rowOff>
        </xdr:from>
        <xdr:to>
          <xdr:col>6</xdr:col>
          <xdr:colOff>561975</xdr:colOff>
          <xdr:row>51</xdr:row>
          <xdr:rowOff>257175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2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51</xdr:row>
          <xdr:rowOff>314325</xdr:rowOff>
        </xdr:from>
        <xdr:to>
          <xdr:col>5</xdr:col>
          <xdr:colOff>561975</xdr:colOff>
          <xdr:row>52</xdr:row>
          <xdr:rowOff>209550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2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51</xdr:row>
          <xdr:rowOff>314325</xdr:rowOff>
        </xdr:from>
        <xdr:to>
          <xdr:col>6</xdr:col>
          <xdr:colOff>561975</xdr:colOff>
          <xdr:row>52</xdr:row>
          <xdr:rowOff>209550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2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54</xdr:row>
          <xdr:rowOff>219075</xdr:rowOff>
        </xdr:from>
        <xdr:to>
          <xdr:col>5</xdr:col>
          <xdr:colOff>561975</xdr:colOff>
          <xdr:row>55</xdr:row>
          <xdr:rowOff>38100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2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54</xdr:row>
          <xdr:rowOff>219075</xdr:rowOff>
        </xdr:from>
        <xdr:to>
          <xdr:col>6</xdr:col>
          <xdr:colOff>542925</xdr:colOff>
          <xdr:row>55</xdr:row>
          <xdr:rowOff>38100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2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56</xdr:row>
          <xdr:rowOff>19050</xdr:rowOff>
        </xdr:from>
        <xdr:to>
          <xdr:col>5</xdr:col>
          <xdr:colOff>561975</xdr:colOff>
          <xdr:row>56</xdr:row>
          <xdr:rowOff>238125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2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55</xdr:row>
          <xdr:rowOff>323850</xdr:rowOff>
        </xdr:from>
        <xdr:to>
          <xdr:col>6</xdr:col>
          <xdr:colOff>552450</xdr:colOff>
          <xdr:row>57</xdr:row>
          <xdr:rowOff>28575</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2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57</xdr:row>
          <xdr:rowOff>57150</xdr:rowOff>
        </xdr:from>
        <xdr:to>
          <xdr:col>5</xdr:col>
          <xdr:colOff>561975</xdr:colOff>
          <xdr:row>57</xdr:row>
          <xdr:rowOff>323850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2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57</xdr:row>
          <xdr:rowOff>47625</xdr:rowOff>
        </xdr:from>
        <xdr:to>
          <xdr:col>6</xdr:col>
          <xdr:colOff>561975</xdr:colOff>
          <xdr:row>57</xdr:row>
          <xdr:rowOff>323850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2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58</xdr:row>
          <xdr:rowOff>38100</xdr:rowOff>
        </xdr:from>
        <xdr:to>
          <xdr:col>5</xdr:col>
          <xdr:colOff>571500</xdr:colOff>
          <xdr:row>58</xdr:row>
          <xdr:rowOff>257175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2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58</xdr:row>
          <xdr:rowOff>38100</xdr:rowOff>
        </xdr:from>
        <xdr:to>
          <xdr:col>6</xdr:col>
          <xdr:colOff>561975</xdr:colOff>
          <xdr:row>58</xdr:row>
          <xdr:rowOff>257175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2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59</xdr:row>
          <xdr:rowOff>38100</xdr:rowOff>
        </xdr:from>
        <xdr:to>
          <xdr:col>5</xdr:col>
          <xdr:colOff>561975</xdr:colOff>
          <xdr:row>59</xdr:row>
          <xdr:rowOff>257175</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2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59</xdr:row>
          <xdr:rowOff>38100</xdr:rowOff>
        </xdr:from>
        <xdr:to>
          <xdr:col>6</xdr:col>
          <xdr:colOff>561975</xdr:colOff>
          <xdr:row>59</xdr:row>
          <xdr:rowOff>257175</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2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60</xdr:row>
          <xdr:rowOff>0</xdr:rowOff>
        </xdr:from>
        <xdr:to>
          <xdr:col>5</xdr:col>
          <xdr:colOff>561975</xdr:colOff>
          <xdr:row>60</xdr:row>
          <xdr:rowOff>219075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2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60</xdr:row>
          <xdr:rowOff>0</xdr:rowOff>
        </xdr:from>
        <xdr:to>
          <xdr:col>6</xdr:col>
          <xdr:colOff>561975</xdr:colOff>
          <xdr:row>60</xdr:row>
          <xdr:rowOff>219075</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2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60</xdr:row>
          <xdr:rowOff>0</xdr:rowOff>
        </xdr:from>
        <xdr:to>
          <xdr:col>5</xdr:col>
          <xdr:colOff>561975</xdr:colOff>
          <xdr:row>60</xdr:row>
          <xdr:rowOff>219075</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2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60</xdr:row>
          <xdr:rowOff>0</xdr:rowOff>
        </xdr:from>
        <xdr:to>
          <xdr:col>6</xdr:col>
          <xdr:colOff>561975</xdr:colOff>
          <xdr:row>60</xdr:row>
          <xdr:rowOff>219075</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2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61</xdr:row>
          <xdr:rowOff>0</xdr:rowOff>
        </xdr:from>
        <xdr:to>
          <xdr:col>5</xdr:col>
          <xdr:colOff>561975</xdr:colOff>
          <xdr:row>61</xdr:row>
          <xdr:rowOff>219075</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2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61</xdr:row>
          <xdr:rowOff>0</xdr:rowOff>
        </xdr:from>
        <xdr:to>
          <xdr:col>6</xdr:col>
          <xdr:colOff>561975</xdr:colOff>
          <xdr:row>61</xdr:row>
          <xdr:rowOff>219075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2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62</xdr:row>
          <xdr:rowOff>171450</xdr:rowOff>
        </xdr:from>
        <xdr:to>
          <xdr:col>5</xdr:col>
          <xdr:colOff>561975</xdr:colOff>
          <xdr:row>64</xdr:row>
          <xdr:rowOff>9525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2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62</xdr:row>
          <xdr:rowOff>161925</xdr:rowOff>
        </xdr:from>
        <xdr:to>
          <xdr:col>6</xdr:col>
          <xdr:colOff>561975</xdr:colOff>
          <xdr:row>64</xdr:row>
          <xdr:rowOff>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2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65</xdr:row>
          <xdr:rowOff>38100</xdr:rowOff>
        </xdr:from>
        <xdr:to>
          <xdr:col>5</xdr:col>
          <xdr:colOff>561975</xdr:colOff>
          <xdr:row>65</xdr:row>
          <xdr:rowOff>257175</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2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65</xdr:row>
          <xdr:rowOff>38100</xdr:rowOff>
        </xdr:from>
        <xdr:to>
          <xdr:col>6</xdr:col>
          <xdr:colOff>552450</xdr:colOff>
          <xdr:row>65</xdr:row>
          <xdr:rowOff>257175</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2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66</xdr:row>
          <xdr:rowOff>0</xdr:rowOff>
        </xdr:from>
        <xdr:to>
          <xdr:col>5</xdr:col>
          <xdr:colOff>561975</xdr:colOff>
          <xdr:row>66</xdr:row>
          <xdr:rowOff>219075</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2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66</xdr:row>
          <xdr:rowOff>0</xdr:rowOff>
        </xdr:from>
        <xdr:to>
          <xdr:col>6</xdr:col>
          <xdr:colOff>561975</xdr:colOff>
          <xdr:row>66</xdr:row>
          <xdr:rowOff>219075</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2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67</xdr:row>
          <xdr:rowOff>0</xdr:rowOff>
        </xdr:from>
        <xdr:to>
          <xdr:col>5</xdr:col>
          <xdr:colOff>561975</xdr:colOff>
          <xdr:row>67</xdr:row>
          <xdr:rowOff>219075</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2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67</xdr:row>
          <xdr:rowOff>0</xdr:rowOff>
        </xdr:from>
        <xdr:to>
          <xdr:col>6</xdr:col>
          <xdr:colOff>561975</xdr:colOff>
          <xdr:row>67</xdr:row>
          <xdr:rowOff>219075</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2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67</xdr:row>
          <xdr:rowOff>228600</xdr:rowOff>
        </xdr:from>
        <xdr:to>
          <xdr:col>5</xdr:col>
          <xdr:colOff>561975</xdr:colOff>
          <xdr:row>68</xdr:row>
          <xdr:rowOff>447675</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2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67</xdr:row>
          <xdr:rowOff>228600</xdr:rowOff>
        </xdr:from>
        <xdr:to>
          <xdr:col>6</xdr:col>
          <xdr:colOff>561975</xdr:colOff>
          <xdr:row>68</xdr:row>
          <xdr:rowOff>447675</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2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69</xdr:row>
          <xdr:rowOff>361950</xdr:rowOff>
        </xdr:from>
        <xdr:to>
          <xdr:col>5</xdr:col>
          <xdr:colOff>571500</xdr:colOff>
          <xdr:row>69</xdr:row>
          <xdr:rowOff>581025</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2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69</xdr:row>
          <xdr:rowOff>342900</xdr:rowOff>
        </xdr:from>
        <xdr:to>
          <xdr:col>6</xdr:col>
          <xdr:colOff>561975</xdr:colOff>
          <xdr:row>69</xdr:row>
          <xdr:rowOff>561975</xdr:rowOff>
        </xdr:to>
        <xdr:sp macro="" textlink="">
          <xdr:nvSpPr>
            <xdr:cNvPr id="2024" name="Check Box 1000" hidden="1">
              <a:extLst>
                <a:ext uri="{63B3BB69-23CF-44E3-9099-C40C66FF867C}">
                  <a14:compatExt spid="_x0000_s2024"/>
                </a:ext>
                <a:ext uri="{FF2B5EF4-FFF2-40B4-BE49-F238E27FC236}">
                  <a16:creationId xmlns:a16="http://schemas.microsoft.com/office/drawing/2014/main" id="{00000000-0008-0000-0200-0000E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71</xdr:row>
          <xdr:rowOff>85725</xdr:rowOff>
        </xdr:from>
        <xdr:to>
          <xdr:col>5</xdr:col>
          <xdr:colOff>552450</xdr:colOff>
          <xdr:row>71</xdr:row>
          <xdr:rowOff>695325</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2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71</xdr:row>
          <xdr:rowOff>95250</xdr:rowOff>
        </xdr:from>
        <xdr:to>
          <xdr:col>6</xdr:col>
          <xdr:colOff>561975</xdr:colOff>
          <xdr:row>71</xdr:row>
          <xdr:rowOff>695325</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2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72</xdr:row>
          <xdr:rowOff>180975</xdr:rowOff>
        </xdr:from>
        <xdr:to>
          <xdr:col>5</xdr:col>
          <xdr:colOff>561975</xdr:colOff>
          <xdr:row>72</xdr:row>
          <xdr:rowOff>400050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72</xdr:row>
          <xdr:rowOff>180975</xdr:rowOff>
        </xdr:from>
        <xdr:to>
          <xdr:col>6</xdr:col>
          <xdr:colOff>561975</xdr:colOff>
          <xdr:row>72</xdr:row>
          <xdr:rowOff>400050</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72</xdr:row>
          <xdr:rowOff>552450</xdr:rowOff>
        </xdr:from>
        <xdr:to>
          <xdr:col>5</xdr:col>
          <xdr:colOff>561975</xdr:colOff>
          <xdr:row>73</xdr:row>
          <xdr:rowOff>485775</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72</xdr:row>
          <xdr:rowOff>552450</xdr:rowOff>
        </xdr:from>
        <xdr:to>
          <xdr:col>6</xdr:col>
          <xdr:colOff>571500</xdr:colOff>
          <xdr:row>73</xdr:row>
          <xdr:rowOff>485775</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75</xdr:row>
          <xdr:rowOff>600075</xdr:rowOff>
        </xdr:from>
        <xdr:to>
          <xdr:col>5</xdr:col>
          <xdr:colOff>561975</xdr:colOff>
          <xdr:row>76</xdr:row>
          <xdr:rowOff>352425</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75</xdr:row>
          <xdr:rowOff>609600</xdr:rowOff>
        </xdr:from>
        <xdr:to>
          <xdr:col>6</xdr:col>
          <xdr:colOff>561975</xdr:colOff>
          <xdr:row>76</xdr:row>
          <xdr:rowOff>352425</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77</xdr:row>
          <xdr:rowOff>114300</xdr:rowOff>
        </xdr:from>
        <xdr:to>
          <xdr:col>5</xdr:col>
          <xdr:colOff>561975</xdr:colOff>
          <xdr:row>77</xdr:row>
          <xdr:rowOff>485775</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77</xdr:row>
          <xdr:rowOff>114300</xdr:rowOff>
        </xdr:from>
        <xdr:to>
          <xdr:col>6</xdr:col>
          <xdr:colOff>561975</xdr:colOff>
          <xdr:row>77</xdr:row>
          <xdr:rowOff>485775</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78</xdr:row>
          <xdr:rowOff>57150</xdr:rowOff>
        </xdr:from>
        <xdr:to>
          <xdr:col>5</xdr:col>
          <xdr:colOff>561975</xdr:colOff>
          <xdr:row>79</xdr:row>
          <xdr:rowOff>0</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78</xdr:row>
          <xdr:rowOff>66675</xdr:rowOff>
        </xdr:from>
        <xdr:to>
          <xdr:col>6</xdr:col>
          <xdr:colOff>561975</xdr:colOff>
          <xdr:row>79</xdr:row>
          <xdr:rowOff>0</xdr:rowOff>
        </xdr:to>
        <xdr:sp macro="" textlink="">
          <xdr:nvSpPr>
            <xdr:cNvPr id="2268" name="Check Box 1244" hidden="1">
              <a:extLst>
                <a:ext uri="{63B3BB69-23CF-44E3-9099-C40C66FF867C}">
                  <a14:compatExt spid="_x0000_s2268"/>
                </a:ext>
                <a:ext uri="{FF2B5EF4-FFF2-40B4-BE49-F238E27FC236}">
                  <a16:creationId xmlns:a16="http://schemas.microsoft.com/office/drawing/2014/main" id="{00000000-0008-0000-02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180975</xdr:rowOff>
        </xdr:from>
        <xdr:to>
          <xdr:col>5</xdr:col>
          <xdr:colOff>561975</xdr:colOff>
          <xdr:row>32</xdr:row>
          <xdr:rowOff>0</xdr:rowOff>
        </xdr:to>
        <xdr:sp macro="" textlink="">
          <xdr:nvSpPr>
            <xdr:cNvPr id="2271" name="Check Box 1247" hidden="1">
              <a:extLst>
                <a:ext uri="{63B3BB69-23CF-44E3-9099-C40C66FF867C}">
                  <a14:compatExt spid="_x0000_s2271"/>
                </a:ext>
                <a:ext uri="{FF2B5EF4-FFF2-40B4-BE49-F238E27FC236}">
                  <a16:creationId xmlns:a16="http://schemas.microsoft.com/office/drawing/2014/main" id="{00000000-0008-0000-02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30</xdr:row>
          <xdr:rowOff>180975</xdr:rowOff>
        </xdr:from>
        <xdr:to>
          <xdr:col>6</xdr:col>
          <xdr:colOff>561975</xdr:colOff>
          <xdr:row>32</xdr:row>
          <xdr:rowOff>0</xdr:rowOff>
        </xdr:to>
        <xdr:sp macro="" textlink="">
          <xdr:nvSpPr>
            <xdr:cNvPr id="2273" name="Check Box 1249" hidden="1">
              <a:extLst>
                <a:ext uri="{63B3BB69-23CF-44E3-9099-C40C66FF867C}">
                  <a14:compatExt spid="_x0000_s2273"/>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74</xdr:row>
          <xdr:rowOff>371475</xdr:rowOff>
        </xdr:from>
        <xdr:to>
          <xdr:col>5</xdr:col>
          <xdr:colOff>523875</xdr:colOff>
          <xdr:row>75</xdr:row>
          <xdr:rowOff>133350</xdr:rowOff>
        </xdr:to>
        <xdr:sp macro="" textlink="">
          <xdr:nvSpPr>
            <xdr:cNvPr id="2275" name="Check Box 1251" hidden="1">
              <a:extLst>
                <a:ext uri="{63B3BB69-23CF-44E3-9099-C40C66FF867C}">
                  <a14:compatExt spid="_x0000_s2275"/>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74</xdr:row>
          <xdr:rowOff>361950</xdr:rowOff>
        </xdr:from>
        <xdr:to>
          <xdr:col>6</xdr:col>
          <xdr:colOff>552450</xdr:colOff>
          <xdr:row>75</xdr:row>
          <xdr:rowOff>123825</xdr:rowOff>
        </xdr:to>
        <xdr:sp macro="" textlink="">
          <xdr:nvSpPr>
            <xdr:cNvPr id="2276" name="Check Box 1252" hidden="1">
              <a:extLst>
                <a:ext uri="{63B3BB69-23CF-44E3-9099-C40C66FF867C}">
                  <a14:compatExt spid="_x0000_s2276"/>
                </a:ext>
                <a:ext uri="{FF2B5EF4-FFF2-40B4-BE49-F238E27FC236}">
                  <a16:creationId xmlns:a16="http://schemas.microsoft.com/office/drawing/2014/main" id="{00000000-0008-0000-02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20</xdr:row>
          <xdr:rowOff>0</xdr:rowOff>
        </xdr:from>
        <xdr:to>
          <xdr:col>5</xdr:col>
          <xdr:colOff>561975</xdr:colOff>
          <xdr:row>20</xdr:row>
          <xdr:rowOff>219075</xdr:rowOff>
        </xdr:to>
        <xdr:sp macro="" textlink="">
          <xdr:nvSpPr>
            <xdr:cNvPr id="2289" name="Check Box 1265" hidden="1">
              <a:extLst>
                <a:ext uri="{63B3BB69-23CF-44E3-9099-C40C66FF867C}">
                  <a14:compatExt spid="_x0000_s2289"/>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20</xdr:row>
          <xdr:rowOff>0</xdr:rowOff>
        </xdr:from>
        <xdr:to>
          <xdr:col>5</xdr:col>
          <xdr:colOff>561975</xdr:colOff>
          <xdr:row>20</xdr:row>
          <xdr:rowOff>219075</xdr:rowOff>
        </xdr:to>
        <xdr:sp macro="" textlink="">
          <xdr:nvSpPr>
            <xdr:cNvPr id="2290" name="Check Box 1266" hidden="1">
              <a:extLst>
                <a:ext uri="{63B3BB69-23CF-44E3-9099-C40C66FF867C}">
                  <a14:compatExt spid="_x0000_s2290"/>
                </a:ext>
                <a:ext uri="{FF2B5EF4-FFF2-40B4-BE49-F238E27FC236}">
                  <a16:creationId xmlns:a16="http://schemas.microsoft.com/office/drawing/2014/main" id="{00000000-0008-0000-02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20</xdr:row>
          <xdr:rowOff>0</xdr:rowOff>
        </xdr:from>
        <xdr:to>
          <xdr:col>6</xdr:col>
          <xdr:colOff>561975</xdr:colOff>
          <xdr:row>20</xdr:row>
          <xdr:rowOff>219075</xdr:rowOff>
        </xdr:to>
        <xdr:sp macro="" textlink="">
          <xdr:nvSpPr>
            <xdr:cNvPr id="2291" name="Check Box 1267" hidden="1">
              <a:extLst>
                <a:ext uri="{63B3BB69-23CF-44E3-9099-C40C66FF867C}">
                  <a14:compatExt spid="_x0000_s2291"/>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20</xdr:row>
          <xdr:rowOff>0</xdr:rowOff>
        </xdr:from>
        <xdr:to>
          <xdr:col>6</xdr:col>
          <xdr:colOff>561975</xdr:colOff>
          <xdr:row>20</xdr:row>
          <xdr:rowOff>219075</xdr:rowOff>
        </xdr:to>
        <xdr:sp macro="" textlink="">
          <xdr:nvSpPr>
            <xdr:cNvPr id="2292" name="Check Box 1268" hidden="1">
              <a:extLst>
                <a:ext uri="{63B3BB69-23CF-44E3-9099-C40C66FF867C}">
                  <a14:compatExt spid="_x0000_s2292"/>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43</xdr:row>
          <xdr:rowOff>133350</xdr:rowOff>
        </xdr:from>
        <xdr:to>
          <xdr:col>5</xdr:col>
          <xdr:colOff>561975</xdr:colOff>
          <xdr:row>44</xdr:row>
          <xdr:rowOff>104775</xdr:rowOff>
        </xdr:to>
        <xdr:sp macro="" textlink="">
          <xdr:nvSpPr>
            <xdr:cNvPr id="2296" name="Check Box 1272" hidden="1">
              <a:extLst>
                <a:ext uri="{63B3BB69-23CF-44E3-9099-C40C66FF867C}">
                  <a14:compatExt spid="_x0000_s2296"/>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43</xdr:row>
          <xdr:rowOff>133350</xdr:rowOff>
        </xdr:from>
        <xdr:to>
          <xdr:col>6</xdr:col>
          <xdr:colOff>561975</xdr:colOff>
          <xdr:row>44</xdr:row>
          <xdr:rowOff>104775</xdr:rowOff>
        </xdr:to>
        <xdr:sp macro="" textlink="">
          <xdr:nvSpPr>
            <xdr:cNvPr id="2297" name="Check Box 1273" hidden="1">
              <a:extLst>
                <a:ext uri="{63B3BB69-23CF-44E3-9099-C40C66FF867C}">
                  <a14:compatExt spid="_x0000_s2297"/>
                </a:ext>
                <a:ext uri="{FF2B5EF4-FFF2-40B4-BE49-F238E27FC236}">
                  <a16:creationId xmlns:a16="http://schemas.microsoft.com/office/drawing/2014/main" id="{00000000-0008-0000-02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1</xdr:row>
      <xdr:rowOff>30104</xdr:rowOff>
    </xdr:from>
    <xdr:to>
      <xdr:col>2</xdr:col>
      <xdr:colOff>666750</xdr:colOff>
      <xdr:row>1</xdr:row>
      <xdr:rowOff>419100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30129"/>
          <a:ext cx="1609725" cy="38899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257175</xdr:colOff>
          <xdr:row>52</xdr:row>
          <xdr:rowOff>314325</xdr:rowOff>
        </xdr:from>
        <xdr:to>
          <xdr:col>5</xdr:col>
          <xdr:colOff>561975</xdr:colOff>
          <xdr:row>53</xdr:row>
          <xdr:rowOff>209550</xdr:rowOff>
        </xdr:to>
        <xdr:sp macro="" textlink="">
          <xdr:nvSpPr>
            <xdr:cNvPr id="2298" name="Check Box 1274" hidden="1">
              <a:extLst>
                <a:ext uri="{63B3BB69-23CF-44E3-9099-C40C66FF867C}">
                  <a14:compatExt spid="_x0000_s2298"/>
                </a:ext>
                <a:ext uri="{FF2B5EF4-FFF2-40B4-BE49-F238E27FC236}">
                  <a16:creationId xmlns:a16="http://schemas.microsoft.com/office/drawing/2014/main" id="{00000000-0008-0000-02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52</xdr:row>
          <xdr:rowOff>314325</xdr:rowOff>
        </xdr:from>
        <xdr:to>
          <xdr:col>6</xdr:col>
          <xdr:colOff>561975</xdr:colOff>
          <xdr:row>53</xdr:row>
          <xdr:rowOff>209550</xdr:rowOff>
        </xdr:to>
        <xdr:sp macro="" textlink="">
          <xdr:nvSpPr>
            <xdr:cNvPr id="2299" name="Check Box 1275" hidden="1">
              <a:extLst>
                <a:ext uri="{63B3BB69-23CF-44E3-9099-C40C66FF867C}">
                  <a14:compatExt spid="_x0000_s2299"/>
                </a:ext>
                <a:ext uri="{FF2B5EF4-FFF2-40B4-BE49-F238E27FC236}">
                  <a16:creationId xmlns:a16="http://schemas.microsoft.com/office/drawing/2014/main" id="{00000000-0008-0000-02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easureQC%20Calc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QC Calcs"/>
      <sheetName val="Lookup"/>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energystar.gov/index.cfm?c=roomac.pr_crit_room_ac"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FFFCC"/>
  </sheetPr>
  <dimension ref="B1:C14"/>
  <sheetViews>
    <sheetView showGridLines="0" tabSelected="1" workbookViewId="0">
      <selection activeCell="C10" sqref="C10"/>
    </sheetView>
  </sheetViews>
  <sheetFormatPr defaultRowHeight="12"/>
  <cols>
    <col min="1" max="1" width="2.42578125" style="249" customWidth="1"/>
    <col min="2" max="2" width="9.140625" style="249"/>
    <col min="3" max="3" width="112.85546875" style="249" customWidth="1"/>
    <col min="4" max="256" width="9.140625" style="249"/>
    <col min="257" max="257" width="2.42578125" style="249" customWidth="1"/>
    <col min="258" max="258" width="9.140625" style="249"/>
    <col min="259" max="259" width="112.85546875" style="249" customWidth="1"/>
    <col min="260" max="512" width="9.140625" style="249"/>
    <col min="513" max="513" width="2.42578125" style="249" customWidth="1"/>
    <col min="514" max="514" width="9.140625" style="249"/>
    <col min="515" max="515" width="112.85546875" style="249" customWidth="1"/>
    <col min="516" max="768" width="9.140625" style="249"/>
    <col min="769" max="769" width="2.42578125" style="249" customWidth="1"/>
    <col min="770" max="770" width="9.140625" style="249"/>
    <col min="771" max="771" width="112.85546875" style="249" customWidth="1"/>
    <col min="772" max="1024" width="9.140625" style="249"/>
    <col min="1025" max="1025" width="2.42578125" style="249" customWidth="1"/>
    <col min="1026" max="1026" width="9.140625" style="249"/>
    <col min="1027" max="1027" width="112.85546875" style="249" customWidth="1"/>
    <col min="1028" max="1280" width="9.140625" style="249"/>
    <col min="1281" max="1281" width="2.42578125" style="249" customWidth="1"/>
    <col min="1282" max="1282" width="9.140625" style="249"/>
    <col min="1283" max="1283" width="112.85546875" style="249" customWidth="1"/>
    <col min="1284" max="1536" width="9.140625" style="249"/>
    <col min="1537" max="1537" width="2.42578125" style="249" customWidth="1"/>
    <col min="1538" max="1538" width="9.140625" style="249"/>
    <col min="1539" max="1539" width="112.85546875" style="249" customWidth="1"/>
    <col min="1540" max="1792" width="9.140625" style="249"/>
    <col min="1793" max="1793" width="2.42578125" style="249" customWidth="1"/>
    <col min="1794" max="1794" width="9.140625" style="249"/>
    <col min="1795" max="1795" width="112.85546875" style="249" customWidth="1"/>
    <col min="1796" max="2048" width="9.140625" style="249"/>
    <col min="2049" max="2049" width="2.42578125" style="249" customWidth="1"/>
    <col min="2050" max="2050" width="9.140625" style="249"/>
    <col min="2051" max="2051" width="112.85546875" style="249" customWidth="1"/>
    <col min="2052" max="2304" width="9.140625" style="249"/>
    <col min="2305" max="2305" width="2.42578125" style="249" customWidth="1"/>
    <col min="2306" max="2306" width="9.140625" style="249"/>
    <col min="2307" max="2307" width="112.85546875" style="249" customWidth="1"/>
    <col min="2308" max="2560" width="9.140625" style="249"/>
    <col min="2561" max="2561" width="2.42578125" style="249" customWidth="1"/>
    <col min="2562" max="2562" width="9.140625" style="249"/>
    <col min="2563" max="2563" width="112.85546875" style="249" customWidth="1"/>
    <col min="2564" max="2816" width="9.140625" style="249"/>
    <col min="2817" max="2817" width="2.42578125" style="249" customWidth="1"/>
    <col min="2818" max="2818" width="9.140625" style="249"/>
    <col min="2819" max="2819" width="112.85546875" style="249" customWidth="1"/>
    <col min="2820" max="3072" width="9.140625" style="249"/>
    <col min="3073" max="3073" width="2.42578125" style="249" customWidth="1"/>
    <col min="3074" max="3074" width="9.140625" style="249"/>
    <col min="3075" max="3075" width="112.85546875" style="249" customWidth="1"/>
    <col min="3076" max="3328" width="9.140625" style="249"/>
    <col min="3329" max="3329" width="2.42578125" style="249" customWidth="1"/>
    <col min="3330" max="3330" width="9.140625" style="249"/>
    <col min="3331" max="3331" width="112.85546875" style="249" customWidth="1"/>
    <col min="3332" max="3584" width="9.140625" style="249"/>
    <col min="3585" max="3585" width="2.42578125" style="249" customWidth="1"/>
    <col min="3586" max="3586" width="9.140625" style="249"/>
    <col min="3587" max="3587" width="112.85546875" style="249" customWidth="1"/>
    <col min="3588" max="3840" width="9.140625" style="249"/>
    <col min="3841" max="3841" width="2.42578125" style="249" customWidth="1"/>
    <col min="3842" max="3842" width="9.140625" style="249"/>
    <col min="3843" max="3843" width="112.85546875" style="249" customWidth="1"/>
    <col min="3844" max="4096" width="9.140625" style="249"/>
    <col min="4097" max="4097" width="2.42578125" style="249" customWidth="1"/>
    <col min="4098" max="4098" width="9.140625" style="249"/>
    <col min="4099" max="4099" width="112.85546875" style="249" customWidth="1"/>
    <col min="4100" max="4352" width="9.140625" style="249"/>
    <col min="4353" max="4353" width="2.42578125" style="249" customWidth="1"/>
    <col min="4354" max="4354" width="9.140625" style="249"/>
    <col min="4355" max="4355" width="112.85546875" style="249" customWidth="1"/>
    <col min="4356" max="4608" width="9.140625" style="249"/>
    <col min="4609" max="4609" width="2.42578125" style="249" customWidth="1"/>
    <col min="4610" max="4610" width="9.140625" style="249"/>
    <col min="4611" max="4611" width="112.85546875" style="249" customWidth="1"/>
    <col min="4612" max="4864" width="9.140625" style="249"/>
    <col min="4865" max="4865" width="2.42578125" style="249" customWidth="1"/>
    <col min="4866" max="4866" width="9.140625" style="249"/>
    <col min="4867" max="4867" width="112.85546875" style="249" customWidth="1"/>
    <col min="4868" max="5120" width="9.140625" style="249"/>
    <col min="5121" max="5121" width="2.42578125" style="249" customWidth="1"/>
    <col min="5122" max="5122" width="9.140625" style="249"/>
    <col min="5123" max="5123" width="112.85546875" style="249" customWidth="1"/>
    <col min="5124" max="5376" width="9.140625" style="249"/>
    <col min="5377" max="5377" width="2.42578125" style="249" customWidth="1"/>
    <col min="5378" max="5378" width="9.140625" style="249"/>
    <col min="5379" max="5379" width="112.85546875" style="249" customWidth="1"/>
    <col min="5380" max="5632" width="9.140625" style="249"/>
    <col min="5633" max="5633" width="2.42578125" style="249" customWidth="1"/>
    <col min="5634" max="5634" width="9.140625" style="249"/>
    <col min="5635" max="5635" width="112.85546875" style="249" customWidth="1"/>
    <col min="5636" max="5888" width="9.140625" style="249"/>
    <col min="5889" max="5889" width="2.42578125" style="249" customWidth="1"/>
    <col min="5890" max="5890" width="9.140625" style="249"/>
    <col min="5891" max="5891" width="112.85546875" style="249" customWidth="1"/>
    <col min="5892" max="6144" width="9.140625" style="249"/>
    <col min="6145" max="6145" width="2.42578125" style="249" customWidth="1"/>
    <col min="6146" max="6146" width="9.140625" style="249"/>
    <col min="6147" max="6147" width="112.85546875" style="249" customWidth="1"/>
    <col min="6148" max="6400" width="9.140625" style="249"/>
    <col min="6401" max="6401" width="2.42578125" style="249" customWidth="1"/>
    <col min="6402" max="6402" width="9.140625" style="249"/>
    <col min="6403" max="6403" width="112.85546875" style="249" customWidth="1"/>
    <col min="6404" max="6656" width="9.140625" style="249"/>
    <col min="6657" max="6657" width="2.42578125" style="249" customWidth="1"/>
    <col min="6658" max="6658" width="9.140625" style="249"/>
    <col min="6659" max="6659" width="112.85546875" style="249" customWidth="1"/>
    <col min="6660" max="6912" width="9.140625" style="249"/>
    <col min="6913" max="6913" width="2.42578125" style="249" customWidth="1"/>
    <col min="6914" max="6914" width="9.140625" style="249"/>
    <col min="6915" max="6915" width="112.85546875" style="249" customWidth="1"/>
    <col min="6916" max="7168" width="9.140625" style="249"/>
    <col min="7169" max="7169" width="2.42578125" style="249" customWidth="1"/>
    <col min="7170" max="7170" width="9.140625" style="249"/>
    <col min="7171" max="7171" width="112.85546875" style="249" customWidth="1"/>
    <col min="7172" max="7424" width="9.140625" style="249"/>
    <col min="7425" max="7425" width="2.42578125" style="249" customWidth="1"/>
    <col min="7426" max="7426" width="9.140625" style="249"/>
    <col min="7427" max="7427" width="112.85546875" style="249" customWidth="1"/>
    <col min="7428" max="7680" width="9.140625" style="249"/>
    <col min="7681" max="7681" width="2.42578125" style="249" customWidth="1"/>
    <col min="7682" max="7682" width="9.140625" style="249"/>
    <col min="7683" max="7683" width="112.85546875" style="249" customWidth="1"/>
    <col min="7684" max="7936" width="9.140625" style="249"/>
    <col min="7937" max="7937" width="2.42578125" style="249" customWidth="1"/>
    <col min="7938" max="7938" width="9.140625" style="249"/>
    <col min="7939" max="7939" width="112.85546875" style="249" customWidth="1"/>
    <col min="7940" max="8192" width="9.140625" style="249"/>
    <col min="8193" max="8193" width="2.42578125" style="249" customWidth="1"/>
    <col min="8194" max="8194" width="9.140625" style="249"/>
    <col min="8195" max="8195" width="112.85546875" style="249" customWidth="1"/>
    <col min="8196" max="8448" width="9.140625" style="249"/>
    <col min="8449" max="8449" width="2.42578125" style="249" customWidth="1"/>
    <col min="8450" max="8450" width="9.140625" style="249"/>
    <col min="8451" max="8451" width="112.85546875" style="249" customWidth="1"/>
    <col min="8452" max="8704" width="9.140625" style="249"/>
    <col min="8705" max="8705" width="2.42578125" style="249" customWidth="1"/>
    <col min="8706" max="8706" width="9.140625" style="249"/>
    <col min="8707" max="8707" width="112.85546875" style="249" customWidth="1"/>
    <col min="8708" max="8960" width="9.140625" style="249"/>
    <col min="8961" max="8961" width="2.42578125" style="249" customWidth="1"/>
    <col min="8962" max="8962" width="9.140625" style="249"/>
    <col min="8963" max="8963" width="112.85546875" style="249" customWidth="1"/>
    <col min="8964" max="9216" width="9.140625" style="249"/>
    <col min="9217" max="9217" width="2.42578125" style="249" customWidth="1"/>
    <col min="9218" max="9218" width="9.140625" style="249"/>
    <col min="9219" max="9219" width="112.85546875" style="249" customWidth="1"/>
    <col min="9220" max="9472" width="9.140625" style="249"/>
    <col min="9473" max="9473" width="2.42578125" style="249" customWidth="1"/>
    <col min="9474" max="9474" width="9.140625" style="249"/>
    <col min="9475" max="9475" width="112.85546875" style="249" customWidth="1"/>
    <col min="9476" max="9728" width="9.140625" style="249"/>
    <col min="9729" max="9729" width="2.42578125" style="249" customWidth="1"/>
    <col min="9730" max="9730" width="9.140625" style="249"/>
    <col min="9731" max="9731" width="112.85546875" style="249" customWidth="1"/>
    <col min="9732" max="9984" width="9.140625" style="249"/>
    <col min="9985" max="9985" width="2.42578125" style="249" customWidth="1"/>
    <col min="9986" max="9986" width="9.140625" style="249"/>
    <col min="9987" max="9987" width="112.85546875" style="249" customWidth="1"/>
    <col min="9988" max="10240" width="9.140625" style="249"/>
    <col min="10241" max="10241" width="2.42578125" style="249" customWidth="1"/>
    <col min="10242" max="10242" width="9.140625" style="249"/>
    <col min="10243" max="10243" width="112.85546875" style="249" customWidth="1"/>
    <col min="10244" max="10496" width="9.140625" style="249"/>
    <col min="10497" max="10497" width="2.42578125" style="249" customWidth="1"/>
    <col min="10498" max="10498" width="9.140625" style="249"/>
    <col min="10499" max="10499" width="112.85546875" style="249" customWidth="1"/>
    <col min="10500" max="10752" width="9.140625" style="249"/>
    <col min="10753" max="10753" width="2.42578125" style="249" customWidth="1"/>
    <col min="10754" max="10754" width="9.140625" style="249"/>
    <col min="10755" max="10755" width="112.85546875" style="249" customWidth="1"/>
    <col min="10756" max="11008" width="9.140625" style="249"/>
    <col min="11009" max="11009" width="2.42578125" style="249" customWidth="1"/>
    <col min="11010" max="11010" width="9.140625" style="249"/>
    <col min="11011" max="11011" width="112.85546875" style="249" customWidth="1"/>
    <col min="11012" max="11264" width="9.140625" style="249"/>
    <col min="11265" max="11265" width="2.42578125" style="249" customWidth="1"/>
    <col min="11266" max="11266" width="9.140625" style="249"/>
    <col min="11267" max="11267" width="112.85546875" style="249" customWidth="1"/>
    <col min="11268" max="11520" width="9.140625" style="249"/>
    <col min="11521" max="11521" width="2.42578125" style="249" customWidth="1"/>
    <col min="11522" max="11522" width="9.140625" style="249"/>
    <col min="11523" max="11523" width="112.85546875" style="249" customWidth="1"/>
    <col min="11524" max="11776" width="9.140625" style="249"/>
    <col min="11777" max="11777" width="2.42578125" style="249" customWidth="1"/>
    <col min="11778" max="11778" width="9.140625" style="249"/>
    <col min="11779" max="11779" width="112.85546875" style="249" customWidth="1"/>
    <col min="11780" max="12032" width="9.140625" style="249"/>
    <col min="12033" max="12033" width="2.42578125" style="249" customWidth="1"/>
    <col min="12034" max="12034" width="9.140625" style="249"/>
    <col min="12035" max="12035" width="112.85546875" style="249" customWidth="1"/>
    <col min="12036" max="12288" width="9.140625" style="249"/>
    <col min="12289" max="12289" width="2.42578125" style="249" customWidth="1"/>
    <col min="12290" max="12290" width="9.140625" style="249"/>
    <col min="12291" max="12291" width="112.85546875" style="249" customWidth="1"/>
    <col min="12292" max="12544" width="9.140625" style="249"/>
    <col min="12545" max="12545" width="2.42578125" style="249" customWidth="1"/>
    <col min="12546" max="12546" width="9.140625" style="249"/>
    <col min="12547" max="12547" width="112.85546875" style="249" customWidth="1"/>
    <col min="12548" max="12800" width="9.140625" style="249"/>
    <col min="12801" max="12801" width="2.42578125" style="249" customWidth="1"/>
    <col min="12802" max="12802" width="9.140625" style="249"/>
    <col min="12803" max="12803" width="112.85546875" style="249" customWidth="1"/>
    <col min="12804" max="13056" width="9.140625" style="249"/>
    <col min="13057" max="13057" width="2.42578125" style="249" customWidth="1"/>
    <col min="13058" max="13058" width="9.140625" style="249"/>
    <col min="13059" max="13059" width="112.85546875" style="249" customWidth="1"/>
    <col min="13060" max="13312" width="9.140625" style="249"/>
    <col min="13313" max="13313" width="2.42578125" style="249" customWidth="1"/>
    <col min="13314" max="13314" width="9.140625" style="249"/>
    <col min="13315" max="13315" width="112.85546875" style="249" customWidth="1"/>
    <col min="13316" max="13568" width="9.140625" style="249"/>
    <col min="13569" max="13569" width="2.42578125" style="249" customWidth="1"/>
    <col min="13570" max="13570" width="9.140625" style="249"/>
    <col min="13571" max="13571" width="112.85546875" style="249" customWidth="1"/>
    <col min="13572" max="13824" width="9.140625" style="249"/>
    <col min="13825" max="13825" width="2.42578125" style="249" customWidth="1"/>
    <col min="13826" max="13826" width="9.140625" style="249"/>
    <col min="13827" max="13827" width="112.85546875" style="249" customWidth="1"/>
    <col min="13828" max="14080" width="9.140625" style="249"/>
    <col min="14081" max="14081" width="2.42578125" style="249" customWidth="1"/>
    <col min="14082" max="14082" width="9.140625" style="249"/>
    <col min="14083" max="14083" width="112.85546875" style="249" customWidth="1"/>
    <col min="14084" max="14336" width="9.140625" style="249"/>
    <col min="14337" max="14337" width="2.42578125" style="249" customWidth="1"/>
    <col min="14338" max="14338" width="9.140625" style="249"/>
    <col min="14339" max="14339" width="112.85546875" style="249" customWidth="1"/>
    <col min="14340" max="14592" width="9.140625" style="249"/>
    <col min="14593" max="14593" width="2.42578125" style="249" customWidth="1"/>
    <col min="14594" max="14594" width="9.140625" style="249"/>
    <col min="14595" max="14595" width="112.85546875" style="249" customWidth="1"/>
    <col min="14596" max="14848" width="9.140625" style="249"/>
    <col min="14849" max="14849" width="2.42578125" style="249" customWidth="1"/>
    <col min="14850" max="14850" width="9.140625" style="249"/>
    <col min="14851" max="14851" width="112.85546875" style="249" customWidth="1"/>
    <col min="14852" max="15104" width="9.140625" style="249"/>
    <col min="15105" max="15105" width="2.42578125" style="249" customWidth="1"/>
    <col min="15106" max="15106" width="9.140625" style="249"/>
    <col min="15107" max="15107" width="112.85546875" style="249" customWidth="1"/>
    <col min="15108" max="15360" width="9.140625" style="249"/>
    <col min="15361" max="15361" width="2.42578125" style="249" customWidth="1"/>
    <col min="15362" max="15362" width="9.140625" style="249"/>
    <col min="15363" max="15363" width="112.85546875" style="249" customWidth="1"/>
    <col min="15364" max="15616" width="9.140625" style="249"/>
    <col min="15617" max="15617" width="2.42578125" style="249" customWidth="1"/>
    <col min="15618" max="15618" width="9.140625" style="249"/>
    <col min="15619" max="15619" width="112.85546875" style="249" customWidth="1"/>
    <col min="15620" max="15872" width="9.140625" style="249"/>
    <col min="15873" max="15873" width="2.42578125" style="249" customWidth="1"/>
    <col min="15874" max="15874" width="9.140625" style="249"/>
    <col min="15875" max="15875" width="112.85546875" style="249" customWidth="1"/>
    <col min="15876" max="16128" width="9.140625" style="249"/>
    <col min="16129" max="16129" width="2.42578125" style="249" customWidth="1"/>
    <col min="16130" max="16130" width="9.140625" style="249"/>
    <col min="16131" max="16131" width="112.85546875" style="249" customWidth="1"/>
    <col min="16132" max="16384" width="9.140625" style="249"/>
  </cols>
  <sheetData>
    <row r="1" spans="2:3" ht="18.75">
      <c r="B1" s="247" t="s">
        <v>582</v>
      </c>
      <c r="C1" s="248"/>
    </row>
    <row r="2" spans="2:3" ht="18.75">
      <c r="B2" s="247" t="s">
        <v>791</v>
      </c>
      <c r="C2" s="248"/>
    </row>
    <row r="3" spans="2:3" ht="12.75" thickBot="1">
      <c r="B3" s="250"/>
      <c r="C3" s="251"/>
    </row>
    <row r="4" spans="2:3" ht="34.5" customHeight="1">
      <c r="B4" s="850" t="s">
        <v>811</v>
      </c>
      <c r="C4" s="851"/>
    </row>
    <row r="5" spans="2:3" ht="15">
      <c r="B5" s="252"/>
      <c r="C5" s="253"/>
    </row>
    <row r="6" spans="2:3" ht="47.25" customHeight="1">
      <c r="B6" s="852" t="s">
        <v>578</v>
      </c>
      <c r="C6" s="853"/>
    </row>
    <row r="7" spans="2:3" ht="15">
      <c r="B7" s="252"/>
      <c r="C7" s="253"/>
    </row>
    <row r="8" spans="2:3" ht="15">
      <c r="B8" s="254" t="s">
        <v>579</v>
      </c>
      <c r="C8" s="255"/>
    </row>
    <row r="9" spans="2:3" ht="138" customHeight="1">
      <c r="B9" s="256"/>
      <c r="C9" s="257" t="s">
        <v>692</v>
      </c>
    </row>
    <row r="10" spans="2:3" ht="15">
      <c r="B10" s="256"/>
      <c r="C10" s="255"/>
    </row>
    <row r="11" spans="2:3" ht="15">
      <c r="B11" s="254" t="s">
        <v>580</v>
      </c>
      <c r="C11" s="255"/>
    </row>
    <row r="12" spans="2:3" ht="15">
      <c r="B12" s="256"/>
      <c r="C12" s="257" t="s">
        <v>778</v>
      </c>
    </row>
    <row r="13" spans="2:3" ht="15">
      <c r="B13" s="256"/>
      <c r="C13" s="255"/>
    </row>
    <row r="14" spans="2:3" ht="15.75" thickBot="1">
      <c r="B14" s="258"/>
      <c r="C14" s="259"/>
    </row>
  </sheetData>
  <sheetProtection algorithmName="SHA-512" hashValue="23k4W3hctO59dbsAGbrZVzpmAAcZrrXwX55JjIiT2mvVcNk2wTTWKHMqY1SsIAePDunWRrYzeGR3Y7EcDdVbcw==" saltValue="xXp8J8G8m3Nmd52UFD+kSQ==" spinCount="100000" sheet="1" objects="1" scenarios="1"/>
  <mergeCells count="2">
    <mergeCell ref="B4:C4"/>
    <mergeCell ref="B6:C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
    <tabColor rgb="FF00CCFF"/>
  </sheetPr>
  <dimension ref="B2:Q129"/>
  <sheetViews>
    <sheetView workbookViewId="0"/>
  </sheetViews>
  <sheetFormatPr defaultRowHeight="15"/>
  <cols>
    <col min="1" max="1" width="9.140625" style="210"/>
    <col min="2" max="2" width="32.42578125" style="161" customWidth="1"/>
    <col min="3" max="4" width="37.28515625" style="161" customWidth="1"/>
    <col min="5" max="5" width="12.7109375" style="161" hidden="1" customWidth="1"/>
    <col min="6" max="8" width="25.42578125" style="161" hidden="1" customWidth="1"/>
    <col min="9" max="17" width="25.42578125" style="161" customWidth="1"/>
    <col min="18" max="257" width="9.140625" style="210"/>
    <col min="258" max="258" width="32.42578125" style="210" customWidth="1"/>
    <col min="259" max="260" width="37.28515625" style="210" customWidth="1"/>
    <col min="261" max="264" width="0" style="210" hidden="1" customWidth="1"/>
    <col min="265" max="273" width="25.42578125" style="210" customWidth="1"/>
    <col min="274" max="513" width="9.140625" style="210"/>
    <col min="514" max="514" width="32.42578125" style="210" customWidth="1"/>
    <col min="515" max="516" width="37.28515625" style="210" customWidth="1"/>
    <col min="517" max="520" width="0" style="210" hidden="1" customWidth="1"/>
    <col min="521" max="529" width="25.42578125" style="210" customWidth="1"/>
    <col min="530" max="769" width="9.140625" style="210"/>
    <col min="770" max="770" width="32.42578125" style="210" customWidth="1"/>
    <col min="771" max="772" width="37.28515625" style="210" customWidth="1"/>
    <col min="773" max="776" width="0" style="210" hidden="1" customWidth="1"/>
    <col min="777" max="785" width="25.42578125" style="210" customWidth="1"/>
    <col min="786" max="1025" width="9.140625" style="210"/>
    <col min="1026" max="1026" width="32.42578125" style="210" customWidth="1"/>
    <col min="1027" max="1028" width="37.28515625" style="210" customWidth="1"/>
    <col min="1029" max="1032" width="0" style="210" hidden="1" customWidth="1"/>
    <col min="1033" max="1041" width="25.42578125" style="210" customWidth="1"/>
    <col min="1042" max="1281" width="9.140625" style="210"/>
    <col min="1282" max="1282" width="32.42578125" style="210" customWidth="1"/>
    <col min="1283" max="1284" width="37.28515625" style="210" customWidth="1"/>
    <col min="1285" max="1288" width="0" style="210" hidden="1" customWidth="1"/>
    <col min="1289" max="1297" width="25.42578125" style="210" customWidth="1"/>
    <col min="1298" max="1537" width="9.140625" style="210"/>
    <col min="1538" max="1538" width="32.42578125" style="210" customWidth="1"/>
    <col min="1539" max="1540" width="37.28515625" style="210" customWidth="1"/>
    <col min="1541" max="1544" width="0" style="210" hidden="1" customWidth="1"/>
    <col min="1545" max="1553" width="25.42578125" style="210" customWidth="1"/>
    <col min="1554" max="1793" width="9.140625" style="210"/>
    <col min="1794" max="1794" width="32.42578125" style="210" customWidth="1"/>
    <col min="1795" max="1796" width="37.28515625" style="210" customWidth="1"/>
    <col min="1797" max="1800" width="0" style="210" hidden="1" customWidth="1"/>
    <col min="1801" max="1809" width="25.42578125" style="210" customWidth="1"/>
    <col min="1810" max="2049" width="9.140625" style="210"/>
    <col min="2050" max="2050" width="32.42578125" style="210" customWidth="1"/>
    <col min="2051" max="2052" width="37.28515625" style="210" customWidth="1"/>
    <col min="2053" max="2056" width="0" style="210" hidden="1" customWidth="1"/>
    <col min="2057" max="2065" width="25.42578125" style="210" customWidth="1"/>
    <col min="2066" max="2305" width="9.140625" style="210"/>
    <col min="2306" max="2306" width="32.42578125" style="210" customWidth="1"/>
    <col min="2307" max="2308" width="37.28515625" style="210" customWidth="1"/>
    <col min="2309" max="2312" width="0" style="210" hidden="1" customWidth="1"/>
    <col min="2313" max="2321" width="25.42578125" style="210" customWidth="1"/>
    <col min="2322" max="2561" width="9.140625" style="210"/>
    <col min="2562" max="2562" width="32.42578125" style="210" customWidth="1"/>
    <col min="2563" max="2564" width="37.28515625" style="210" customWidth="1"/>
    <col min="2565" max="2568" width="0" style="210" hidden="1" customWidth="1"/>
    <col min="2569" max="2577" width="25.42578125" style="210" customWidth="1"/>
    <col min="2578" max="2817" width="9.140625" style="210"/>
    <col min="2818" max="2818" width="32.42578125" style="210" customWidth="1"/>
    <col min="2819" max="2820" width="37.28515625" style="210" customWidth="1"/>
    <col min="2821" max="2824" width="0" style="210" hidden="1" customWidth="1"/>
    <col min="2825" max="2833" width="25.42578125" style="210" customWidth="1"/>
    <col min="2834" max="3073" width="9.140625" style="210"/>
    <col min="3074" max="3074" width="32.42578125" style="210" customWidth="1"/>
    <col min="3075" max="3076" width="37.28515625" style="210" customWidth="1"/>
    <col min="3077" max="3080" width="0" style="210" hidden="1" customWidth="1"/>
    <col min="3081" max="3089" width="25.42578125" style="210" customWidth="1"/>
    <col min="3090" max="3329" width="9.140625" style="210"/>
    <col min="3330" max="3330" width="32.42578125" style="210" customWidth="1"/>
    <col min="3331" max="3332" width="37.28515625" style="210" customWidth="1"/>
    <col min="3333" max="3336" width="0" style="210" hidden="1" customWidth="1"/>
    <col min="3337" max="3345" width="25.42578125" style="210" customWidth="1"/>
    <col min="3346" max="3585" width="9.140625" style="210"/>
    <col min="3586" max="3586" width="32.42578125" style="210" customWidth="1"/>
    <col min="3587" max="3588" width="37.28515625" style="210" customWidth="1"/>
    <col min="3589" max="3592" width="0" style="210" hidden="1" customWidth="1"/>
    <col min="3593" max="3601" width="25.42578125" style="210" customWidth="1"/>
    <col min="3602" max="3841" width="9.140625" style="210"/>
    <col min="3842" max="3842" width="32.42578125" style="210" customWidth="1"/>
    <col min="3843" max="3844" width="37.28515625" style="210" customWidth="1"/>
    <col min="3845" max="3848" width="0" style="210" hidden="1" customWidth="1"/>
    <col min="3849" max="3857" width="25.42578125" style="210" customWidth="1"/>
    <col min="3858" max="4097" width="9.140625" style="210"/>
    <col min="4098" max="4098" width="32.42578125" style="210" customWidth="1"/>
    <col min="4099" max="4100" width="37.28515625" style="210" customWidth="1"/>
    <col min="4101" max="4104" width="0" style="210" hidden="1" customWidth="1"/>
    <col min="4105" max="4113" width="25.42578125" style="210" customWidth="1"/>
    <col min="4114" max="4353" width="9.140625" style="210"/>
    <col min="4354" max="4354" width="32.42578125" style="210" customWidth="1"/>
    <col min="4355" max="4356" width="37.28515625" style="210" customWidth="1"/>
    <col min="4357" max="4360" width="0" style="210" hidden="1" customWidth="1"/>
    <col min="4361" max="4369" width="25.42578125" style="210" customWidth="1"/>
    <col min="4370" max="4609" width="9.140625" style="210"/>
    <col min="4610" max="4610" width="32.42578125" style="210" customWidth="1"/>
    <col min="4611" max="4612" width="37.28515625" style="210" customWidth="1"/>
    <col min="4613" max="4616" width="0" style="210" hidden="1" customWidth="1"/>
    <col min="4617" max="4625" width="25.42578125" style="210" customWidth="1"/>
    <col min="4626" max="4865" width="9.140625" style="210"/>
    <col min="4866" max="4866" width="32.42578125" style="210" customWidth="1"/>
    <col min="4867" max="4868" width="37.28515625" style="210" customWidth="1"/>
    <col min="4869" max="4872" width="0" style="210" hidden="1" customWidth="1"/>
    <col min="4873" max="4881" width="25.42578125" style="210" customWidth="1"/>
    <col min="4882" max="5121" width="9.140625" style="210"/>
    <col min="5122" max="5122" width="32.42578125" style="210" customWidth="1"/>
    <col min="5123" max="5124" width="37.28515625" style="210" customWidth="1"/>
    <col min="5125" max="5128" width="0" style="210" hidden="1" customWidth="1"/>
    <col min="5129" max="5137" width="25.42578125" style="210" customWidth="1"/>
    <col min="5138" max="5377" width="9.140625" style="210"/>
    <col min="5378" max="5378" width="32.42578125" style="210" customWidth="1"/>
    <col min="5379" max="5380" width="37.28515625" style="210" customWidth="1"/>
    <col min="5381" max="5384" width="0" style="210" hidden="1" customWidth="1"/>
    <col min="5385" max="5393" width="25.42578125" style="210" customWidth="1"/>
    <col min="5394" max="5633" width="9.140625" style="210"/>
    <col min="5634" max="5634" width="32.42578125" style="210" customWidth="1"/>
    <col min="5635" max="5636" width="37.28515625" style="210" customWidth="1"/>
    <col min="5637" max="5640" width="0" style="210" hidden="1" customWidth="1"/>
    <col min="5641" max="5649" width="25.42578125" style="210" customWidth="1"/>
    <col min="5650" max="5889" width="9.140625" style="210"/>
    <col min="5890" max="5890" width="32.42578125" style="210" customWidth="1"/>
    <col min="5891" max="5892" width="37.28515625" style="210" customWidth="1"/>
    <col min="5893" max="5896" width="0" style="210" hidden="1" customWidth="1"/>
    <col min="5897" max="5905" width="25.42578125" style="210" customWidth="1"/>
    <col min="5906" max="6145" width="9.140625" style="210"/>
    <col min="6146" max="6146" width="32.42578125" style="210" customWidth="1"/>
    <col min="6147" max="6148" width="37.28515625" style="210" customWidth="1"/>
    <col min="6149" max="6152" width="0" style="210" hidden="1" customWidth="1"/>
    <col min="6153" max="6161" width="25.42578125" style="210" customWidth="1"/>
    <col min="6162" max="6401" width="9.140625" style="210"/>
    <col min="6402" max="6402" width="32.42578125" style="210" customWidth="1"/>
    <col min="6403" max="6404" width="37.28515625" style="210" customWidth="1"/>
    <col min="6405" max="6408" width="0" style="210" hidden="1" customWidth="1"/>
    <col min="6409" max="6417" width="25.42578125" style="210" customWidth="1"/>
    <col min="6418" max="6657" width="9.140625" style="210"/>
    <col min="6658" max="6658" width="32.42578125" style="210" customWidth="1"/>
    <col min="6659" max="6660" width="37.28515625" style="210" customWidth="1"/>
    <col min="6661" max="6664" width="0" style="210" hidden="1" customWidth="1"/>
    <col min="6665" max="6673" width="25.42578125" style="210" customWidth="1"/>
    <col min="6674" max="6913" width="9.140625" style="210"/>
    <col min="6914" max="6914" width="32.42578125" style="210" customWidth="1"/>
    <col min="6915" max="6916" width="37.28515625" style="210" customWidth="1"/>
    <col min="6917" max="6920" width="0" style="210" hidden="1" customWidth="1"/>
    <col min="6921" max="6929" width="25.42578125" style="210" customWidth="1"/>
    <col min="6930" max="7169" width="9.140625" style="210"/>
    <col min="7170" max="7170" width="32.42578125" style="210" customWidth="1"/>
    <col min="7171" max="7172" width="37.28515625" style="210" customWidth="1"/>
    <col min="7173" max="7176" width="0" style="210" hidden="1" customWidth="1"/>
    <col min="7177" max="7185" width="25.42578125" style="210" customWidth="1"/>
    <col min="7186" max="7425" width="9.140625" style="210"/>
    <col min="7426" max="7426" width="32.42578125" style="210" customWidth="1"/>
    <col min="7427" max="7428" width="37.28515625" style="210" customWidth="1"/>
    <col min="7429" max="7432" width="0" style="210" hidden="1" customWidth="1"/>
    <col min="7433" max="7441" width="25.42578125" style="210" customWidth="1"/>
    <col min="7442" max="7681" width="9.140625" style="210"/>
    <col min="7682" max="7682" width="32.42578125" style="210" customWidth="1"/>
    <col min="7683" max="7684" width="37.28515625" style="210" customWidth="1"/>
    <col min="7685" max="7688" width="0" style="210" hidden="1" customWidth="1"/>
    <col min="7689" max="7697" width="25.42578125" style="210" customWidth="1"/>
    <col min="7698" max="7937" width="9.140625" style="210"/>
    <col min="7938" max="7938" width="32.42578125" style="210" customWidth="1"/>
    <col min="7939" max="7940" width="37.28515625" style="210" customWidth="1"/>
    <col min="7941" max="7944" width="0" style="210" hidden="1" customWidth="1"/>
    <col min="7945" max="7953" width="25.42578125" style="210" customWidth="1"/>
    <col min="7954" max="8193" width="9.140625" style="210"/>
    <col min="8194" max="8194" width="32.42578125" style="210" customWidth="1"/>
    <col min="8195" max="8196" width="37.28515625" style="210" customWidth="1"/>
    <col min="8197" max="8200" width="0" style="210" hidden="1" customWidth="1"/>
    <col min="8201" max="8209" width="25.42578125" style="210" customWidth="1"/>
    <col min="8210" max="8449" width="9.140625" style="210"/>
    <col min="8450" max="8450" width="32.42578125" style="210" customWidth="1"/>
    <col min="8451" max="8452" width="37.28515625" style="210" customWidth="1"/>
    <col min="8453" max="8456" width="0" style="210" hidden="1" customWidth="1"/>
    <col min="8457" max="8465" width="25.42578125" style="210" customWidth="1"/>
    <col min="8466" max="8705" width="9.140625" style="210"/>
    <col min="8706" max="8706" width="32.42578125" style="210" customWidth="1"/>
    <col min="8707" max="8708" width="37.28515625" style="210" customWidth="1"/>
    <col min="8709" max="8712" width="0" style="210" hidden="1" customWidth="1"/>
    <col min="8713" max="8721" width="25.42578125" style="210" customWidth="1"/>
    <col min="8722" max="8961" width="9.140625" style="210"/>
    <col min="8962" max="8962" width="32.42578125" style="210" customWidth="1"/>
    <col min="8963" max="8964" width="37.28515625" style="210" customWidth="1"/>
    <col min="8965" max="8968" width="0" style="210" hidden="1" customWidth="1"/>
    <col min="8969" max="8977" width="25.42578125" style="210" customWidth="1"/>
    <col min="8978" max="9217" width="9.140625" style="210"/>
    <col min="9218" max="9218" width="32.42578125" style="210" customWidth="1"/>
    <col min="9219" max="9220" width="37.28515625" style="210" customWidth="1"/>
    <col min="9221" max="9224" width="0" style="210" hidden="1" customWidth="1"/>
    <col min="9225" max="9233" width="25.42578125" style="210" customWidth="1"/>
    <col min="9234" max="9473" width="9.140625" style="210"/>
    <col min="9474" max="9474" width="32.42578125" style="210" customWidth="1"/>
    <col min="9475" max="9476" width="37.28515625" style="210" customWidth="1"/>
    <col min="9477" max="9480" width="0" style="210" hidden="1" customWidth="1"/>
    <col min="9481" max="9489" width="25.42578125" style="210" customWidth="1"/>
    <col min="9490" max="9729" width="9.140625" style="210"/>
    <col min="9730" max="9730" width="32.42578125" style="210" customWidth="1"/>
    <col min="9731" max="9732" width="37.28515625" style="210" customWidth="1"/>
    <col min="9733" max="9736" width="0" style="210" hidden="1" customWidth="1"/>
    <col min="9737" max="9745" width="25.42578125" style="210" customWidth="1"/>
    <col min="9746" max="9985" width="9.140625" style="210"/>
    <col min="9986" max="9986" width="32.42578125" style="210" customWidth="1"/>
    <col min="9987" max="9988" width="37.28515625" style="210" customWidth="1"/>
    <col min="9989" max="9992" width="0" style="210" hidden="1" customWidth="1"/>
    <col min="9993" max="10001" width="25.42578125" style="210" customWidth="1"/>
    <col min="10002" max="10241" width="9.140625" style="210"/>
    <col min="10242" max="10242" width="32.42578125" style="210" customWidth="1"/>
    <col min="10243" max="10244" width="37.28515625" style="210" customWidth="1"/>
    <col min="10245" max="10248" width="0" style="210" hidden="1" customWidth="1"/>
    <col min="10249" max="10257" width="25.42578125" style="210" customWidth="1"/>
    <col min="10258" max="10497" width="9.140625" style="210"/>
    <col min="10498" max="10498" width="32.42578125" style="210" customWidth="1"/>
    <col min="10499" max="10500" width="37.28515625" style="210" customWidth="1"/>
    <col min="10501" max="10504" width="0" style="210" hidden="1" customWidth="1"/>
    <col min="10505" max="10513" width="25.42578125" style="210" customWidth="1"/>
    <col min="10514" max="10753" width="9.140625" style="210"/>
    <col min="10754" max="10754" width="32.42578125" style="210" customWidth="1"/>
    <col min="10755" max="10756" width="37.28515625" style="210" customWidth="1"/>
    <col min="10757" max="10760" width="0" style="210" hidden="1" customWidth="1"/>
    <col min="10761" max="10769" width="25.42578125" style="210" customWidth="1"/>
    <col min="10770" max="11009" width="9.140625" style="210"/>
    <col min="11010" max="11010" width="32.42578125" style="210" customWidth="1"/>
    <col min="11011" max="11012" width="37.28515625" style="210" customWidth="1"/>
    <col min="11013" max="11016" width="0" style="210" hidden="1" customWidth="1"/>
    <col min="11017" max="11025" width="25.42578125" style="210" customWidth="1"/>
    <col min="11026" max="11265" width="9.140625" style="210"/>
    <col min="11266" max="11266" width="32.42578125" style="210" customWidth="1"/>
    <col min="11267" max="11268" width="37.28515625" style="210" customWidth="1"/>
    <col min="11269" max="11272" width="0" style="210" hidden="1" customWidth="1"/>
    <col min="11273" max="11281" width="25.42578125" style="210" customWidth="1"/>
    <col min="11282" max="11521" width="9.140625" style="210"/>
    <col min="11522" max="11522" width="32.42578125" style="210" customWidth="1"/>
    <col min="11523" max="11524" width="37.28515625" style="210" customWidth="1"/>
    <col min="11525" max="11528" width="0" style="210" hidden="1" customWidth="1"/>
    <col min="11529" max="11537" width="25.42578125" style="210" customWidth="1"/>
    <col min="11538" max="11777" width="9.140625" style="210"/>
    <col min="11778" max="11778" width="32.42578125" style="210" customWidth="1"/>
    <col min="11779" max="11780" width="37.28515625" style="210" customWidth="1"/>
    <col min="11781" max="11784" width="0" style="210" hidden="1" customWidth="1"/>
    <col min="11785" max="11793" width="25.42578125" style="210" customWidth="1"/>
    <col min="11794" max="12033" width="9.140625" style="210"/>
    <col min="12034" max="12034" width="32.42578125" style="210" customWidth="1"/>
    <col min="12035" max="12036" width="37.28515625" style="210" customWidth="1"/>
    <col min="12037" max="12040" width="0" style="210" hidden="1" customWidth="1"/>
    <col min="12041" max="12049" width="25.42578125" style="210" customWidth="1"/>
    <col min="12050" max="12289" width="9.140625" style="210"/>
    <col min="12290" max="12290" width="32.42578125" style="210" customWidth="1"/>
    <col min="12291" max="12292" width="37.28515625" style="210" customWidth="1"/>
    <col min="12293" max="12296" width="0" style="210" hidden="1" customWidth="1"/>
    <col min="12297" max="12305" width="25.42578125" style="210" customWidth="1"/>
    <col min="12306" max="12545" width="9.140625" style="210"/>
    <col min="12546" max="12546" width="32.42578125" style="210" customWidth="1"/>
    <col min="12547" max="12548" width="37.28515625" style="210" customWidth="1"/>
    <col min="12549" max="12552" width="0" style="210" hidden="1" customWidth="1"/>
    <col min="12553" max="12561" width="25.42578125" style="210" customWidth="1"/>
    <col min="12562" max="12801" width="9.140625" style="210"/>
    <col min="12802" max="12802" width="32.42578125" style="210" customWidth="1"/>
    <col min="12803" max="12804" width="37.28515625" style="210" customWidth="1"/>
    <col min="12805" max="12808" width="0" style="210" hidden="1" customWidth="1"/>
    <col min="12809" max="12817" width="25.42578125" style="210" customWidth="1"/>
    <col min="12818" max="13057" width="9.140625" style="210"/>
    <col min="13058" max="13058" width="32.42578125" style="210" customWidth="1"/>
    <col min="13059" max="13060" width="37.28515625" style="210" customWidth="1"/>
    <col min="13061" max="13064" width="0" style="210" hidden="1" customWidth="1"/>
    <col min="13065" max="13073" width="25.42578125" style="210" customWidth="1"/>
    <col min="13074" max="13313" width="9.140625" style="210"/>
    <col min="13314" max="13314" width="32.42578125" style="210" customWidth="1"/>
    <col min="13315" max="13316" width="37.28515625" style="210" customWidth="1"/>
    <col min="13317" max="13320" width="0" style="210" hidden="1" customWidth="1"/>
    <col min="13321" max="13329" width="25.42578125" style="210" customWidth="1"/>
    <col min="13330" max="13569" width="9.140625" style="210"/>
    <col min="13570" max="13570" width="32.42578125" style="210" customWidth="1"/>
    <col min="13571" max="13572" width="37.28515625" style="210" customWidth="1"/>
    <col min="13573" max="13576" width="0" style="210" hidden="1" customWidth="1"/>
    <col min="13577" max="13585" width="25.42578125" style="210" customWidth="1"/>
    <col min="13586" max="13825" width="9.140625" style="210"/>
    <col min="13826" max="13826" width="32.42578125" style="210" customWidth="1"/>
    <col min="13827" max="13828" width="37.28515625" style="210" customWidth="1"/>
    <col min="13829" max="13832" width="0" style="210" hidden="1" customWidth="1"/>
    <col min="13833" max="13841" width="25.42578125" style="210" customWidth="1"/>
    <col min="13842" max="14081" width="9.140625" style="210"/>
    <col min="14082" max="14082" width="32.42578125" style="210" customWidth="1"/>
    <col min="14083" max="14084" width="37.28515625" style="210" customWidth="1"/>
    <col min="14085" max="14088" width="0" style="210" hidden="1" customWidth="1"/>
    <col min="14089" max="14097" width="25.42578125" style="210" customWidth="1"/>
    <col min="14098" max="14337" width="9.140625" style="210"/>
    <col min="14338" max="14338" width="32.42578125" style="210" customWidth="1"/>
    <col min="14339" max="14340" width="37.28515625" style="210" customWidth="1"/>
    <col min="14341" max="14344" width="0" style="210" hidden="1" customWidth="1"/>
    <col min="14345" max="14353" width="25.42578125" style="210" customWidth="1"/>
    <col min="14354" max="14593" width="9.140625" style="210"/>
    <col min="14594" max="14594" width="32.42578125" style="210" customWidth="1"/>
    <col min="14595" max="14596" width="37.28515625" style="210" customWidth="1"/>
    <col min="14597" max="14600" width="0" style="210" hidden="1" customWidth="1"/>
    <col min="14601" max="14609" width="25.42578125" style="210" customWidth="1"/>
    <col min="14610" max="14849" width="9.140625" style="210"/>
    <col min="14850" max="14850" width="32.42578125" style="210" customWidth="1"/>
    <col min="14851" max="14852" width="37.28515625" style="210" customWidth="1"/>
    <col min="14853" max="14856" width="0" style="210" hidden="1" customWidth="1"/>
    <col min="14857" max="14865" width="25.42578125" style="210" customWidth="1"/>
    <col min="14866" max="15105" width="9.140625" style="210"/>
    <col min="15106" max="15106" width="32.42578125" style="210" customWidth="1"/>
    <col min="15107" max="15108" width="37.28515625" style="210" customWidth="1"/>
    <col min="15109" max="15112" width="0" style="210" hidden="1" customWidth="1"/>
    <col min="15113" max="15121" width="25.42578125" style="210" customWidth="1"/>
    <col min="15122" max="15361" width="9.140625" style="210"/>
    <col min="15362" max="15362" width="32.42578125" style="210" customWidth="1"/>
    <col min="15363" max="15364" width="37.28515625" style="210" customWidth="1"/>
    <col min="15365" max="15368" width="0" style="210" hidden="1" customWidth="1"/>
    <col min="15369" max="15377" width="25.42578125" style="210" customWidth="1"/>
    <col min="15378" max="15617" width="9.140625" style="210"/>
    <col min="15618" max="15618" width="32.42578125" style="210" customWidth="1"/>
    <col min="15619" max="15620" width="37.28515625" style="210" customWidth="1"/>
    <col min="15621" max="15624" width="0" style="210" hidden="1" customWidth="1"/>
    <col min="15625" max="15633" width="25.42578125" style="210" customWidth="1"/>
    <col min="15634" max="15873" width="9.140625" style="210"/>
    <col min="15874" max="15874" width="32.42578125" style="210" customWidth="1"/>
    <col min="15875" max="15876" width="37.28515625" style="210" customWidth="1"/>
    <col min="15877" max="15880" width="0" style="210" hidden="1" customWidth="1"/>
    <col min="15881" max="15889" width="25.42578125" style="210" customWidth="1"/>
    <col min="15890" max="16129" width="9.140625" style="210"/>
    <col min="16130" max="16130" width="32.42578125" style="210" customWidth="1"/>
    <col min="16131" max="16132" width="37.28515625" style="210" customWidth="1"/>
    <col min="16133" max="16136" width="0" style="210" hidden="1" customWidth="1"/>
    <col min="16137" max="16145" width="25.42578125" style="210" customWidth="1"/>
    <col min="16146" max="16384" width="9.140625" style="210"/>
  </cols>
  <sheetData>
    <row r="2" spans="2:17">
      <c r="B2" s="209" t="s">
        <v>385</v>
      </c>
    </row>
    <row r="3" spans="2:17" ht="28.5" customHeight="1">
      <c r="B3" s="1152" t="s">
        <v>386</v>
      </c>
      <c r="C3" s="211" t="s">
        <v>387</v>
      </c>
      <c r="D3" s="212"/>
      <c r="E3" s="212"/>
      <c r="F3" s="213" t="s">
        <v>387</v>
      </c>
      <c r="G3" s="214"/>
      <c r="H3" s="214"/>
      <c r="I3" s="212"/>
      <c r="J3" s="212"/>
      <c r="K3" s="212"/>
      <c r="L3" s="212"/>
      <c r="M3" s="212"/>
      <c r="N3" s="212"/>
      <c r="O3" s="212"/>
      <c r="P3" s="212"/>
      <c r="Q3" s="212"/>
    </row>
    <row r="4" spans="2:17">
      <c r="B4" s="1153"/>
      <c r="C4" s="215" t="e">
        <f>IF(#REF!="","&lt;select climate zone on 'Project Info' tab&gt;","Climate Zone "&amp;#REF!)</f>
        <v>#REF!</v>
      </c>
      <c r="D4" s="216"/>
      <c r="E4" s="216"/>
      <c r="F4" s="217" t="s">
        <v>365</v>
      </c>
      <c r="G4" s="217" t="s">
        <v>366</v>
      </c>
      <c r="H4" s="217" t="s">
        <v>367</v>
      </c>
      <c r="I4" s="212"/>
      <c r="J4" s="212"/>
      <c r="K4" s="212"/>
      <c r="L4" s="212"/>
      <c r="M4" s="212"/>
      <c r="N4" s="212"/>
      <c r="O4" s="212"/>
      <c r="P4" s="212"/>
      <c r="Q4" s="212"/>
    </row>
    <row r="5" spans="2:17" ht="22.5">
      <c r="B5" s="218" t="s">
        <v>388</v>
      </c>
      <c r="C5" s="219" t="e">
        <f>HLOOKUP($C$4,$F$4:$H$37,2,FALSE)</f>
        <v>#REF!</v>
      </c>
      <c r="D5" s="216"/>
      <c r="E5" s="216"/>
      <c r="F5" s="220" t="s">
        <v>389</v>
      </c>
      <c r="G5" s="220" t="s">
        <v>389</v>
      </c>
      <c r="H5" s="220" t="s">
        <v>389</v>
      </c>
      <c r="I5" s="212"/>
      <c r="J5" s="212"/>
      <c r="K5" s="212"/>
      <c r="L5" s="212"/>
      <c r="M5" s="212"/>
      <c r="N5" s="212"/>
      <c r="O5" s="212"/>
      <c r="P5" s="212"/>
      <c r="Q5" s="212"/>
    </row>
    <row r="6" spans="2:17" ht="27.75" customHeight="1">
      <c r="B6" s="218" t="s">
        <v>390</v>
      </c>
      <c r="C6" s="221" t="e">
        <f>HLOOKUP($C$4,$F$4:$H$37,3,FALSE)</f>
        <v>#REF!</v>
      </c>
      <c r="D6" s="212"/>
      <c r="E6" s="212"/>
      <c r="F6" s="220" t="s">
        <v>389</v>
      </c>
      <c r="G6" s="220" t="s">
        <v>389</v>
      </c>
      <c r="H6" s="220" t="s">
        <v>389</v>
      </c>
      <c r="I6" s="212"/>
      <c r="J6" s="212"/>
      <c r="K6" s="212"/>
      <c r="L6" s="212"/>
      <c r="M6" s="212"/>
      <c r="N6" s="212"/>
      <c r="O6" s="212"/>
      <c r="P6" s="212"/>
      <c r="Q6" s="212"/>
    </row>
    <row r="7" spans="2:17" ht="39" customHeight="1">
      <c r="B7" s="218" t="s">
        <v>391</v>
      </c>
      <c r="C7" s="221" t="e">
        <f>HLOOKUP($C$4,$F$4:$H$37,4,FALSE)</f>
        <v>#REF!</v>
      </c>
      <c r="D7" s="212"/>
      <c r="E7" s="212"/>
      <c r="F7" s="220" t="s">
        <v>389</v>
      </c>
      <c r="G7" s="220" t="s">
        <v>389</v>
      </c>
      <c r="H7" s="220" t="s">
        <v>389</v>
      </c>
      <c r="I7" s="212"/>
      <c r="J7" s="212"/>
      <c r="K7" s="212"/>
      <c r="L7" s="212"/>
      <c r="M7" s="212"/>
      <c r="N7" s="212"/>
      <c r="O7" s="212"/>
      <c r="P7" s="212"/>
      <c r="Q7" s="212"/>
    </row>
    <row r="8" spans="2:17">
      <c r="B8" s="218" t="s">
        <v>392</v>
      </c>
      <c r="C8" s="221" t="e">
        <f>HLOOKUP($C$4,$F$4:$H$37,5,FALSE)</f>
        <v>#REF!</v>
      </c>
      <c r="D8" s="212"/>
      <c r="E8" s="212"/>
      <c r="F8" s="222" t="s">
        <v>237</v>
      </c>
      <c r="G8" s="222" t="s">
        <v>237</v>
      </c>
      <c r="H8" s="222" t="s">
        <v>237</v>
      </c>
      <c r="I8" s="212"/>
      <c r="J8" s="212"/>
      <c r="K8" s="212"/>
      <c r="L8" s="212"/>
      <c r="M8" s="212"/>
      <c r="N8" s="212"/>
      <c r="O8" s="212"/>
      <c r="P8" s="212"/>
      <c r="Q8" s="212"/>
    </row>
    <row r="9" spans="2:17">
      <c r="B9" s="218" t="s">
        <v>393</v>
      </c>
      <c r="C9" s="221" t="e">
        <f>HLOOKUP($C$4,$F$4:$H$37,6,FALSE)</f>
        <v>#REF!</v>
      </c>
      <c r="D9" s="212"/>
      <c r="E9" s="212"/>
      <c r="F9" s="222" t="s">
        <v>238</v>
      </c>
      <c r="G9" s="222" t="s">
        <v>238</v>
      </c>
      <c r="H9" s="222" t="s">
        <v>238</v>
      </c>
      <c r="I9" s="212"/>
      <c r="J9" s="212"/>
      <c r="K9" s="212"/>
      <c r="L9" s="212"/>
      <c r="M9" s="212"/>
      <c r="N9" s="212"/>
      <c r="O9" s="212"/>
      <c r="P9" s="212"/>
      <c r="Q9" s="212"/>
    </row>
    <row r="10" spans="2:17" ht="25.5">
      <c r="B10" s="218" t="s">
        <v>394</v>
      </c>
      <c r="C10" s="221" t="e">
        <f>HLOOKUP($C$4,$F$4:$H$37,7,FALSE)</f>
        <v>#REF!</v>
      </c>
      <c r="D10" s="212"/>
      <c r="E10" s="212"/>
      <c r="F10" s="223" t="s">
        <v>395</v>
      </c>
      <c r="G10" s="223" t="s">
        <v>395</v>
      </c>
      <c r="H10" s="223" t="s">
        <v>395</v>
      </c>
      <c r="I10" s="212"/>
      <c r="J10" s="212"/>
      <c r="K10" s="212"/>
      <c r="L10" s="212"/>
      <c r="M10" s="212"/>
      <c r="N10" s="212"/>
      <c r="O10" s="212"/>
      <c r="P10" s="212"/>
      <c r="Q10" s="212"/>
    </row>
    <row r="11" spans="2:17" ht="22.5">
      <c r="B11" s="218" t="s">
        <v>396</v>
      </c>
      <c r="C11" s="221" t="e">
        <f>HLOOKUP($C$4,$F$4:$H$37,8,FALSE)</f>
        <v>#REF!</v>
      </c>
      <c r="D11" s="212"/>
      <c r="E11" s="212"/>
      <c r="F11" s="220" t="s">
        <v>389</v>
      </c>
      <c r="G11" s="220" t="s">
        <v>389</v>
      </c>
      <c r="H11" s="220" t="s">
        <v>389</v>
      </c>
      <c r="I11" s="212"/>
      <c r="J11" s="212"/>
      <c r="K11" s="212"/>
      <c r="L11" s="212"/>
      <c r="M11" s="212"/>
      <c r="N11" s="212"/>
      <c r="O11" s="212"/>
      <c r="P11" s="212"/>
      <c r="Q11" s="212"/>
    </row>
    <row r="12" spans="2:17" ht="25.5">
      <c r="B12" s="218" t="s">
        <v>397</v>
      </c>
      <c r="C12" s="221" t="e">
        <f>HLOOKUP($C$4,$F$4:$H$37,9,FALSE)</f>
        <v>#REF!</v>
      </c>
      <c r="D12" s="212"/>
      <c r="E12" s="212"/>
      <c r="F12" s="222" t="s">
        <v>398</v>
      </c>
      <c r="G12" s="222" t="s">
        <v>398</v>
      </c>
      <c r="H12" s="222" t="s">
        <v>398</v>
      </c>
      <c r="I12" s="212"/>
      <c r="J12" s="212"/>
      <c r="K12" s="212"/>
      <c r="L12" s="212"/>
      <c r="M12" s="212"/>
      <c r="N12" s="212"/>
      <c r="O12" s="212"/>
      <c r="P12" s="212"/>
      <c r="Q12" s="212"/>
    </row>
    <row r="13" spans="2:17" ht="27.75" customHeight="1">
      <c r="B13" s="218" t="s">
        <v>399</v>
      </c>
      <c r="C13" s="221" t="e">
        <f>HLOOKUP($C$4,$F$4:$H$37,10,FALSE)</f>
        <v>#REF!</v>
      </c>
      <c r="D13" s="212"/>
      <c r="E13" s="212"/>
      <c r="F13" s="222" t="s">
        <v>400</v>
      </c>
      <c r="G13" s="222" t="s">
        <v>400</v>
      </c>
      <c r="H13" s="222" t="s">
        <v>400</v>
      </c>
      <c r="I13" s="212"/>
      <c r="J13" s="212"/>
      <c r="K13" s="212"/>
      <c r="L13" s="212"/>
      <c r="M13" s="212"/>
      <c r="N13" s="212"/>
      <c r="O13" s="212"/>
      <c r="P13" s="212"/>
      <c r="Q13" s="212"/>
    </row>
    <row r="14" spans="2:17" ht="51">
      <c r="B14" s="218" t="s">
        <v>401</v>
      </c>
      <c r="C14" s="221" t="e">
        <f>HLOOKUP($C$4,$F$4:$H$37,11,FALSE)</f>
        <v>#REF!</v>
      </c>
      <c r="D14" s="212"/>
      <c r="E14" s="212"/>
      <c r="F14" s="222" t="s">
        <v>402</v>
      </c>
      <c r="G14" s="222" t="s">
        <v>402</v>
      </c>
      <c r="H14" s="222" t="s">
        <v>402</v>
      </c>
      <c r="I14" s="212"/>
      <c r="J14" s="212"/>
      <c r="K14" s="212"/>
      <c r="L14" s="212"/>
      <c r="M14" s="212"/>
      <c r="N14" s="212"/>
      <c r="O14" s="212"/>
      <c r="P14" s="212"/>
      <c r="Q14" s="212"/>
    </row>
    <row r="15" spans="2:17" ht="25.5">
      <c r="B15" s="218" t="s">
        <v>243</v>
      </c>
      <c r="C15" s="221" t="e">
        <f>HLOOKUP($C$4,$F$4:$H$37,12,FALSE)</f>
        <v>#REF!</v>
      </c>
      <c r="D15" s="212"/>
      <c r="E15" s="212"/>
      <c r="F15" s="222" t="s">
        <v>403</v>
      </c>
      <c r="G15" s="222" t="s">
        <v>404</v>
      </c>
      <c r="H15" s="222" t="s">
        <v>405</v>
      </c>
      <c r="I15" s="212"/>
      <c r="J15" s="212"/>
      <c r="K15" s="212"/>
      <c r="L15" s="212"/>
      <c r="M15" s="212"/>
      <c r="N15" s="212"/>
      <c r="O15" s="212"/>
      <c r="P15" s="212"/>
      <c r="Q15" s="212"/>
    </row>
    <row r="16" spans="2:17" ht="25.5" customHeight="1">
      <c r="B16" s="218" t="s">
        <v>406</v>
      </c>
      <c r="C16" s="221" t="e">
        <f>HLOOKUP($C$4,$F$4:$H$37,13,FALSE)</f>
        <v>#REF!</v>
      </c>
      <c r="D16" s="212"/>
      <c r="E16" s="212"/>
      <c r="F16" s="222" t="s">
        <v>407</v>
      </c>
      <c r="G16" s="222" t="s">
        <v>407</v>
      </c>
      <c r="H16" s="222" t="s">
        <v>407</v>
      </c>
      <c r="I16" s="212"/>
      <c r="J16" s="212"/>
      <c r="K16" s="212"/>
      <c r="L16" s="212"/>
      <c r="M16" s="212"/>
      <c r="N16" s="212"/>
      <c r="O16" s="212"/>
      <c r="P16" s="212"/>
      <c r="Q16" s="212"/>
    </row>
    <row r="17" spans="2:17" ht="38.25">
      <c r="B17" s="218" t="s">
        <v>244</v>
      </c>
      <c r="C17" s="221" t="e">
        <f>HLOOKUP($C$4,$F$4:$H$37,14,FALSE)</f>
        <v>#REF!</v>
      </c>
      <c r="D17" s="212"/>
      <c r="E17" s="212"/>
      <c r="F17" s="222" t="s">
        <v>408</v>
      </c>
      <c r="G17" s="222" t="s">
        <v>408</v>
      </c>
      <c r="H17" s="222" t="s">
        <v>408</v>
      </c>
      <c r="I17" s="212"/>
      <c r="J17" s="212"/>
      <c r="K17" s="212"/>
      <c r="L17" s="212"/>
      <c r="M17" s="212"/>
      <c r="N17" s="212"/>
      <c r="O17" s="212"/>
      <c r="P17" s="212"/>
      <c r="Q17" s="212"/>
    </row>
    <row r="18" spans="2:17" ht="38.25">
      <c r="B18" s="218" t="s">
        <v>409</v>
      </c>
      <c r="C18" s="221" t="e">
        <f>HLOOKUP($C$4,$F$4:$H$37,15,FALSE)</f>
        <v>#REF!</v>
      </c>
      <c r="D18" s="212"/>
      <c r="E18" s="212"/>
      <c r="F18" s="223" t="s">
        <v>410</v>
      </c>
      <c r="G18" s="223" t="s">
        <v>410</v>
      </c>
      <c r="H18" s="223" t="s">
        <v>410</v>
      </c>
      <c r="I18" s="212"/>
      <c r="J18" s="212"/>
      <c r="K18" s="212"/>
      <c r="L18" s="212"/>
      <c r="M18" s="212"/>
      <c r="N18" s="212"/>
      <c r="O18" s="212"/>
      <c r="P18" s="212"/>
      <c r="Q18" s="212"/>
    </row>
    <row r="19" spans="2:17">
      <c r="B19" s="218" t="s">
        <v>245</v>
      </c>
      <c r="C19" s="221" t="e">
        <f>HLOOKUP($C$4,$F$4:$H$37,16,FALSE)</f>
        <v>#REF!</v>
      </c>
      <c r="D19" s="212"/>
      <c r="E19" s="212"/>
      <c r="F19" s="220" t="s">
        <v>389</v>
      </c>
      <c r="G19" s="220" t="s">
        <v>389</v>
      </c>
      <c r="H19" s="222" t="s">
        <v>411</v>
      </c>
      <c r="I19" s="212"/>
      <c r="J19" s="212"/>
      <c r="K19" s="212"/>
      <c r="L19" s="212"/>
      <c r="M19" s="212"/>
      <c r="N19" s="212"/>
      <c r="O19" s="212"/>
      <c r="P19" s="212"/>
      <c r="Q19" s="212"/>
    </row>
    <row r="20" spans="2:17" ht="25.5">
      <c r="B20" s="218" t="s">
        <v>412</v>
      </c>
      <c r="C20" s="221" t="e">
        <f>HLOOKUP($C$4,$F$4:$H$37,17,FALSE)</f>
        <v>#REF!</v>
      </c>
      <c r="D20" s="212"/>
      <c r="E20" s="212"/>
      <c r="F20" s="222" t="s">
        <v>413</v>
      </c>
      <c r="G20" s="222" t="s">
        <v>413</v>
      </c>
      <c r="H20" s="222" t="s">
        <v>413</v>
      </c>
      <c r="I20" s="212"/>
      <c r="J20" s="212"/>
      <c r="K20" s="212"/>
      <c r="L20" s="212"/>
      <c r="M20" s="212"/>
      <c r="N20" s="212"/>
      <c r="O20" s="212"/>
      <c r="P20" s="212"/>
      <c r="Q20" s="212"/>
    </row>
    <row r="21" spans="2:17" ht="25.5">
      <c r="B21" s="218" t="s">
        <v>247</v>
      </c>
      <c r="C21" s="221" t="e">
        <f>HLOOKUP($C$4,$F$4:$H$37,18,FALSE)</f>
        <v>#REF!</v>
      </c>
      <c r="D21" s="212"/>
      <c r="E21" s="212"/>
      <c r="F21" s="222" t="s">
        <v>414</v>
      </c>
      <c r="G21" s="222" t="s">
        <v>414</v>
      </c>
      <c r="H21" s="222" t="s">
        <v>414</v>
      </c>
      <c r="I21" s="212"/>
      <c r="J21" s="212"/>
      <c r="K21" s="212"/>
      <c r="L21" s="212"/>
      <c r="M21" s="212"/>
      <c r="N21" s="212"/>
      <c r="O21" s="212"/>
      <c r="P21" s="212"/>
      <c r="Q21" s="212"/>
    </row>
    <row r="22" spans="2:17" ht="22.5">
      <c r="B22" s="218" t="s">
        <v>415</v>
      </c>
      <c r="C22" s="221" t="e">
        <f>HLOOKUP($C$4,$F$4:$H$37,19,FALSE)</f>
        <v>#REF!</v>
      </c>
      <c r="D22" s="212"/>
      <c r="E22" s="212"/>
      <c r="F22" s="223" t="s">
        <v>416</v>
      </c>
      <c r="G22" s="223" t="s">
        <v>416</v>
      </c>
      <c r="H22" s="223" t="s">
        <v>416</v>
      </c>
      <c r="I22" s="212"/>
      <c r="J22" s="212"/>
      <c r="K22" s="212"/>
      <c r="L22" s="212"/>
      <c r="M22" s="212"/>
      <c r="N22" s="212"/>
      <c r="O22" s="212"/>
      <c r="P22" s="212"/>
      <c r="Q22" s="212"/>
    </row>
    <row r="23" spans="2:17" ht="25.5">
      <c r="B23" s="218" t="s">
        <v>417</v>
      </c>
      <c r="C23" s="221" t="e">
        <f>HLOOKUP($C$4,$F$4:$H$37,20,FALSE)</f>
        <v>#REF!</v>
      </c>
      <c r="D23" s="212"/>
      <c r="E23" s="212"/>
      <c r="F23" s="222" t="s">
        <v>418</v>
      </c>
      <c r="G23" s="222" t="s">
        <v>418</v>
      </c>
      <c r="H23" s="222" t="s">
        <v>418</v>
      </c>
      <c r="I23" s="212"/>
      <c r="J23" s="212"/>
      <c r="K23" s="212"/>
      <c r="L23" s="212"/>
      <c r="M23" s="212"/>
      <c r="N23" s="212"/>
      <c r="O23" s="212"/>
      <c r="P23" s="212"/>
      <c r="Q23" s="212"/>
    </row>
    <row r="24" spans="2:17" ht="25.5">
      <c r="B24" s="218" t="s">
        <v>419</v>
      </c>
      <c r="C24" s="221" t="e">
        <f>HLOOKUP($C$4,$F$4:$H$37,21,FALSE)</f>
        <v>#REF!</v>
      </c>
      <c r="D24" s="212"/>
      <c r="E24" s="212"/>
      <c r="F24" s="222" t="s">
        <v>420</v>
      </c>
      <c r="G24" s="222" t="s">
        <v>420</v>
      </c>
      <c r="H24" s="222" t="s">
        <v>420</v>
      </c>
      <c r="I24" s="212"/>
      <c r="J24" s="212"/>
      <c r="K24" s="212"/>
      <c r="L24" s="212"/>
      <c r="M24" s="212"/>
      <c r="N24" s="212"/>
      <c r="O24" s="212"/>
      <c r="P24" s="212"/>
      <c r="Q24" s="212"/>
    </row>
    <row r="25" spans="2:17" ht="25.5">
      <c r="B25" s="218" t="s">
        <v>421</v>
      </c>
      <c r="C25" s="221" t="e">
        <f>HLOOKUP($C$4,$F$4:$H$37,22,FALSE)</f>
        <v>#REF!</v>
      </c>
      <c r="D25" s="212"/>
      <c r="E25" s="212"/>
      <c r="F25" s="223" t="s">
        <v>422</v>
      </c>
      <c r="G25" s="223" t="s">
        <v>422</v>
      </c>
      <c r="H25" s="223" t="s">
        <v>422</v>
      </c>
      <c r="I25" s="212"/>
      <c r="J25" s="212"/>
      <c r="K25" s="212"/>
      <c r="L25" s="212"/>
      <c r="M25" s="212"/>
      <c r="N25" s="212"/>
      <c r="O25" s="212"/>
      <c r="P25" s="212"/>
      <c r="Q25" s="212"/>
    </row>
    <row r="26" spans="2:17" ht="25.5">
      <c r="B26" s="224" t="s">
        <v>423</v>
      </c>
      <c r="C26" s="221" t="e">
        <f>HLOOKUP($C$4,$F$4:$H$37,23,FALSE)</f>
        <v>#REF!</v>
      </c>
      <c r="D26" s="212"/>
      <c r="E26" s="212"/>
      <c r="F26" s="223" t="s">
        <v>424</v>
      </c>
      <c r="G26" s="223" t="s">
        <v>424</v>
      </c>
      <c r="H26" s="223" t="s">
        <v>424</v>
      </c>
      <c r="I26" s="212"/>
      <c r="J26" s="212"/>
      <c r="K26" s="212"/>
      <c r="L26" s="212"/>
      <c r="M26" s="212"/>
      <c r="N26" s="212"/>
      <c r="O26" s="212"/>
      <c r="P26" s="212"/>
      <c r="Q26" s="212"/>
    </row>
    <row r="27" spans="2:17" ht="25.5">
      <c r="B27" s="225" t="s">
        <v>425</v>
      </c>
      <c r="C27" s="221" t="e">
        <f>HLOOKUP($C$4,$F$4:$H$37,24,FALSE)</f>
        <v>#REF!</v>
      </c>
      <c r="D27" s="212"/>
      <c r="E27" s="212"/>
      <c r="F27" s="222" t="s">
        <v>426</v>
      </c>
      <c r="G27" s="222" t="s">
        <v>426</v>
      </c>
      <c r="H27" s="222" t="s">
        <v>426</v>
      </c>
      <c r="I27" s="212"/>
      <c r="J27" s="212"/>
      <c r="K27" s="212"/>
      <c r="L27" s="212"/>
      <c r="M27" s="212"/>
      <c r="N27" s="212"/>
      <c r="O27" s="212"/>
      <c r="P27" s="212"/>
      <c r="Q27" s="212"/>
    </row>
    <row r="28" spans="2:17" ht="25.5">
      <c r="B28" s="225" t="s">
        <v>427</v>
      </c>
      <c r="C28" s="221" t="e">
        <f>HLOOKUP($C$4,$F$4:$H$37,25,FALSE)</f>
        <v>#REF!</v>
      </c>
      <c r="D28" s="212"/>
      <c r="E28" s="212"/>
      <c r="F28" s="222" t="s">
        <v>428</v>
      </c>
      <c r="G28" s="222" t="s">
        <v>428</v>
      </c>
      <c r="H28" s="222" t="s">
        <v>428</v>
      </c>
      <c r="I28" s="212"/>
      <c r="J28" s="212"/>
      <c r="K28" s="212"/>
      <c r="L28" s="212"/>
      <c r="M28" s="212"/>
      <c r="N28" s="212"/>
      <c r="O28" s="212"/>
      <c r="P28" s="212"/>
      <c r="Q28" s="212"/>
    </row>
    <row r="29" spans="2:17" ht="25.5">
      <c r="B29" s="225" t="s">
        <v>429</v>
      </c>
      <c r="C29" s="221" t="e">
        <f>HLOOKUP($C$4,$F$4:$H$37,26,FALSE)</f>
        <v>#REF!</v>
      </c>
      <c r="D29" s="212"/>
      <c r="E29" s="212"/>
      <c r="F29" s="222" t="s">
        <v>430</v>
      </c>
      <c r="G29" s="222" t="s">
        <v>430</v>
      </c>
      <c r="H29" s="222" t="s">
        <v>430</v>
      </c>
      <c r="I29" s="212"/>
      <c r="J29" s="212"/>
      <c r="K29" s="212"/>
      <c r="L29" s="212"/>
      <c r="M29" s="212"/>
      <c r="N29" s="212"/>
      <c r="O29" s="212"/>
      <c r="P29" s="212"/>
      <c r="Q29" s="212"/>
    </row>
    <row r="30" spans="2:17" ht="22.5">
      <c r="B30" s="225" t="s">
        <v>431</v>
      </c>
      <c r="C30" s="221" t="e">
        <f>HLOOKUP($C$4,$F$4:$H$37,27,FALSE)</f>
        <v>#REF!</v>
      </c>
      <c r="D30" s="212"/>
      <c r="E30" s="212"/>
      <c r="F30" s="222" t="s">
        <v>432</v>
      </c>
      <c r="G30" s="222" t="s">
        <v>432</v>
      </c>
      <c r="H30" s="222" t="s">
        <v>432</v>
      </c>
      <c r="I30" s="212"/>
      <c r="J30" s="212"/>
      <c r="K30" s="212"/>
      <c r="L30" s="212"/>
      <c r="M30" s="212"/>
      <c r="N30" s="212"/>
      <c r="O30" s="212"/>
      <c r="P30" s="212"/>
      <c r="Q30" s="212"/>
    </row>
    <row r="31" spans="2:17" ht="22.5">
      <c r="B31" s="225" t="s">
        <v>433</v>
      </c>
      <c r="C31" s="221" t="e">
        <f>HLOOKUP($C$4,$F$4:$H$37,28,FALSE)</f>
        <v>#REF!</v>
      </c>
      <c r="D31" s="212"/>
      <c r="E31" s="212"/>
      <c r="F31" s="222" t="s">
        <v>18</v>
      </c>
      <c r="G31" s="222" t="s">
        <v>18</v>
      </c>
      <c r="H31" s="222" t="s">
        <v>18</v>
      </c>
      <c r="I31" s="212"/>
      <c r="J31" s="212"/>
      <c r="K31" s="212"/>
      <c r="L31" s="212"/>
      <c r="M31" s="212"/>
      <c r="N31" s="212"/>
      <c r="O31" s="212"/>
      <c r="P31" s="212"/>
      <c r="Q31" s="212"/>
    </row>
    <row r="32" spans="2:17" ht="22.5">
      <c r="B32" s="225" t="s">
        <v>434</v>
      </c>
      <c r="C32" s="221" t="e">
        <f>HLOOKUP($C$4,$F$4:$H$37,29,FALSE)</f>
        <v>#REF!</v>
      </c>
      <c r="D32" s="212"/>
      <c r="E32" s="212"/>
      <c r="F32" s="222" t="s">
        <v>16</v>
      </c>
      <c r="G32" s="222" t="s">
        <v>16</v>
      </c>
      <c r="H32" s="222" t="s">
        <v>16</v>
      </c>
      <c r="I32" s="212"/>
      <c r="J32" s="212"/>
      <c r="K32" s="212"/>
      <c r="L32" s="212"/>
      <c r="M32" s="212"/>
      <c r="N32" s="212"/>
      <c r="O32" s="212"/>
      <c r="P32" s="212"/>
      <c r="Q32" s="212"/>
    </row>
    <row r="33" spans="2:17" ht="22.5">
      <c r="B33" s="225" t="s">
        <v>435</v>
      </c>
      <c r="C33" s="221" t="e">
        <f>HLOOKUP($C$4,$F$4:$H$37,30,FALSE)</f>
        <v>#REF!</v>
      </c>
      <c r="D33" s="212"/>
      <c r="E33" s="212"/>
      <c r="F33" s="222" t="s">
        <v>17</v>
      </c>
      <c r="G33" s="222" t="s">
        <v>17</v>
      </c>
      <c r="H33" s="222" t="s">
        <v>17</v>
      </c>
      <c r="I33" s="212"/>
      <c r="J33" s="212"/>
      <c r="K33" s="212"/>
      <c r="L33" s="212"/>
      <c r="M33" s="212"/>
      <c r="N33" s="212"/>
      <c r="O33" s="212"/>
      <c r="P33" s="212"/>
      <c r="Q33" s="212"/>
    </row>
    <row r="34" spans="2:17" ht="38.25">
      <c r="B34" s="225" t="s">
        <v>436</v>
      </c>
      <c r="C34" s="221" t="e">
        <f>HLOOKUP($C$4,$F$4:$H$37,31,FALSE)</f>
        <v>#REF!</v>
      </c>
      <c r="D34" s="212"/>
      <c r="E34" s="212"/>
      <c r="F34" s="222" t="s">
        <v>437</v>
      </c>
      <c r="G34" s="222" t="s">
        <v>437</v>
      </c>
      <c r="H34" s="222" t="s">
        <v>437</v>
      </c>
      <c r="I34" s="212"/>
      <c r="J34" s="212"/>
      <c r="K34" s="212"/>
      <c r="L34" s="212"/>
      <c r="M34" s="212"/>
      <c r="N34" s="212"/>
      <c r="O34" s="212"/>
      <c r="P34" s="212"/>
      <c r="Q34" s="212"/>
    </row>
    <row r="35" spans="2:17" ht="38.25">
      <c r="B35" s="225" t="s">
        <v>438</v>
      </c>
      <c r="C35" s="221" t="e">
        <f>HLOOKUP($C$4,$F$4:$H$37,32,FALSE)</f>
        <v>#REF!</v>
      </c>
      <c r="D35" s="212"/>
      <c r="E35" s="212"/>
      <c r="F35" s="222" t="s">
        <v>256</v>
      </c>
      <c r="G35" s="222" t="s">
        <v>256</v>
      </c>
      <c r="H35" s="222" t="s">
        <v>256</v>
      </c>
      <c r="I35" s="212"/>
      <c r="J35" s="212"/>
      <c r="K35" s="212"/>
      <c r="L35" s="212"/>
      <c r="M35" s="212"/>
      <c r="N35" s="212"/>
      <c r="O35" s="212"/>
      <c r="P35" s="212"/>
      <c r="Q35" s="212"/>
    </row>
    <row r="36" spans="2:17" ht="49.5" customHeight="1">
      <c r="B36" s="225" t="s">
        <v>439</v>
      </c>
      <c r="C36" s="221" t="e">
        <f>HLOOKUP($C$4,$F$4:$H$37,33,FALSE)</f>
        <v>#REF!</v>
      </c>
      <c r="D36" s="212"/>
      <c r="E36" s="212"/>
      <c r="F36" s="222" t="s">
        <v>257</v>
      </c>
      <c r="G36" s="222" t="s">
        <v>257</v>
      </c>
      <c r="H36" s="222" t="s">
        <v>257</v>
      </c>
      <c r="I36" s="212"/>
      <c r="J36" s="212"/>
      <c r="K36" s="212"/>
      <c r="L36" s="212"/>
      <c r="M36" s="212"/>
      <c r="N36" s="212"/>
      <c r="O36" s="212"/>
      <c r="P36" s="212"/>
      <c r="Q36" s="212"/>
    </row>
    <row r="37" spans="2:17" ht="38.25">
      <c r="B37" s="225" t="s">
        <v>440</v>
      </c>
      <c r="C37" s="221" t="e">
        <f>HLOOKUP($C$4,$F$4:$H$37,34,FALSE)</f>
        <v>#REF!</v>
      </c>
      <c r="D37" s="212"/>
      <c r="E37" s="212"/>
      <c r="F37" s="222" t="s">
        <v>258</v>
      </c>
      <c r="G37" s="222" t="s">
        <v>258</v>
      </c>
      <c r="H37" s="222" t="s">
        <v>258</v>
      </c>
      <c r="I37" s="212"/>
      <c r="J37" s="212"/>
      <c r="K37" s="212"/>
      <c r="L37" s="212"/>
      <c r="M37" s="212"/>
      <c r="N37" s="212"/>
      <c r="O37" s="212"/>
      <c r="P37" s="212"/>
      <c r="Q37" s="212"/>
    </row>
    <row r="38" spans="2:17">
      <c r="B38" s="208" t="s">
        <v>441</v>
      </c>
      <c r="C38" s="226"/>
      <c r="D38" s="212"/>
      <c r="E38" s="212"/>
      <c r="F38" s="227"/>
      <c r="G38" s="227"/>
      <c r="H38" s="227"/>
      <c r="I38" s="212"/>
      <c r="J38" s="212"/>
      <c r="K38" s="212"/>
      <c r="L38" s="212"/>
      <c r="M38" s="212"/>
      <c r="N38" s="212"/>
      <c r="O38" s="212"/>
      <c r="P38" s="212"/>
      <c r="Q38" s="212"/>
    </row>
    <row r="39" spans="2:17">
      <c r="B39" s="208" t="s">
        <v>442</v>
      </c>
      <c r="C39" s="212"/>
      <c r="D39" s="212"/>
      <c r="E39" s="212"/>
      <c r="F39" s="212"/>
      <c r="G39" s="212"/>
      <c r="H39" s="212"/>
      <c r="I39" s="212"/>
      <c r="J39" s="212"/>
      <c r="K39" s="212"/>
      <c r="L39" s="212"/>
      <c r="M39" s="212"/>
      <c r="N39" s="212"/>
      <c r="O39" s="212"/>
      <c r="P39" s="212"/>
      <c r="Q39" s="212"/>
    </row>
    <row r="40" spans="2:17" ht="16.5" customHeight="1">
      <c r="B40" s="208" t="s">
        <v>443</v>
      </c>
      <c r="C40" s="212"/>
      <c r="D40" s="212"/>
      <c r="E40" s="212"/>
      <c r="F40" s="212"/>
      <c r="G40" s="212"/>
      <c r="H40" s="212"/>
      <c r="I40" s="212"/>
      <c r="J40" s="212"/>
      <c r="K40" s="212"/>
      <c r="L40" s="212"/>
      <c r="M40" s="212"/>
      <c r="N40" s="212"/>
      <c r="O40" s="212"/>
      <c r="P40" s="212"/>
      <c r="Q40" s="212"/>
    </row>
    <row r="41" spans="2:17">
      <c r="B41" s="212"/>
      <c r="C41" s="212"/>
      <c r="D41" s="212"/>
      <c r="E41" s="212"/>
      <c r="F41" s="212"/>
      <c r="G41" s="212"/>
      <c r="H41" s="212"/>
      <c r="I41" s="212"/>
      <c r="J41" s="212"/>
      <c r="K41" s="212"/>
      <c r="L41" s="212"/>
      <c r="M41" s="212"/>
      <c r="N41" s="212"/>
      <c r="O41" s="212"/>
      <c r="P41" s="212"/>
      <c r="Q41" s="212"/>
    </row>
    <row r="42" spans="2:17">
      <c r="B42" s="209" t="s">
        <v>444</v>
      </c>
      <c r="C42" s="212"/>
      <c r="D42" s="212"/>
      <c r="E42" s="212"/>
      <c r="F42" s="212"/>
      <c r="G42" s="212"/>
      <c r="H42" s="212"/>
      <c r="I42" s="212"/>
      <c r="J42" s="212"/>
      <c r="K42" s="212"/>
      <c r="L42" s="212"/>
      <c r="M42" s="212"/>
      <c r="N42" s="212"/>
      <c r="O42" s="212"/>
      <c r="P42" s="212"/>
      <c r="Q42" s="212"/>
    </row>
    <row r="43" spans="2:17">
      <c r="B43" s="1159" t="s">
        <v>445</v>
      </c>
      <c r="C43" s="228" t="s">
        <v>446</v>
      </c>
      <c r="D43" s="228" t="s">
        <v>447</v>
      </c>
      <c r="E43" s="229"/>
      <c r="F43" s="1156"/>
      <c r="G43" s="1156"/>
      <c r="H43" s="1156"/>
      <c r="I43" s="212"/>
      <c r="J43" s="1155" t="s">
        <v>447</v>
      </c>
      <c r="K43" s="1156"/>
      <c r="L43" s="1156"/>
      <c r="M43" s="1156"/>
      <c r="N43" s="1156"/>
      <c r="O43" s="1156"/>
      <c r="P43" s="1156"/>
      <c r="Q43" s="1157"/>
    </row>
    <row r="44" spans="2:17">
      <c r="B44" s="1159"/>
      <c r="C44" s="230" t="s">
        <v>365</v>
      </c>
      <c r="D44" s="230" t="s">
        <v>365</v>
      </c>
      <c r="E44" s="229"/>
      <c r="F44" s="217" t="s">
        <v>365</v>
      </c>
      <c r="G44" s="217" t="s">
        <v>366</v>
      </c>
      <c r="H44" s="217" t="s">
        <v>367</v>
      </c>
      <c r="I44" s="229"/>
      <c r="J44" s="231" t="s">
        <v>448</v>
      </c>
      <c r="K44" s="231" t="s">
        <v>449</v>
      </c>
      <c r="L44" s="231" t="s">
        <v>450</v>
      </c>
      <c r="M44" s="231" t="s">
        <v>365</v>
      </c>
      <c r="N44" s="231" t="s">
        <v>366</v>
      </c>
      <c r="O44" s="231" t="s">
        <v>367</v>
      </c>
      <c r="P44" s="231" t="s">
        <v>451</v>
      </c>
      <c r="Q44" s="231" t="s">
        <v>452</v>
      </c>
    </row>
    <row r="45" spans="2:17">
      <c r="B45" s="1154" t="s">
        <v>26</v>
      </c>
      <c r="C45" s="1154"/>
      <c r="D45" s="1154"/>
      <c r="E45" s="229"/>
      <c r="F45" s="232"/>
      <c r="G45" s="232"/>
      <c r="H45" s="232"/>
      <c r="I45" s="229"/>
      <c r="J45" s="233"/>
      <c r="K45" s="232"/>
      <c r="L45" s="232"/>
      <c r="M45" s="232"/>
      <c r="N45" s="232"/>
      <c r="O45" s="232"/>
      <c r="P45" s="232"/>
      <c r="Q45" s="234"/>
    </row>
    <row r="46" spans="2:17">
      <c r="B46" s="231" t="s">
        <v>453</v>
      </c>
      <c r="C46" s="230" t="str">
        <f>HLOOKUP($C$44,$F$44:$H$71,3,FALSE)</f>
        <v>R-25.0 continuous</v>
      </c>
      <c r="D46" s="230" t="str">
        <f>HLOOKUP($D$44,$J$44:$Q$71,3,FALSE)</f>
        <v>U-0.039</v>
      </c>
      <c r="E46" s="229"/>
      <c r="F46" s="235" t="s">
        <v>454</v>
      </c>
      <c r="G46" s="235" t="s">
        <v>454</v>
      </c>
      <c r="H46" s="235" t="s">
        <v>455</v>
      </c>
      <c r="I46" s="229"/>
      <c r="J46" s="231" t="s">
        <v>456</v>
      </c>
      <c r="K46" s="231" t="s">
        <v>456</v>
      </c>
      <c r="L46" s="231" t="s">
        <v>456</v>
      </c>
      <c r="M46" s="231" t="s">
        <v>456</v>
      </c>
      <c r="N46" s="231" t="s">
        <v>456</v>
      </c>
      <c r="O46" s="231" t="s">
        <v>457</v>
      </c>
      <c r="P46" s="231" t="s">
        <v>458</v>
      </c>
      <c r="Q46" s="231" t="s">
        <v>458</v>
      </c>
    </row>
    <row r="47" spans="2:17">
      <c r="B47" s="231" t="s">
        <v>48</v>
      </c>
      <c r="C47" s="230" t="str">
        <f>HLOOKUP($C$44,$F$44:$H$71,4,FALSE)</f>
        <v>R-19.0 +    R-11.0 Ls</v>
      </c>
      <c r="D47" s="230" t="str">
        <f>HLOOKUP($D$44,$J$44:$Q$71,4,FALSE)</f>
        <v>U-0.035</v>
      </c>
      <c r="E47" s="229"/>
      <c r="F47" s="231" t="s">
        <v>459</v>
      </c>
      <c r="G47" s="231" t="s">
        <v>459</v>
      </c>
      <c r="H47" s="231" t="s">
        <v>460</v>
      </c>
      <c r="I47" s="229"/>
      <c r="J47" s="231" t="s">
        <v>461</v>
      </c>
      <c r="K47" s="231" t="s">
        <v>461</v>
      </c>
      <c r="L47" s="231" t="s">
        <v>461</v>
      </c>
      <c r="M47" s="231" t="s">
        <v>461</v>
      </c>
      <c r="N47" s="231" t="s">
        <v>461</v>
      </c>
      <c r="O47" s="231" t="s">
        <v>462</v>
      </c>
      <c r="P47" s="231" t="s">
        <v>463</v>
      </c>
      <c r="Q47" s="231" t="s">
        <v>463</v>
      </c>
    </row>
    <row r="48" spans="2:17">
      <c r="B48" s="231" t="s">
        <v>50</v>
      </c>
      <c r="C48" s="230" t="str">
        <f>HLOOKUP($C$44,$F$44:$H$71,5,FALSE)</f>
        <v>R-49.0</v>
      </c>
      <c r="D48" s="230" t="str">
        <f>HLOOKUP($D$44,$J$44:$Q$71,5,FALSE)</f>
        <v>U-0.021</v>
      </c>
      <c r="E48" s="229"/>
      <c r="F48" s="231" t="s">
        <v>51</v>
      </c>
      <c r="G48" s="231" t="s">
        <v>51</v>
      </c>
      <c r="H48" s="231" t="s">
        <v>51</v>
      </c>
      <c r="I48" s="229"/>
      <c r="J48" s="231" t="s">
        <v>464</v>
      </c>
      <c r="K48" s="231" t="s">
        <v>464</v>
      </c>
      <c r="L48" s="231" t="s">
        <v>464</v>
      </c>
      <c r="M48" s="231" t="s">
        <v>464</v>
      </c>
      <c r="N48" s="231" t="s">
        <v>464</v>
      </c>
      <c r="O48" s="231" t="s">
        <v>464</v>
      </c>
      <c r="P48" s="231" t="s">
        <v>465</v>
      </c>
      <c r="Q48" s="231" t="s">
        <v>465</v>
      </c>
    </row>
    <row r="49" spans="2:17">
      <c r="B49" s="1154" t="s">
        <v>56</v>
      </c>
      <c r="C49" s="1154"/>
      <c r="D49" s="1154"/>
      <c r="E49" s="229"/>
      <c r="F49" s="232"/>
      <c r="G49" s="232"/>
      <c r="H49" s="232"/>
      <c r="I49" s="229"/>
      <c r="J49" s="236"/>
      <c r="K49" s="237"/>
      <c r="L49" s="237"/>
      <c r="M49" s="237"/>
      <c r="N49" s="237"/>
      <c r="O49" s="237"/>
      <c r="P49" s="237"/>
      <c r="Q49" s="238"/>
    </row>
    <row r="50" spans="2:17">
      <c r="B50" s="231" t="s">
        <v>466</v>
      </c>
      <c r="C50" s="230" t="str">
        <f>HLOOKUP($C$44,$F$44:$H$71,7,FALSE)</f>
        <v>R-13.3 continuous</v>
      </c>
      <c r="D50" s="230" t="str">
        <f>HLOOKUP($D$44,$J$44:$Q$71,7,FALSE)</f>
        <v>U-0.080</v>
      </c>
      <c r="E50" s="229"/>
      <c r="F50" s="231" t="s">
        <v>467</v>
      </c>
      <c r="G50" s="231" t="s">
        <v>468</v>
      </c>
      <c r="H50" s="231" t="s">
        <v>469</v>
      </c>
      <c r="I50" s="229"/>
      <c r="J50" s="239" t="s">
        <v>470</v>
      </c>
      <c r="K50" s="240" t="s">
        <v>471</v>
      </c>
      <c r="L50" s="240" t="s">
        <v>472</v>
      </c>
      <c r="M50" s="240" t="s">
        <v>473</v>
      </c>
      <c r="N50" s="240" t="s">
        <v>474</v>
      </c>
      <c r="O50" s="240" t="s">
        <v>475</v>
      </c>
      <c r="P50" s="240" t="s">
        <v>475</v>
      </c>
      <c r="Q50" s="239" t="s">
        <v>476</v>
      </c>
    </row>
    <row r="51" spans="2:17">
      <c r="B51" s="231" t="s">
        <v>48</v>
      </c>
      <c r="C51" s="230" t="str">
        <f>HLOOKUP($C$44,$F$44:$H$71,8,FALSE)</f>
        <v>R-13.0 +  R-13.0 ci</v>
      </c>
      <c r="D51" s="230" t="str">
        <f>HLOOKUP($D$44,$J$44:$Q$71,8,FALSE)</f>
        <v>U-0.052</v>
      </c>
      <c r="E51" s="229"/>
      <c r="F51" s="231" t="s">
        <v>477</v>
      </c>
      <c r="G51" s="231" t="s">
        <v>477</v>
      </c>
      <c r="H51" s="231" t="s">
        <v>477</v>
      </c>
      <c r="I51" s="229"/>
      <c r="J51" s="239" t="s">
        <v>478</v>
      </c>
      <c r="K51" s="240" t="s">
        <v>479</v>
      </c>
      <c r="L51" s="240" t="s">
        <v>479</v>
      </c>
      <c r="M51" s="240" t="s">
        <v>479</v>
      </c>
      <c r="N51" s="240" t="s">
        <v>479</v>
      </c>
      <c r="O51" s="240" t="s">
        <v>479</v>
      </c>
      <c r="P51" s="240" t="s">
        <v>456</v>
      </c>
      <c r="Q51" s="239" t="s">
        <v>462</v>
      </c>
    </row>
    <row r="52" spans="2:17">
      <c r="B52" s="231" t="s">
        <v>480</v>
      </c>
      <c r="C52" s="230" t="str">
        <f>HLOOKUP($C$44,$F$44:$H$71,9,FALSE)</f>
        <v>R-13.0 + R-10.0 c.i.</v>
      </c>
      <c r="D52" s="230" t="str">
        <f>HLOOKUP($D$44,$J$44:$Q$71,9,FALSE)</f>
        <v>U-0.055</v>
      </c>
      <c r="E52" s="229"/>
      <c r="F52" s="231" t="s">
        <v>481</v>
      </c>
      <c r="G52" s="231" t="s">
        <v>481</v>
      </c>
      <c r="H52" s="231" t="s">
        <v>481</v>
      </c>
      <c r="I52" s="229"/>
      <c r="J52" s="239" t="s">
        <v>482</v>
      </c>
      <c r="K52" s="240" t="s">
        <v>483</v>
      </c>
      <c r="L52" s="240" t="s">
        <v>483</v>
      </c>
      <c r="M52" s="240" t="s">
        <v>483</v>
      </c>
      <c r="N52" s="240" t="s">
        <v>483</v>
      </c>
      <c r="O52" s="240" t="s">
        <v>483</v>
      </c>
      <c r="P52" s="240" t="s">
        <v>484</v>
      </c>
      <c r="Q52" s="239" t="s">
        <v>485</v>
      </c>
    </row>
    <row r="53" spans="2:17">
      <c r="B53" s="231" t="s">
        <v>71</v>
      </c>
      <c r="C53" s="230" t="str">
        <f>HLOOKUP($C$44,$F$44:$H$71,10,FALSE)</f>
        <v>R-13.0 +  R-7.5 ci</v>
      </c>
      <c r="D53" s="230" t="str">
        <f>HLOOKUP($D$44,$J$44:$Q$71,10,FALSE)</f>
        <v>U-0.051</v>
      </c>
      <c r="E53" s="229"/>
      <c r="F53" s="231" t="s">
        <v>486</v>
      </c>
      <c r="G53" s="231" t="s">
        <v>481</v>
      </c>
      <c r="H53" s="231" t="s">
        <v>481</v>
      </c>
      <c r="I53" s="229"/>
      <c r="J53" s="239" t="s">
        <v>487</v>
      </c>
      <c r="K53" s="240" t="s">
        <v>487</v>
      </c>
      <c r="L53" s="240" t="s">
        <v>487</v>
      </c>
      <c r="M53" s="240" t="s">
        <v>488</v>
      </c>
      <c r="N53" s="240" t="s">
        <v>489</v>
      </c>
      <c r="O53" s="240" t="s">
        <v>489</v>
      </c>
      <c r="P53" s="240" t="s">
        <v>489</v>
      </c>
      <c r="Q53" s="239" t="s">
        <v>457</v>
      </c>
    </row>
    <row r="54" spans="2:17">
      <c r="B54" s="1154" t="s">
        <v>57</v>
      </c>
      <c r="C54" s="1154"/>
      <c r="D54" s="1154"/>
      <c r="E54" s="229"/>
      <c r="F54" s="232"/>
      <c r="G54" s="232"/>
      <c r="H54" s="232"/>
      <c r="I54" s="229"/>
      <c r="J54" s="241"/>
      <c r="K54" s="242"/>
      <c r="L54" s="242"/>
      <c r="M54" s="242"/>
      <c r="N54" s="242"/>
      <c r="O54" s="242"/>
      <c r="P54" s="242"/>
      <c r="Q54" s="243"/>
    </row>
    <row r="55" spans="2:17" ht="22.5">
      <c r="B55" s="231" t="s">
        <v>490</v>
      </c>
      <c r="C55" s="230" t="str">
        <f>HLOOKUP($C$44,$F$44:$H$71,12,FALSE)</f>
        <v>R-10.0 continuous</v>
      </c>
      <c r="D55" s="230" t="str">
        <f>HLOOKUP($D$44,$J$44:$Q$71,12,FALSE)</f>
        <v>U-0.092</v>
      </c>
      <c r="E55" s="229"/>
      <c r="F55" s="231" t="s">
        <v>491</v>
      </c>
      <c r="G55" s="231" t="s">
        <v>492</v>
      </c>
      <c r="H55" s="231" t="s">
        <v>492</v>
      </c>
      <c r="I55" s="229"/>
      <c r="J55" s="231" t="s">
        <v>493</v>
      </c>
      <c r="K55" s="231" t="s">
        <v>493</v>
      </c>
      <c r="L55" s="231" t="s">
        <v>493</v>
      </c>
      <c r="M55" s="231" t="s">
        <v>494</v>
      </c>
      <c r="N55" s="231" t="s">
        <v>494</v>
      </c>
      <c r="O55" s="231" t="s">
        <v>494</v>
      </c>
      <c r="P55" s="231" t="s">
        <v>495</v>
      </c>
      <c r="Q55" s="231" t="s">
        <v>496</v>
      </c>
    </row>
    <row r="56" spans="2:17">
      <c r="B56" s="231" t="s">
        <v>4</v>
      </c>
      <c r="C56" s="230" t="str">
        <f>HLOOKUP($C$44,$F$44:$H$71,13,FALSE)</f>
        <v>NR</v>
      </c>
      <c r="D56" s="230" t="str">
        <f>HLOOKUP($D$44,$J$44:$Q$71,13,FALSE)</f>
        <v>NR</v>
      </c>
      <c r="E56" s="229"/>
      <c r="F56" s="231" t="s">
        <v>493</v>
      </c>
      <c r="G56" s="231" t="s">
        <v>493</v>
      </c>
      <c r="H56" s="231" t="s">
        <v>493</v>
      </c>
      <c r="I56" s="229"/>
      <c r="J56" s="231" t="s">
        <v>493</v>
      </c>
      <c r="K56" s="231" t="s">
        <v>493</v>
      </c>
      <c r="L56" s="231" t="s">
        <v>493</v>
      </c>
      <c r="M56" s="231" t="s">
        <v>493</v>
      </c>
      <c r="N56" s="231" t="s">
        <v>493</v>
      </c>
      <c r="O56" s="231" t="s">
        <v>493</v>
      </c>
      <c r="P56" s="231" t="s">
        <v>493</v>
      </c>
      <c r="Q56" s="231" t="s">
        <v>493</v>
      </c>
    </row>
    <row r="57" spans="2:17">
      <c r="B57" s="1154" t="s">
        <v>58</v>
      </c>
      <c r="C57" s="1154"/>
      <c r="D57" s="1154"/>
      <c r="E57" s="229"/>
      <c r="F57" s="237"/>
      <c r="G57" s="237"/>
      <c r="H57" s="237"/>
      <c r="I57" s="229"/>
      <c r="J57" s="236"/>
      <c r="K57" s="237"/>
      <c r="L57" s="237"/>
      <c r="M57" s="237"/>
      <c r="N57" s="237"/>
      <c r="O57" s="237"/>
      <c r="P57" s="237"/>
      <c r="Q57" s="238"/>
    </row>
    <row r="58" spans="2:17">
      <c r="B58" s="231" t="s">
        <v>466</v>
      </c>
      <c r="C58" s="230" t="str">
        <f>HLOOKUP($C$44,$F$44:$H$71,15,FALSE)</f>
        <v>R-12.5 ci</v>
      </c>
      <c r="D58" s="230" t="str">
        <f>HLOOKUP($D$44,$J$44:$Q$71,15,FALSE)</f>
        <v>U-0.064</v>
      </c>
      <c r="E58" s="229"/>
      <c r="F58" s="240" t="s">
        <v>230</v>
      </c>
      <c r="G58" s="240" t="s">
        <v>231</v>
      </c>
      <c r="H58" s="240" t="s">
        <v>327</v>
      </c>
      <c r="I58" s="229"/>
      <c r="J58" s="240" t="s">
        <v>497</v>
      </c>
      <c r="K58" s="240" t="s">
        <v>498</v>
      </c>
      <c r="L58" s="240" t="s">
        <v>498</v>
      </c>
      <c r="M58" s="240" t="s">
        <v>487</v>
      </c>
      <c r="N58" s="240" t="s">
        <v>499</v>
      </c>
      <c r="O58" s="240" t="s">
        <v>488</v>
      </c>
      <c r="P58" s="240" t="s">
        <v>476</v>
      </c>
      <c r="Q58" s="239" t="s">
        <v>476</v>
      </c>
    </row>
    <row r="59" spans="2:17">
      <c r="B59" s="231" t="s">
        <v>60</v>
      </c>
      <c r="C59" s="230" t="str">
        <f>HLOOKUP($C$44,$F$44:$H$71,16,FALSE)</f>
        <v>R-38.0</v>
      </c>
      <c r="D59" s="230" t="str">
        <f>HLOOKUP($D$44,$J$44:$Q$71,16,FALSE)</f>
        <v>U-0.032</v>
      </c>
      <c r="E59" s="229"/>
      <c r="F59" s="240" t="s">
        <v>49</v>
      </c>
      <c r="G59" s="240" t="s">
        <v>49</v>
      </c>
      <c r="H59" s="240" t="s">
        <v>500</v>
      </c>
      <c r="I59" s="229"/>
      <c r="J59" s="240" t="s">
        <v>479</v>
      </c>
      <c r="K59" s="240" t="s">
        <v>501</v>
      </c>
      <c r="L59" s="240" t="s">
        <v>501</v>
      </c>
      <c r="M59" s="240" t="s">
        <v>457</v>
      </c>
      <c r="N59" s="240" t="s">
        <v>457</v>
      </c>
      <c r="O59" s="240" t="s">
        <v>502</v>
      </c>
      <c r="P59" s="240" t="s">
        <v>502</v>
      </c>
      <c r="Q59" s="239" t="s">
        <v>502</v>
      </c>
    </row>
    <row r="60" spans="2:17">
      <c r="B60" s="231" t="s">
        <v>71</v>
      </c>
      <c r="C60" s="230" t="str">
        <f>HLOOKUP($C$44,$F$44:$H$71,17,FALSE)</f>
        <v>R-30.0 +  R-7.5 ci</v>
      </c>
      <c r="D60" s="230" t="str">
        <f>HLOOKUP($D$44,$J$44:$Q$71,17,FALSE)</f>
        <v>U-0.026</v>
      </c>
      <c r="E60" s="229"/>
      <c r="F60" s="240" t="s">
        <v>503</v>
      </c>
      <c r="G60" s="240" t="s">
        <v>503</v>
      </c>
      <c r="H60" s="240" t="s">
        <v>503</v>
      </c>
      <c r="I60" s="229"/>
      <c r="J60" s="240" t="s">
        <v>488</v>
      </c>
      <c r="K60" s="240" t="s">
        <v>504</v>
      </c>
      <c r="L60" s="240" t="s">
        <v>504</v>
      </c>
      <c r="M60" s="240" t="s">
        <v>504</v>
      </c>
      <c r="N60" s="240" t="s">
        <v>504</v>
      </c>
      <c r="O60" s="240" t="s">
        <v>504</v>
      </c>
      <c r="P60" s="240" t="s">
        <v>504</v>
      </c>
      <c r="Q60" s="239" t="s">
        <v>504</v>
      </c>
    </row>
    <row r="61" spans="2:17">
      <c r="B61" s="1154" t="s">
        <v>59</v>
      </c>
      <c r="C61" s="1154"/>
      <c r="D61" s="1154"/>
      <c r="E61" s="229"/>
      <c r="F61" s="242"/>
      <c r="G61" s="242"/>
      <c r="H61" s="242"/>
      <c r="I61" s="229"/>
      <c r="J61" s="241"/>
      <c r="K61" s="242"/>
      <c r="L61" s="242"/>
      <c r="M61" s="242"/>
      <c r="N61" s="242"/>
      <c r="O61" s="242"/>
      <c r="P61" s="242"/>
      <c r="Q61" s="243"/>
    </row>
    <row r="62" spans="2:17" ht="22.5">
      <c r="B62" s="231" t="s">
        <v>30</v>
      </c>
      <c r="C62" s="230" t="str">
        <f>HLOOKUP($C$44,$F$44:$H$71,19,FALSE)</f>
        <v>R-15.0 for 24 in.</v>
      </c>
      <c r="D62" s="230" t="str">
        <f>HLOOKUP($D$44,$J$44:$Q$71,19,FALSE)</f>
        <v>R-15.0 for 24 in.</v>
      </c>
      <c r="E62" s="229"/>
      <c r="F62" s="231" t="s">
        <v>232</v>
      </c>
      <c r="G62" s="231" t="s">
        <v>22</v>
      </c>
      <c r="H62" s="231" t="s">
        <v>53</v>
      </c>
      <c r="I62" s="229"/>
      <c r="J62" s="231" t="s">
        <v>493</v>
      </c>
      <c r="K62" s="231" t="s">
        <v>493</v>
      </c>
      <c r="L62" s="231" t="s">
        <v>493</v>
      </c>
      <c r="M62" s="231" t="s">
        <v>232</v>
      </c>
      <c r="N62" s="231" t="s">
        <v>232</v>
      </c>
      <c r="O62" s="231" t="s">
        <v>233</v>
      </c>
      <c r="P62" s="231" t="s">
        <v>505</v>
      </c>
      <c r="Q62" s="231" t="s">
        <v>505</v>
      </c>
    </row>
    <row r="63" spans="2:17">
      <c r="B63" s="231" t="s">
        <v>24</v>
      </c>
      <c r="C63" s="230" t="str">
        <f>HLOOKUP($C$44,$F$44:$H$71,20,FALSE)</f>
        <v>R-10.0 for 24 in. + R-5 ci  below</v>
      </c>
      <c r="D63" s="230" t="str">
        <f>HLOOKUP($D$44,$J$44:$Q$71,20,FALSE)</f>
        <v>R-10.0 for 24 in. + R-5 ci below</v>
      </c>
      <c r="E63" s="229"/>
      <c r="F63" s="231" t="s">
        <v>506</v>
      </c>
      <c r="G63" s="231" t="s">
        <v>234</v>
      </c>
      <c r="H63" s="231" t="s">
        <v>234</v>
      </c>
      <c r="I63" s="229"/>
      <c r="J63" s="231" t="s">
        <v>507</v>
      </c>
      <c r="K63" s="231" t="s">
        <v>507</v>
      </c>
      <c r="L63" s="231" t="s">
        <v>507</v>
      </c>
      <c r="M63" s="231" t="s">
        <v>326</v>
      </c>
      <c r="N63" s="231" t="s">
        <v>234</v>
      </c>
      <c r="O63" s="231" t="s">
        <v>234</v>
      </c>
      <c r="P63" s="231" t="s">
        <v>508</v>
      </c>
      <c r="Q63" s="231" t="s">
        <v>508</v>
      </c>
    </row>
    <row r="64" spans="2:17">
      <c r="B64" s="1154" t="s">
        <v>383</v>
      </c>
      <c r="C64" s="1154"/>
      <c r="D64" s="1154"/>
      <c r="E64" s="229"/>
      <c r="F64" s="232"/>
      <c r="G64" s="232"/>
      <c r="H64" s="232"/>
      <c r="I64" s="229"/>
      <c r="J64" s="233"/>
      <c r="K64" s="232"/>
      <c r="L64" s="232"/>
      <c r="M64" s="232"/>
      <c r="N64" s="232"/>
      <c r="O64" s="232"/>
      <c r="P64" s="232"/>
      <c r="Q64" s="234"/>
    </row>
    <row r="65" spans="2:17">
      <c r="B65" s="231" t="s">
        <v>509</v>
      </c>
      <c r="C65" s="230" t="str">
        <f>HLOOKUP($C$44,$F$44:$H$71,22,FALSE)</f>
        <v>-</v>
      </c>
      <c r="D65" s="230" t="str">
        <f>HLOOKUP($D$44,$J$44:$Q$71,22,FALSE)</f>
        <v>U-0.6</v>
      </c>
      <c r="E65" s="229"/>
      <c r="F65" s="231" t="s">
        <v>384</v>
      </c>
      <c r="G65" s="231" t="s">
        <v>384</v>
      </c>
      <c r="H65" s="231" t="s">
        <v>384</v>
      </c>
      <c r="I65" s="229"/>
      <c r="J65" s="231" t="s">
        <v>510</v>
      </c>
      <c r="K65" s="231" t="s">
        <v>510</v>
      </c>
      <c r="L65" s="231" t="s">
        <v>510</v>
      </c>
      <c r="M65" s="231" t="s">
        <v>510</v>
      </c>
      <c r="N65" s="231" t="s">
        <v>511</v>
      </c>
      <c r="O65" s="231" t="s">
        <v>511</v>
      </c>
      <c r="P65" s="231" t="s">
        <v>511</v>
      </c>
      <c r="Q65" s="231" t="s">
        <v>511</v>
      </c>
    </row>
    <row r="66" spans="2:17">
      <c r="B66" s="1154" t="s">
        <v>512</v>
      </c>
      <c r="C66" s="1154"/>
      <c r="D66" s="1154"/>
      <c r="E66" s="229"/>
      <c r="F66" s="232"/>
      <c r="G66" s="232"/>
      <c r="H66" s="232"/>
      <c r="I66" s="229"/>
      <c r="J66" s="233"/>
      <c r="K66" s="232"/>
      <c r="L66" s="232"/>
      <c r="M66" s="232"/>
      <c r="N66" s="232"/>
      <c r="O66" s="232"/>
      <c r="P66" s="232"/>
      <c r="Q66" s="234"/>
    </row>
    <row r="67" spans="2:17">
      <c r="B67" s="231" t="s">
        <v>8</v>
      </c>
      <c r="C67" s="230" t="str">
        <f>HLOOKUP($C$44,$F$44:$H$71,24,FALSE)</f>
        <v>ENERGY STAR</v>
      </c>
      <c r="D67" s="230" t="str">
        <f>HLOOKUP($D$44,$J$44:$Q$71,24,FALSE)</f>
        <v>ENERGY STAR</v>
      </c>
      <c r="E67" s="229"/>
      <c r="F67" s="231" t="s">
        <v>2</v>
      </c>
      <c r="G67" s="231" t="s">
        <v>2</v>
      </c>
      <c r="H67" s="231" t="s">
        <v>2</v>
      </c>
      <c r="I67" s="229"/>
      <c r="J67" s="231" t="s">
        <v>2</v>
      </c>
      <c r="K67" s="231" t="s">
        <v>2</v>
      </c>
      <c r="L67" s="231" t="s">
        <v>2</v>
      </c>
      <c r="M67" s="231" t="s">
        <v>2</v>
      </c>
      <c r="N67" s="231" t="s">
        <v>2</v>
      </c>
      <c r="O67" s="231" t="s">
        <v>2</v>
      </c>
      <c r="P67" s="231" t="s">
        <v>2</v>
      </c>
      <c r="Q67" s="231" t="s">
        <v>2</v>
      </c>
    </row>
    <row r="68" spans="2:17">
      <c r="B68" s="244"/>
      <c r="C68" s="245" t="s">
        <v>513</v>
      </c>
      <c r="D68" s="245" t="s">
        <v>514</v>
      </c>
      <c r="E68" s="229"/>
      <c r="F68" s="237"/>
      <c r="G68" s="237"/>
      <c r="H68" s="237"/>
      <c r="I68" s="229"/>
      <c r="J68" s="233"/>
      <c r="K68" s="232"/>
      <c r="L68" s="232"/>
      <c r="M68" s="232"/>
      <c r="N68" s="232"/>
      <c r="O68" s="232"/>
      <c r="P68" s="232"/>
      <c r="Q68" s="234"/>
    </row>
    <row r="69" spans="2:17">
      <c r="B69" s="231" t="s">
        <v>515</v>
      </c>
      <c r="C69" s="230" t="str">
        <f>HLOOKUP($C$44,$F$44:$H$71,26,FALSE)</f>
        <v>U-0.40</v>
      </c>
      <c r="D69" s="230" t="str">
        <f>HLOOKUP($D$44,$J$44:$Q$71,26,FALSE)</f>
        <v>SHGC-0.40</v>
      </c>
      <c r="E69" s="229"/>
      <c r="F69" s="240" t="s">
        <v>516</v>
      </c>
      <c r="G69" s="240" t="s">
        <v>517</v>
      </c>
      <c r="H69" s="240" t="s">
        <v>517</v>
      </c>
      <c r="I69" s="246"/>
      <c r="J69" s="231" t="s">
        <v>518</v>
      </c>
      <c r="K69" s="231" t="s">
        <v>518</v>
      </c>
      <c r="L69" s="231" t="s">
        <v>518</v>
      </c>
      <c r="M69" s="231" t="s">
        <v>519</v>
      </c>
      <c r="N69" s="231" t="s">
        <v>519</v>
      </c>
      <c r="O69" s="231" t="s">
        <v>519</v>
      </c>
      <c r="P69" s="231" t="s">
        <v>520</v>
      </c>
      <c r="Q69" s="231" t="s">
        <v>520</v>
      </c>
    </row>
    <row r="70" spans="2:17">
      <c r="B70" s="231" t="s">
        <v>9</v>
      </c>
      <c r="C70" s="230" t="str">
        <f>HLOOKUP($C$44,$F$44:$H$71,27,FALSE)</f>
        <v>U-0.75</v>
      </c>
      <c r="D70" s="230" t="str">
        <f>HLOOKUP($D$44,$J$44:$Q$71,27,FALSE)</f>
        <v>SHGC-0.40</v>
      </c>
      <c r="E70" s="229"/>
      <c r="F70" s="240" t="s">
        <v>521</v>
      </c>
      <c r="G70" s="240" t="s">
        <v>522</v>
      </c>
      <c r="H70" s="240" t="s">
        <v>522</v>
      </c>
      <c r="I70" s="229"/>
      <c r="J70" s="231" t="s">
        <v>518</v>
      </c>
      <c r="K70" s="231" t="s">
        <v>518</v>
      </c>
      <c r="L70" s="231" t="s">
        <v>518</v>
      </c>
      <c r="M70" s="231" t="s">
        <v>519</v>
      </c>
      <c r="N70" s="231" t="s">
        <v>519</v>
      </c>
      <c r="O70" s="231" t="s">
        <v>519</v>
      </c>
      <c r="P70" s="231" t="s">
        <v>520</v>
      </c>
      <c r="Q70" s="231" t="s">
        <v>520</v>
      </c>
    </row>
    <row r="71" spans="2:17">
      <c r="B71" s="231" t="s">
        <v>10</v>
      </c>
      <c r="C71" s="230" t="str">
        <f>HLOOKUP($C$44,$F$44:$H$71,28,FALSE)</f>
        <v>U-0.45</v>
      </c>
      <c r="D71" s="230" t="str">
        <f>HLOOKUP($D$44,$J$44:$Q$71,28,FALSE)</f>
        <v>SHGC-0.40</v>
      </c>
      <c r="E71" s="229"/>
      <c r="F71" s="240" t="s">
        <v>523</v>
      </c>
      <c r="G71" s="240" t="s">
        <v>523</v>
      </c>
      <c r="H71" s="240" t="s">
        <v>523</v>
      </c>
      <c r="I71" s="229"/>
      <c r="J71" s="231" t="s">
        <v>518</v>
      </c>
      <c r="K71" s="231" t="s">
        <v>518</v>
      </c>
      <c r="L71" s="231" t="s">
        <v>518</v>
      </c>
      <c r="M71" s="231" t="s">
        <v>519</v>
      </c>
      <c r="N71" s="231" t="s">
        <v>519</v>
      </c>
      <c r="O71" s="231" t="s">
        <v>519</v>
      </c>
      <c r="P71" s="231" t="s">
        <v>520</v>
      </c>
      <c r="Q71" s="231" t="s">
        <v>520</v>
      </c>
    </row>
    <row r="84" ht="35.25" customHeight="1"/>
    <row r="100" ht="98.25" customHeight="1"/>
    <row r="115" ht="25.5" customHeight="1"/>
    <row r="116" ht="27" customHeight="1"/>
    <row r="129" ht="15" customHeight="1"/>
  </sheetData>
  <sheetProtection sheet="1" objects="1" scenarios="1" formatCells="0" formatColumns="0" formatRows="0"/>
  <mergeCells count="11">
    <mergeCell ref="B54:D54"/>
    <mergeCell ref="B57:D57"/>
    <mergeCell ref="B61:D61"/>
    <mergeCell ref="B64:D64"/>
    <mergeCell ref="B66:D66"/>
    <mergeCell ref="B49:D49"/>
    <mergeCell ref="B3:B4"/>
    <mergeCell ref="B43:B44"/>
    <mergeCell ref="F43:H43"/>
    <mergeCell ref="J43:Q43"/>
    <mergeCell ref="B45:D4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FFCC"/>
  </sheetPr>
  <dimension ref="A1:B43"/>
  <sheetViews>
    <sheetView workbookViewId="0">
      <selection activeCell="B34" sqref="B34"/>
    </sheetView>
  </sheetViews>
  <sheetFormatPr defaultRowHeight="15"/>
  <cols>
    <col min="1" max="1" width="18.28515625" customWidth="1"/>
    <col min="2" max="2" width="110.140625" customWidth="1"/>
  </cols>
  <sheetData>
    <row r="1" spans="1:2">
      <c r="A1" s="9" t="s">
        <v>684</v>
      </c>
    </row>
    <row r="2" spans="1:2">
      <c r="A2" s="293" t="s">
        <v>635</v>
      </c>
      <c r="B2" s="294" t="s">
        <v>636</v>
      </c>
    </row>
    <row r="3" spans="1:2" s="69" customFormat="1">
      <c r="A3" s="293"/>
      <c r="B3" s="294" t="s">
        <v>639</v>
      </c>
    </row>
    <row r="4" spans="1:2" s="69" customFormat="1">
      <c r="A4" s="293"/>
      <c r="B4" s="294" t="s">
        <v>655</v>
      </c>
    </row>
    <row r="5" spans="1:2">
      <c r="A5" s="293"/>
      <c r="B5" s="294" t="s">
        <v>637</v>
      </c>
    </row>
    <row r="6" spans="1:2">
      <c r="A6" s="293"/>
      <c r="B6" s="294" t="s">
        <v>638</v>
      </c>
    </row>
    <row r="7" spans="1:2">
      <c r="A7" s="293"/>
      <c r="B7" s="294" t="s">
        <v>640</v>
      </c>
    </row>
    <row r="8" spans="1:2" s="69" customFormat="1">
      <c r="A8" s="293"/>
      <c r="B8" s="294" t="s">
        <v>669</v>
      </c>
    </row>
    <row r="9" spans="1:2">
      <c r="A9" s="293" t="s">
        <v>580</v>
      </c>
      <c r="B9" s="294" t="s">
        <v>641</v>
      </c>
    </row>
    <row r="10" spans="1:2" s="69" customFormat="1">
      <c r="A10" s="293"/>
      <c r="B10" s="294" t="s">
        <v>647</v>
      </c>
    </row>
    <row r="11" spans="1:2" s="69" customFormat="1">
      <c r="A11" s="293"/>
      <c r="B11" s="294" t="s">
        <v>648</v>
      </c>
    </row>
    <row r="12" spans="1:2" s="69" customFormat="1">
      <c r="A12" s="293"/>
      <c r="B12" s="294" t="s">
        <v>656</v>
      </c>
    </row>
    <row r="13" spans="1:2" ht="30">
      <c r="A13" s="293" t="s">
        <v>581</v>
      </c>
      <c r="B13" s="294" t="s">
        <v>642</v>
      </c>
    </row>
    <row r="14" spans="1:2">
      <c r="A14" s="293"/>
      <c r="B14" s="294" t="s">
        <v>654</v>
      </c>
    </row>
    <row r="15" spans="1:2">
      <c r="A15" s="293"/>
      <c r="B15" s="294"/>
    </row>
    <row r="16" spans="1:2">
      <c r="A16" s="9" t="s">
        <v>688</v>
      </c>
      <c r="B16" s="294"/>
    </row>
    <row r="17" spans="1:2">
      <c r="A17" s="293" t="s">
        <v>635</v>
      </c>
      <c r="B17" s="294" t="s">
        <v>683</v>
      </c>
    </row>
    <row r="18" spans="1:2" s="69" customFormat="1">
      <c r="A18" s="293"/>
      <c r="B18" s="294" t="s">
        <v>685</v>
      </c>
    </row>
    <row r="19" spans="1:2" s="69" customFormat="1">
      <c r="A19" s="293"/>
      <c r="B19" s="294" t="s">
        <v>673</v>
      </c>
    </row>
    <row r="20" spans="1:2" s="69" customFormat="1">
      <c r="A20" s="293"/>
      <c r="B20" s="294" t="s">
        <v>682</v>
      </c>
    </row>
    <row r="21" spans="1:2">
      <c r="A21" s="293" t="s">
        <v>580</v>
      </c>
      <c r="B21" s="294" t="s">
        <v>675</v>
      </c>
    </row>
    <row r="22" spans="1:2">
      <c r="A22" s="293"/>
      <c r="B22" s="294" t="s">
        <v>681</v>
      </c>
    </row>
    <row r="23" spans="1:2">
      <c r="A23" s="293"/>
      <c r="B23" s="294" t="s">
        <v>686</v>
      </c>
    </row>
    <row r="24" spans="1:2">
      <c r="A24" s="293"/>
      <c r="B24" s="294" t="s">
        <v>687</v>
      </c>
    </row>
    <row r="25" spans="1:2">
      <c r="A25" s="293"/>
      <c r="B25" s="294"/>
    </row>
    <row r="26" spans="1:2">
      <c r="A26" s="9" t="s">
        <v>689</v>
      </c>
      <c r="B26" s="294"/>
    </row>
    <row r="27" spans="1:2">
      <c r="A27" s="293" t="s">
        <v>635</v>
      </c>
      <c r="B27" s="294" t="s">
        <v>690</v>
      </c>
    </row>
    <row r="28" spans="1:2">
      <c r="A28" s="293" t="s">
        <v>580</v>
      </c>
      <c r="B28" s="294" t="s">
        <v>691</v>
      </c>
    </row>
    <row r="29" spans="1:2">
      <c r="A29" s="293"/>
      <c r="B29" s="294"/>
    </row>
    <row r="30" spans="1:2">
      <c r="A30" s="9" t="s">
        <v>807</v>
      </c>
      <c r="B30" s="294"/>
    </row>
    <row r="31" spans="1:2" s="69" customFormat="1">
      <c r="A31" s="293" t="s">
        <v>635</v>
      </c>
      <c r="B31" s="294" t="s">
        <v>779</v>
      </c>
    </row>
    <row r="32" spans="1:2">
      <c r="B32" s="294" t="s">
        <v>797</v>
      </c>
    </row>
    <row r="33" spans="1:2">
      <c r="A33" s="293" t="s">
        <v>580</v>
      </c>
      <c r="B33" s="294" t="s">
        <v>808</v>
      </c>
    </row>
    <row r="34" spans="1:2">
      <c r="A34" s="293"/>
      <c r="B34" s="294"/>
    </row>
    <row r="35" spans="1:2">
      <c r="A35" s="293"/>
      <c r="B35" s="294"/>
    </row>
    <row r="36" spans="1:2">
      <c r="A36" s="293"/>
      <c r="B36" s="294"/>
    </row>
    <row r="37" spans="1:2">
      <c r="A37" s="293"/>
      <c r="B37" s="294"/>
    </row>
    <row r="38" spans="1:2">
      <c r="A38" s="293"/>
      <c r="B38" s="294"/>
    </row>
    <row r="39" spans="1:2">
      <c r="A39" s="293"/>
      <c r="B39" s="294"/>
    </row>
    <row r="40" spans="1:2">
      <c r="A40" s="293"/>
      <c r="B40" s="294"/>
    </row>
    <row r="41" spans="1:2">
      <c r="A41" s="293"/>
      <c r="B41" s="294"/>
    </row>
    <row r="42" spans="1:2">
      <c r="A42" s="293"/>
      <c r="B42" s="294"/>
    </row>
    <row r="43" spans="1:2">
      <c r="A43" s="2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14999847407452621"/>
  </sheetPr>
  <dimension ref="A1:L81"/>
  <sheetViews>
    <sheetView showGridLines="0" workbookViewId="0">
      <selection activeCell="H37" sqref="H37"/>
    </sheetView>
  </sheetViews>
  <sheetFormatPr defaultRowHeight="15"/>
  <cols>
    <col min="1" max="1" width="3.42578125" customWidth="1"/>
    <col min="2" max="2" width="11.5703125" customWidth="1"/>
    <col min="3" max="3" width="34.42578125" customWidth="1"/>
    <col min="4" max="4" width="23.5703125" customWidth="1"/>
    <col min="5" max="5" width="22" customWidth="1"/>
    <col min="6" max="6" width="11.140625" customWidth="1"/>
    <col min="7" max="7" width="11.140625" style="21" customWidth="1"/>
    <col min="8" max="8" width="15.140625" customWidth="1"/>
    <col min="9" max="9" width="15.28515625" customWidth="1"/>
    <col min="10" max="10" width="34.140625" bestFit="1" customWidth="1"/>
    <col min="11" max="11" width="22" customWidth="1"/>
    <col min="12" max="12" width="0" hidden="1" customWidth="1"/>
  </cols>
  <sheetData>
    <row r="1" spans="1:12" ht="15.75" customHeight="1" thickBot="1">
      <c r="K1" s="113">
        <f>VLOOKUP(D4,ClimateZoneLookup!A4:F65,6)</f>
        <v>5</v>
      </c>
    </row>
    <row r="2" spans="1:12" ht="36" customHeight="1" thickBot="1">
      <c r="A2" s="942" t="str">
        <f>"MF NCP  - ASHRAE 2013 Baseline
Modified Prescriptive Path - Climate Zone "&amp;K1</f>
        <v>MF NCP  - ASHRAE 2013 Baseline
Modified Prescriptive Path - Climate Zone 5</v>
      </c>
      <c r="B2" s="943"/>
      <c r="C2" s="943"/>
      <c r="D2" s="943"/>
      <c r="E2" s="943"/>
      <c r="F2" s="943"/>
      <c r="G2" s="943"/>
      <c r="H2" s="943"/>
      <c r="I2" s="944"/>
    </row>
    <row r="3" spans="1:12" s="21" customFormat="1" ht="19.5" customHeight="1" thickBot="1">
      <c r="A3" s="265"/>
      <c r="B3" s="30"/>
      <c r="C3" s="42" t="s">
        <v>265</v>
      </c>
      <c r="D3" s="961"/>
      <c r="E3" s="962"/>
      <c r="F3" s="43"/>
      <c r="G3" s="959" t="s">
        <v>576</v>
      </c>
      <c r="H3" s="960"/>
      <c r="I3" s="302"/>
    </row>
    <row r="4" spans="1:12" ht="19.5" customHeight="1" thickBot="1">
      <c r="A4" s="266"/>
      <c r="B4" s="31"/>
      <c r="C4" s="42" t="s">
        <v>266</v>
      </c>
      <c r="D4" s="262" t="s">
        <v>92</v>
      </c>
      <c r="E4" s="150"/>
      <c r="F4" s="151"/>
      <c r="G4" s="959" t="s">
        <v>380</v>
      </c>
      <c r="H4" s="960"/>
      <c r="I4" s="302"/>
      <c r="L4" t="str">
        <f>IF(OR(D4="Kings ",D4="Queens ",D4="Richmond ",D4="Bronx ",D4="New York ",D4="Westchester ", D4="Suffolk ",D4="Nassau ",D4="Orange ",D4="Rockland "),"Downstate","Upstate")</f>
        <v>Upstate</v>
      </c>
    </row>
    <row r="5" spans="1:12" s="21" customFormat="1" ht="19.5" customHeight="1" thickBot="1">
      <c r="A5" s="266"/>
      <c r="B5" s="31"/>
      <c r="C5" s="42" t="s">
        <v>267</v>
      </c>
      <c r="D5" s="263"/>
      <c r="E5" s="150"/>
      <c r="F5" s="151"/>
      <c r="G5" s="959" t="s">
        <v>269</v>
      </c>
      <c r="H5" s="960"/>
      <c r="I5" s="263"/>
    </row>
    <row r="6" spans="1:12" s="69" customFormat="1" ht="19.5" customHeight="1" thickBot="1">
      <c r="A6" s="266"/>
      <c r="B6" s="31"/>
      <c r="C6" s="260" t="s">
        <v>268</v>
      </c>
      <c r="D6" s="301"/>
      <c r="E6" s="158"/>
      <c r="F6" s="151"/>
      <c r="G6" s="963" t="s">
        <v>382</v>
      </c>
      <c r="H6" s="964"/>
      <c r="I6" s="263"/>
    </row>
    <row r="7" spans="1:12" s="69" customFormat="1" ht="19.5" customHeight="1" thickBot="1">
      <c r="A7" s="266"/>
      <c r="B7" s="31"/>
      <c r="C7" s="42" t="s">
        <v>381</v>
      </c>
      <c r="D7" s="263"/>
      <c r="E7" s="158"/>
      <c r="F7" s="151"/>
      <c r="G7" s="965" t="s">
        <v>583</v>
      </c>
      <c r="H7" s="966"/>
      <c r="I7" s="301"/>
    </row>
    <row r="8" spans="1:12" s="69" customFormat="1" ht="19.5" customHeight="1" thickBot="1">
      <c r="A8" s="967" t="s">
        <v>634</v>
      </c>
      <c r="B8" s="967"/>
      <c r="C8" s="967"/>
      <c r="D8" s="967"/>
      <c r="E8" s="967"/>
      <c r="F8" s="967"/>
      <c r="G8" s="967"/>
      <c r="H8" s="967"/>
      <c r="I8" s="967"/>
      <c r="J8" s="264"/>
    </row>
    <row r="9" spans="1:12" ht="26.25" thickBot="1">
      <c r="A9" s="945" t="s">
        <v>20</v>
      </c>
      <c r="B9" s="32" t="s">
        <v>201</v>
      </c>
      <c r="C9" s="35" t="s">
        <v>202</v>
      </c>
      <c r="D9" s="34" t="s">
        <v>28</v>
      </c>
      <c r="E9" s="33" t="s">
        <v>573</v>
      </c>
      <c r="F9" s="25" t="s">
        <v>27</v>
      </c>
      <c r="G9" s="26" t="s">
        <v>264</v>
      </c>
      <c r="H9" s="26" t="s">
        <v>332</v>
      </c>
      <c r="I9" s="25" t="s">
        <v>174</v>
      </c>
      <c r="J9" s="159" t="str">
        <f>IF(I6="Yes","Existing Conditions","")</f>
        <v/>
      </c>
    </row>
    <row r="10" spans="1:12" ht="17.25" customHeight="1">
      <c r="A10" s="946"/>
      <c r="B10" s="948" t="s">
        <v>26</v>
      </c>
      <c r="C10" s="93" t="s">
        <v>14</v>
      </c>
      <c r="D10" s="109" t="str">
        <f>IF('Prescriptive Path'!$K$1=4,Proposed!D14,IF('Prescriptive Path'!$K$1=5,Proposed!K14,IF('Prescriptive Path'!$K$1=6,Proposed!P14)))</f>
        <v>R-35 ci</v>
      </c>
      <c r="E10" s="110" t="str">
        <f>IF('Prescriptive Path'!$K$1=4,Proposed!H14,IF('Prescriptive Path'!$K$1=5,Proposed!O14,IF('Prescriptive Path'!$K$1=6,Proposed!T14)))</f>
        <v>U-0.029</v>
      </c>
      <c r="F10" s="3"/>
      <c r="G10" s="3"/>
      <c r="H10" s="191"/>
      <c r="I10" s="23" t="s">
        <v>173</v>
      </c>
      <c r="J10" s="206" t="s">
        <v>534</v>
      </c>
    </row>
    <row r="11" spans="1:12" ht="17.25" customHeight="1">
      <c r="A11" s="946"/>
      <c r="B11" s="949"/>
      <c r="C11" s="105" t="s">
        <v>48</v>
      </c>
      <c r="D11" s="109" t="str">
        <f>IF('Prescriptive Path'!$K$1=4,Proposed!D15,IF('Prescriptive Path'!$K$1=5,Proposed!K15,IF('Prescriptive Path'!$K$1=6,Proposed!P15)))</f>
        <v>R-13 + R-25 c.i.</v>
      </c>
      <c r="E11" s="110" t="str">
        <f>IF('Prescriptive Path'!$K$1=4,Proposed!H15,IF('Prescriptive Path'!$K$1=5,Proposed!O15,IF('Prescriptive Path'!$K$1=6,Proposed!T15)))</f>
        <v>U-0.033</v>
      </c>
      <c r="F11" s="3"/>
      <c r="G11" s="3"/>
      <c r="H11" s="191"/>
      <c r="I11" s="6" t="s">
        <v>173</v>
      </c>
      <c r="J11" s="206" t="s">
        <v>534</v>
      </c>
    </row>
    <row r="12" spans="1:12" s="21" customFormat="1" ht="17.25" customHeight="1">
      <c r="A12" s="946"/>
      <c r="B12" s="949"/>
      <c r="C12" s="94" t="s">
        <v>50</v>
      </c>
      <c r="D12" s="109" t="str">
        <f>IF('Prescriptive Path'!$K$1=4,Proposed!D16,IF('Prescriptive Path'!$K$1=5,Proposed!K16,IF('Prescriptive Path'!$K$1=6,Proposed!P16)))</f>
        <v>R-60</v>
      </c>
      <c r="E12" s="110" t="str">
        <f>IF('Prescriptive Path'!$K$1=4,Proposed!H16,IF('Prescriptive Path'!$K$1=5,Proposed!O16,IF('Prescriptive Path'!$K$1=6,Proposed!T16)))</f>
        <v>U-0.019</v>
      </c>
      <c r="F12" s="3"/>
      <c r="G12" s="3"/>
      <c r="H12" s="191"/>
      <c r="I12" s="6" t="s">
        <v>173</v>
      </c>
      <c r="J12" s="206" t="s">
        <v>534</v>
      </c>
    </row>
    <row r="13" spans="1:12" ht="17.25" customHeight="1">
      <c r="A13" s="946"/>
      <c r="B13" s="950" t="s">
        <v>56</v>
      </c>
      <c r="C13" s="105" t="s">
        <v>87</v>
      </c>
      <c r="D13" s="109" t="str">
        <f>IF('Prescriptive Path'!$K$1=4,Proposed!D17,IF('Prescriptive Path'!$K$1=5,Proposed!K17,IF('Prescriptive Path'!$K$1=6,Proposed!P17)))</f>
        <v>R-15.2 ci</v>
      </c>
      <c r="E13" s="110" t="str">
        <f>IF('Prescriptive Path'!$K$1=4,Proposed!H17,IF('Prescriptive Path'!$K$1=5,Proposed!O17,IF('Prescriptive Path'!$K$1=6,Proposed!T17)))</f>
        <v>U-0.072</v>
      </c>
      <c r="F13" s="3"/>
      <c r="G13" s="3"/>
      <c r="H13" s="191"/>
      <c r="I13" s="6" t="s">
        <v>173</v>
      </c>
      <c r="J13" s="206" t="s">
        <v>534</v>
      </c>
    </row>
    <row r="14" spans="1:12" ht="17.25" customHeight="1">
      <c r="A14" s="946"/>
      <c r="B14" s="951"/>
      <c r="C14" s="94" t="s">
        <v>21</v>
      </c>
      <c r="D14" s="109" t="str">
        <f>IF('Prescriptive Path'!$K$1=4,Proposed!D18,IF('Prescriptive Path'!$K$1=5,Proposed!K18,IF('Prescriptive Path'!$K$1=6,Proposed!P18)))</f>
        <v>R-13.0 + R-12.5 ci</v>
      </c>
      <c r="E14" s="110" t="str">
        <f>IF('Prescriptive Path'!$K$1=4,Proposed!H18,IF('Prescriptive Path'!$K$1=5,Proposed!O18,IF('Prescriptive Path'!$K$1=6,Proposed!T18)))</f>
        <v>U-0.05</v>
      </c>
      <c r="F14" s="3"/>
      <c r="G14" s="3"/>
      <c r="H14" s="191"/>
      <c r="I14" s="6" t="s">
        <v>173</v>
      </c>
      <c r="J14" s="206" t="s">
        <v>534</v>
      </c>
    </row>
    <row r="15" spans="1:12" s="21" customFormat="1" ht="17.25" customHeight="1">
      <c r="A15" s="946"/>
      <c r="B15" s="951"/>
      <c r="C15" s="94" t="s">
        <v>210</v>
      </c>
      <c r="D15" s="109" t="str">
        <f>IF('Prescriptive Path'!$K$1=4,Proposed!D19,IF('Prescriptive Path'!$K$1=5,Proposed!K19,IF('Prescriptive Path'!$K$1=6,Proposed!P19)))</f>
        <v>R-16 + R-15.8 ci</v>
      </c>
      <c r="E15" s="110" t="str">
        <f>IF('Prescriptive Path'!$K$1=4,Proposed!H19,IF('Prescriptive Path'!$K$1=5,Proposed!O19,IF('Prescriptive Path'!$K$1=6,Proposed!T19)))</f>
        <v>U-0.045</v>
      </c>
      <c r="F15" s="3"/>
      <c r="G15" s="3"/>
      <c r="H15" s="191"/>
      <c r="I15" s="6" t="s">
        <v>173</v>
      </c>
      <c r="J15" s="206" t="s">
        <v>534</v>
      </c>
    </row>
    <row r="16" spans="1:12" ht="17.25" customHeight="1">
      <c r="A16" s="946"/>
      <c r="B16" s="951"/>
      <c r="C16" s="105" t="s">
        <v>227</v>
      </c>
      <c r="D16" s="109" t="str">
        <f>IF('Prescriptive Path'!$K$1=4,Proposed!D20,IF('Prescriptive Path'!$K$1=5,Proposed!K20,IF('Prescriptive Path'!$K$1=6,Proposed!P20)))</f>
        <v>R-13.0 + R-12.5 ci</v>
      </c>
      <c r="E16" s="110" t="str">
        <f>IF('Prescriptive Path'!$K$1=4,Proposed!H20,IF('Prescriptive Path'!$K$1=5,Proposed!O20,IF('Prescriptive Path'!$K$1=6,Proposed!T20)))</f>
        <v>U-0.046</v>
      </c>
      <c r="F16" s="3"/>
      <c r="G16" s="3"/>
      <c r="H16" s="191"/>
      <c r="I16" s="6" t="s">
        <v>173</v>
      </c>
      <c r="J16" s="206" t="s">
        <v>534</v>
      </c>
    </row>
    <row r="17" spans="1:11" ht="38.25">
      <c r="A17" s="946"/>
      <c r="B17" s="284" t="s">
        <v>57</v>
      </c>
      <c r="C17" s="94" t="s">
        <v>3</v>
      </c>
      <c r="D17" s="109" t="str">
        <f>IF('Prescriptive Path'!$K$1=4,Proposed!D21,IF('Prescriptive Path'!$K$1=5,Proposed!K21,IF('Prescriptive Path'!$K$1=6,Proposed!P21)))</f>
        <v>R-12.5 ci</v>
      </c>
      <c r="E17" s="110" t="str">
        <f>IF('Prescriptive Path'!$K$1=4,Proposed!H21,IF('Prescriptive Path'!$K$1=5,Proposed!O21,IF('Prescriptive Path'!$K$1=6,Proposed!T21)))</f>
        <v>C-0.083</v>
      </c>
      <c r="F17" s="3"/>
      <c r="G17" s="3"/>
      <c r="H17" s="191"/>
      <c r="I17" s="8" t="s">
        <v>173</v>
      </c>
      <c r="J17" s="206" t="s">
        <v>649</v>
      </c>
    </row>
    <row r="18" spans="1:11" ht="17.25" customHeight="1">
      <c r="A18" s="946"/>
      <c r="B18" s="952" t="s">
        <v>58</v>
      </c>
      <c r="C18" s="94" t="s">
        <v>88</v>
      </c>
      <c r="D18" s="104" t="str">
        <f>IF('Prescriptive Path'!$K$1=4,Proposed!D23,IF('Prescriptive Path'!$K$1=5,Proposed!K23,IF('Prescriptive Path'!$K$1=6,Proposed!P23)))</f>
        <v>R-18.7 ci</v>
      </c>
      <c r="E18" s="18" t="str">
        <f>IF('Prescriptive Path'!$K$1=4,Proposed!H23,IF('Prescriptive Path'!$K$1=5,Proposed!O23,IF('Prescriptive Path'!$K$1=6,Proposed!T23)))</f>
        <v>U-0.046</v>
      </c>
      <c r="F18" s="3"/>
      <c r="G18" s="3"/>
      <c r="H18" s="192"/>
      <c r="I18" s="6" t="s">
        <v>173</v>
      </c>
      <c r="J18" s="206" t="s">
        <v>650</v>
      </c>
    </row>
    <row r="19" spans="1:11" ht="17.25" customHeight="1">
      <c r="A19" s="946"/>
      <c r="B19" s="952"/>
      <c r="C19" s="94" t="s">
        <v>60</v>
      </c>
      <c r="D19" s="82" t="str">
        <f>IF('Prescriptive Path'!$K$1=4,Proposed!D24,IF('Prescriptive Path'!$K$1=5,Proposed!K24,IF('Prescriptive Path'!$K$1=6,Proposed!P24)))</f>
        <v>R-38.0</v>
      </c>
      <c r="E19" s="18" t="str">
        <f>IF('Prescriptive Path'!$K$1=4,Proposed!H24,IF('Prescriptive Path'!$K$1=5,Proposed!O24,IF('Prescriptive Path'!$K$1=6,Proposed!T24)))</f>
        <v>U-0.034</v>
      </c>
      <c r="F19" s="3"/>
      <c r="G19" s="3"/>
      <c r="H19" s="192"/>
      <c r="I19" s="6" t="s">
        <v>173</v>
      </c>
      <c r="J19" s="206" t="s">
        <v>651</v>
      </c>
    </row>
    <row r="20" spans="1:11" ht="17.25" customHeight="1">
      <c r="A20" s="946"/>
      <c r="B20" s="952"/>
      <c r="C20" s="94" t="s">
        <v>71</v>
      </c>
      <c r="D20" s="82" t="str">
        <f>IF('Prescriptive Path'!$K$1=4,Proposed!D25,IF('Prescriptive Path'!$K$1=5,Proposed!K25,IF('Prescriptive Path'!$K$1=6,Proposed!P25)))</f>
        <v>R-38.0</v>
      </c>
      <c r="E20" s="18" t="str">
        <f>IF('Prescriptive Path'!$K$1=4,Proposed!H25,IF('Prescriptive Path'!$K$1=5,Proposed!O25,IF('Prescriptive Path'!$K$1=6,Proposed!T25)))</f>
        <v>U-0.03</v>
      </c>
      <c r="F20" s="3"/>
      <c r="G20" s="3"/>
      <c r="H20" s="192"/>
      <c r="I20" s="6" t="s">
        <v>173</v>
      </c>
      <c r="J20" s="206" t="s">
        <v>652</v>
      </c>
    </row>
    <row r="21" spans="1:11" ht="26.25" thickBot="1">
      <c r="A21" s="946"/>
      <c r="B21" s="5" t="s">
        <v>11</v>
      </c>
      <c r="C21" s="94" t="s">
        <v>6</v>
      </c>
      <c r="D21" s="82" t="s">
        <v>235</v>
      </c>
      <c r="E21" s="18" t="str">
        <f>IF('Prescriptive Path'!$K$1=4,Proposed!H28,IF('Prescriptive Path'!$K$1=5,Proposed!O28,IF('Prescriptive Path'!$K$1=6,Proposed!T28)))</f>
        <v>U-0.45</v>
      </c>
      <c r="F21" s="3"/>
      <c r="G21" s="3"/>
      <c r="H21" s="192"/>
      <c r="I21" s="8" t="s">
        <v>173</v>
      </c>
      <c r="J21" s="207" t="s">
        <v>653</v>
      </c>
    </row>
    <row r="22" spans="1:11" ht="26.25" thickBot="1">
      <c r="A22" s="946"/>
      <c r="B22" s="891" t="s">
        <v>512</v>
      </c>
      <c r="C22" s="24" t="s">
        <v>13</v>
      </c>
      <c r="D22" s="953" t="s">
        <v>91</v>
      </c>
      <c r="E22" s="954"/>
      <c r="F22" s="25" t="s">
        <v>27</v>
      </c>
      <c r="G22" s="26" t="s">
        <v>264</v>
      </c>
      <c r="H22" s="26" t="s">
        <v>332</v>
      </c>
      <c r="I22" s="25" t="s">
        <v>174</v>
      </c>
      <c r="J22" s="160" t="str">
        <f>IF($I$6="Yes",".","")</f>
        <v/>
      </c>
    </row>
    <row r="23" spans="1:11">
      <c r="A23" s="946"/>
      <c r="B23" s="892"/>
      <c r="C23" s="106" t="s">
        <v>8</v>
      </c>
      <c r="D23" s="955" t="s">
        <v>2</v>
      </c>
      <c r="E23" s="956"/>
      <c r="F23" s="3"/>
      <c r="G23" s="3"/>
      <c r="H23" s="193"/>
      <c r="I23" s="6" t="s">
        <v>173</v>
      </c>
      <c r="J23" s="206" t="s">
        <v>536</v>
      </c>
    </row>
    <row r="24" spans="1:11">
      <c r="A24" s="946"/>
      <c r="B24" s="892"/>
      <c r="C24" s="106" t="s">
        <v>38</v>
      </c>
      <c r="D24" s="957" t="str">
        <f>IF('Prescriptive Path'!$K$1=4,Proposed!H32,IF('Prescriptive Path'!$K$1=5,Proposed!O32,IF('Prescriptive Path'!$K$1=6,Proposed!T32)))</f>
        <v>U-0.38 / SHGC-0.36-0.50</v>
      </c>
      <c r="E24" s="958"/>
      <c r="F24" s="3"/>
      <c r="G24" s="3"/>
      <c r="H24" s="193"/>
      <c r="I24" s="6" t="s">
        <v>173</v>
      </c>
      <c r="J24" s="206" t="s">
        <v>536</v>
      </c>
    </row>
    <row r="25" spans="1:11" ht="15.75" thickBot="1">
      <c r="A25" s="947"/>
      <c r="B25" s="893"/>
      <c r="C25" s="107" t="s">
        <v>10</v>
      </c>
      <c r="D25" s="858" t="str">
        <f>IF('Prescriptive Path'!$K$1=4,Proposed!H34,IF('Prescriptive Path'!$K$1=5,Proposed!O34,IF('Prescriptive Path'!$K$1=6,Proposed!T34)))</f>
        <v>U-0.45 / SHGC-0.36-0.50</v>
      </c>
      <c r="E25" s="890"/>
      <c r="F25" s="3"/>
      <c r="G25" s="3"/>
      <c r="H25" s="193"/>
      <c r="I25" s="6" t="s">
        <v>173</v>
      </c>
      <c r="J25" s="206" t="s">
        <v>536</v>
      </c>
    </row>
    <row r="26" spans="1:11" ht="26.25" thickBot="1">
      <c r="A26" s="1" t="s">
        <v>0</v>
      </c>
      <c r="B26" s="2" t="s">
        <v>12</v>
      </c>
      <c r="C26" s="24" t="s">
        <v>13</v>
      </c>
      <c r="D26" s="926" t="s">
        <v>259</v>
      </c>
      <c r="E26" s="927"/>
      <c r="F26" s="25" t="s">
        <v>27</v>
      </c>
      <c r="G26" s="26" t="s">
        <v>264</v>
      </c>
      <c r="H26" s="26" t="s">
        <v>332</v>
      </c>
      <c r="I26" s="25" t="s">
        <v>174</v>
      </c>
    </row>
    <row r="27" spans="1:11">
      <c r="A27" s="911" t="s">
        <v>25</v>
      </c>
      <c r="B27" s="894" t="s">
        <v>25</v>
      </c>
      <c r="C27" s="95" t="s">
        <v>276</v>
      </c>
      <c r="D27" s="918" t="s">
        <v>2</v>
      </c>
      <c r="E27" s="919"/>
      <c r="F27" s="780" t="b">
        <v>0</v>
      </c>
      <c r="G27" s="53"/>
      <c r="H27" s="194"/>
      <c r="I27" s="96" t="s">
        <v>175</v>
      </c>
    </row>
    <row r="28" spans="1:11">
      <c r="A28" s="912"/>
      <c r="B28" s="878"/>
      <c r="C28" s="90" t="s">
        <v>339</v>
      </c>
      <c r="D28" s="920" t="s">
        <v>2</v>
      </c>
      <c r="E28" s="921"/>
      <c r="F28" s="46" t="b">
        <v>0</v>
      </c>
      <c r="G28" s="46"/>
      <c r="H28" s="195"/>
      <c r="I28" s="8" t="s">
        <v>175</v>
      </c>
      <c r="K28" s="22"/>
    </row>
    <row r="29" spans="1:11" ht="15.75" customHeight="1">
      <c r="A29" s="912"/>
      <c r="B29" s="878"/>
      <c r="C29" s="90" t="s">
        <v>283</v>
      </c>
      <c r="D29" s="920" t="s">
        <v>2</v>
      </c>
      <c r="E29" s="921"/>
      <c r="F29" s="46" t="b">
        <v>0</v>
      </c>
      <c r="G29" s="46"/>
      <c r="H29" s="195"/>
      <c r="I29" s="8" t="s">
        <v>175</v>
      </c>
      <c r="K29" s="38"/>
    </row>
    <row r="30" spans="1:11" ht="15.75" customHeight="1">
      <c r="A30" s="912"/>
      <c r="B30" s="878"/>
      <c r="C30" s="52" t="s">
        <v>178</v>
      </c>
      <c r="D30" s="922" t="s">
        <v>2</v>
      </c>
      <c r="E30" s="923"/>
      <c r="F30" s="46" t="b">
        <v>0</v>
      </c>
      <c r="G30" s="46"/>
      <c r="H30" s="196"/>
      <c r="I30" s="87" t="s">
        <v>175</v>
      </c>
      <c r="K30" s="38"/>
    </row>
    <row r="31" spans="1:11" s="21" customFormat="1" ht="15.75" customHeight="1">
      <c r="A31" s="912"/>
      <c r="B31" s="878"/>
      <c r="C31" s="11" t="s">
        <v>277</v>
      </c>
      <c r="D31" s="916" t="s">
        <v>5</v>
      </c>
      <c r="E31" s="917"/>
      <c r="F31" s="88"/>
      <c r="G31" s="89"/>
      <c r="H31" s="914" t="s">
        <v>810</v>
      </c>
      <c r="I31" s="915"/>
      <c r="K31" s="38"/>
    </row>
    <row r="32" spans="1:11" s="21" customFormat="1" ht="15.75" customHeight="1" thickBot="1">
      <c r="A32" s="913"/>
      <c r="B32" s="879"/>
      <c r="C32" s="108" t="s">
        <v>340</v>
      </c>
      <c r="D32" s="924" t="s">
        <v>2</v>
      </c>
      <c r="E32" s="925"/>
      <c r="F32" s="97" t="b">
        <v>0</v>
      </c>
      <c r="G32" s="97" t="b">
        <v>0</v>
      </c>
      <c r="H32" s="197"/>
      <c r="I32" s="7" t="s">
        <v>175</v>
      </c>
      <c r="K32" s="38"/>
    </row>
    <row r="33" spans="1:11" ht="15" customHeight="1" thickBot="1">
      <c r="A33" s="856" t="s">
        <v>37</v>
      </c>
      <c r="B33" s="877" t="s">
        <v>37</v>
      </c>
      <c r="C33" s="886" t="s">
        <v>39</v>
      </c>
      <c r="D33" s="882" t="s">
        <v>741</v>
      </c>
      <c r="E33" s="883"/>
      <c r="F33" s="47" t="b">
        <v>0</v>
      </c>
      <c r="G33" s="38"/>
      <c r="H33" s="198"/>
      <c r="I33" s="60" t="s">
        <v>175</v>
      </c>
      <c r="K33" s="22"/>
    </row>
    <row r="34" spans="1:11" ht="15" customHeight="1" thickBot="1">
      <c r="A34" s="856"/>
      <c r="B34" s="878"/>
      <c r="C34" s="887"/>
      <c r="D34" s="882"/>
      <c r="E34" s="883"/>
      <c r="F34" s="845"/>
      <c r="G34" s="846"/>
      <c r="H34" s="192"/>
      <c r="I34" s="60" t="s">
        <v>270</v>
      </c>
      <c r="J34" s="21"/>
    </row>
    <row r="35" spans="1:11">
      <c r="A35" s="856"/>
      <c r="B35" s="878"/>
      <c r="C35" s="887"/>
      <c r="D35" s="884"/>
      <c r="E35" s="885"/>
      <c r="F35" s="40"/>
      <c r="G35" s="41"/>
      <c r="H35" s="191"/>
      <c r="I35" s="10" t="s">
        <v>271</v>
      </c>
      <c r="J35" s="21"/>
    </row>
    <row r="36" spans="1:11">
      <c r="A36" s="856"/>
      <c r="B36" s="878"/>
      <c r="C36" s="887"/>
      <c r="D36" s="880" t="s">
        <v>236</v>
      </c>
      <c r="E36" s="881"/>
      <c r="F36" s="928" t="b">
        <v>0</v>
      </c>
      <c r="G36" s="930"/>
      <c r="H36" s="191"/>
      <c r="I36" s="10" t="s">
        <v>175</v>
      </c>
    </row>
    <row r="37" spans="1:11" ht="15" customHeight="1">
      <c r="A37" s="856"/>
      <c r="B37" s="878"/>
      <c r="C37" s="887"/>
      <c r="D37" s="882"/>
      <c r="E37" s="883"/>
      <c r="F37" s="933"/>
      <c r="G37" s="931"/>
      <c r="H37" s="195"/>
      <c r="I37" s="60" t="s">
        <v>270</v>
      </c>
    </row>
    <row r="38" spans="1:11">
      <c r="A38" s="856"/>
      <c r="B38" s="878"/>
      <c r="C38" s="888"/>
      <c r="D38" s="884"/>
      <c r="E38" s="885"/>
      <c r="F38" s="934"/>
      <c r="G38" s="932"/>
      <c r="H38" s="199"/>
      <c r="I38" s="28" t="s">
        <v>271</v>
      </c>
    </row>
    <row r="39" spans="1:11" ht="25.5">
      <c r="A39" s="856"/>
      <c r="B39" s="878"/>
      <c r="C39" s="29" t="s">
        <v>33</v>
      </c>
      <c r="D39" s="876" t="s">
        <v>29</v>
      </c>
      <c r="E39" s="859"/>
      <c r="F39" s="59"/>
      <c r="G39" s="59"/>
      <c r="H39" s="195"/>
      <c r="I39" s="8" t="s">
        <v>587</v>
      </c>
    </row>
    <row r="40" spans="1:11" ht="20.25" customHeight="1">
      <c r="A40" s="856"/>
      <c r="B40" s="878"/>
      <c r="C40" s="860" t="s">
        <v>32</v>
      </c>
      <c r="D40" s="938" t="s">
        <v>792</v>
      </c>
      <c r="E40" s="939"/>
      <c r="F40" s="928" t="b">
        <v>0</v>
      </c>
      <c r="G40" s="928"/>
      <c r="H40" s="195"/>
      <c r="I40" s="8" t="s">
        <v>287</v>
      </c>
      <c r="J40" s="70" t="b">
        <v>0</v>
      </c>
    </row>
    <row r="41" spans="1:11" s="21" customFormat="1" ht="19.5" customHeight="1" thickBot="1">
      <c r="A41" s="857"/>
      <c r="B41" s="879"/>
      <c r="C41" s="861"/>
      <c r="D41" s="940"/>
      <c r="E41" s="941"/>
      <c r="F41" s="929"/>
      <c r="G41" s="929"/>
      <c r="H41" s="197"/>
      <c r="I41" s="7" t="s">
        <v>288</v>
      </c>
    </row>
    <row r="42" spans="1:11" ht="19.5" customHeight="1">
      <c r="A42" s="897" t="s">
        <v>34</v>
      </c>
      <c r="B42" s="878" t="s">
        <v>61</v>
      </c>
      <c r="C42" s="854" t="s">
        <v>676</v>
      </c>
      <c r="D42" s="870" t="s">
        <v>211</v>
      </c>
      <c r="E42" s="871"/>
      <c r="F42" s="936"/>
      <c r="G42" s="936"/>
      <c r="H42" s="201"/>
      <c r="I42" s="48" t="s">
        <v>175</v>
      </c>
    </row>
    <row r="43" spans="1:11" s="69" customFormat="1" ht="19.5" customHeight="1">
      <c r="A43" s="898"/>
      <c r="B43" s="878"/>
      <c r="C43" s="855"/>
      <c r="D43" s="872"/>
      <c r="E43" s="873"/>
      <c r="F43" s="937"/>
      <c r="G43" s="937"/>
      <c r="H43" s="311"/>
      <c r="I43" s="312" t="s">
        <v>680</v>
      </c>
    </row>
    <row r="44" spans="1:11" ht="19.5" customHeight="1" thickBot="1">
      <c r="A44" s="898"/>
      <c r="B44" s="878"/>
      <c r="C44" s="869" t="s">
        <v>677</v>
      </c>
      <c r="D44" s="874" t="s">
        <v>211</v>
      </c>
      <c r="E44" s="875"/>
      <c r="F44" s="310"/>
      <c r="G44" s="310"/>
      <c r="H44" s="311"/>
      <c r="I44" s="312" t="s">
        <v>175</v>
      </c>
    </row>
    <row r="45" spans="1:11" s="69" customFormat="1" ht="19.5" customHeight="1">
      <c r="A45" s="898"/>
      <c r="B45" s="878"/>
      <c r="C45" s="855"/>
      <c r="D45" s="872"/>
      <c r="E45" s="873"/>
      <c r="F45" s="847"/>
      <c r="G45" s="847"/>
      <c r="H45" s="311"/>
      <c r="I45" s="312" t="s">
        <v>680</v>
      </c>
    </row>
    <row r="46" spans="1:11" s="69" customFormat="1" ht="19.5" customHeight="1">
      <c r="A46" s="898"/>
      <c r="B46" s="878"/>
      <c r="C46" s="36" t="s">
        <v>248</v>
      </c>
      <c r="D46" s="899" t="s">
        <v>211</v>
      </c>
      <c r="E46" s="900"/>
      <c r="F46" s="39"/>
      <c r="G46" s="39"/>
      <c r="H46" s="202"/>
      <c r="I46" s="261" t="s">
        <v>585</v>
      </c>
    </row>
    <row r="47" spans="1:11" s="69" customFormat="1" ht="27.75" customHeight="1">
      <c r="A47" s="898"/>
      <c r="B47" s="878"/>
      <c r="C47" s="37" t="s">
        <v>249</v>
      </c>
      <c r="D47" s="899" t="s">
        <v>211</v>
      </c>
      <c r="E47" s="900"/>
      <c r="F47" s="39"/>
      <c r="G47" s="39"/>
      <c r="H47" s="191"/>
      <c r="I47" s="261" t="s">
        <v>585</v>
      </c>
    </row>
    <row r="48" spans="1:11" s="21" customFormat="1" ht="27.75" customHeight="1">
      <c r="A48" s="898"/>
      <c r="B48" s="878"/>
      <c r="C48" s="11" t="s">
        <v>250</v>
      </c>
      <c r="D48" s="858" t="str">
        <f>Proposed!H41</f>
        <v>11.7 EER/13.0 IEER</v>
      </c>
      <c r="E48" s="859"/>
      <c r="F48" s="39"/>
      <c r="G48" s="39"/>
      <c r="H48" s="192"/>
      <c r="I48" s="261" t="s">
        <v>585</v>
      </c>
    </row>
    <row r="49" spans="1:11" s="21" customFormat="1" ht="27.75" customHeight="1">
      <c r="A49" s="898"/>
      <c r="B49" s="878"/>
      <c r="C49" s="11" t="s">
        <v>251</v>
      </c>
      <c r="D49" s="858" t="str">
        <f>Proposed!H42</f>
        <v>11.7 EER/12.5 IEER</v>
      </c>
      <c r="E49" s="859"/>
      <c r="F49" s="39"/>
      <c r="G49" s="39"/>
      <c r="H49" s="192"/>
      <c r="I49" s="261" t="s">
        <v>585</v>
      </c>
    </row>
    <row r="50" spans="1:11" ht="25.5">
      <c r="A50" s="898"/>
      <c r="B50" s="878"/>
      <c r="C50" s="11" t="s">
        <v>252</v>
      </c>
      <c r="D50" s="858" t="str">
        <f>Proposed!H43</f>
        <v>10.5 EER/11.3 IEER</v>
      </c>
      <c r="E50" s="859"/>
      <c r="F50" s="39"/>
      <c r="G50" s="39"/>
      <c r="H50" s="192"/>
      <c r="I50" s="261" t="s">
        <v>585</v>
      </c>
    </row>
    <row r="51" spans="1:11" s="21" customFormat="1" ht="25.5">
      <c r="A51" s="898"/>
      <c r="B51" s="878"/>
      <c r="C51" s="11" t="s">
        <v>239</v>
      </c>
      <c r="D51" s="901" t="s">
        <v>211</v>
      </c>
      <c r="E51" s="902"/>
      <c r="F51" s="39"/>
      <c r="G51" s="39"/>
      <c r="H51" s="192"/>
      <c r="I51" s="8" t="s">
        <v>586</v>
      </c>
    </row>
    <row r="52" spans="1:11" ht="25.5">
      <c r="A52" s="898"/>
      <c r="B52" s="878"/>
      <c r="C52" s="11" t="s">
        <v>240</v>
      </c>
      <c r="D52" s="868" t="str">
        <f>IF('Prescriptive Path'!$K$1=4,Proposed!H46,IF('Prescriptive Path'!$K$1=5,Proposed!O46,IF('Prescriptive Path'!$K$1=6,Proposed!T46)))</f>
        <v>ENERGY STAR Qualified</v>
      </c>
      <c r="E52" s="867"/>
      <c r="F52" s="39"/>
      <c r="G52" s="39"/>
      <c r="H52" s="192"/>
      <c r="I52" s="8" t="s">
        <v>586</v>
      </c>
    </row>
    <row r="53" spans="1:11" ht="25.5" customHeight="1">
      <c r="A53" s="898"/>
      <c r="B53" s="878"/>
      <c r="C53" s="11" t="s">
        <v>801</v>
      </c>
      <c r="D53" s="858" t="s">
        <v>241</v>
      </c>
      <c r="E53" s="890"/>
      <c r="F53" s="39"/>
      <c r="G53" s="39"/>
      <c r="H53" s="192"/>
      <c r="I53" s="8" t="s">
        <v>586</v>
      </c>
      <c r="J53" s="21"/>
      <c r="K53" s="21"/>
    </row>
    <row r="54" spans="1:11" s="69" customFormat="1" ht="25.5" customHeight="1">
      <c r="A54" s="898"/>
      <c r="B54" s="878"/>
      <c r="C54" s="11" t="s">
        <v>802</v>
      </c>
      <c r="D54" s="889" t="str">
        <f>Proposed!H48</f>
        <v>92% Ec</v>
      </c>
      <c r="E54" s="890"/>
      <c r="F54" s="770"/>
      <c r="G54" s="770"/>
      <c r="H54" s="192"/>
      <c r="I54" s="8" t="s">
        <v>586</v>
      </c>
    </row>
    <row r="55" spans="1:11" ht="31.5" customHeight="1">
      <c r="A55" s="898"/>
      <c r="B55" s="878"/>
      <c r="C55" s="862" t="s">
        <v>242</v>
      </c>
      <c r="D55" s="864" t="s">
        <v>668</v>
      </c>
      <c r="E55" s="865"/>
      <c r="F55" s="930"/>
      <c r="G55" s="930"/>
      <c r="H55" s="192"/>
      <c r="I55" s="8" t="s">
        <v>574</v>
      </c>
      <c r="J55" s="21"/>
      <c r="K55" s="21"/>
    </row>
    <row r="56" spans="1:11" ht="24.75" customHeight="1">
      <c r="A56" s="898"/>
      <c r="B56" s="878"/>
      <c r="C56" s="863"/>
      <c r="D56" s="866"/>
      <c r="E56" s="867"/>
      <c r="F56" s="932"/>
      <c r="G56" s="932"/>
      <c r="H56" s="192"/>
      <c r="I56" s="8" t="s">
        <v>575</v>
      </c>
    </row>
    <row r="57" spans="1:11" ht="24" customHeight="1">
      <c r="A57" s="898"/>
      <c r="B57" s="878"/>
      <c r="C57" s="11" t="s">
        <v>243</v>
      </c>
      <c r="D57" s="901" t="str">
        <f>IF('Prescriptive Path'!$K$1=4,Proposed!H50,IF('Prescriptive Path'!$K$1=5,Proposed!O50,IF('Prescriptive Path'!$K$1=6,Proposed!T50)))</f>
        <v>ENERGY STAR Qualified; 9.25 HSPF</v>
      </c>
      <c r="E57" s="935"/>
      <c r="F57" s="39"/>
      <c r="G57" s="39"/>
      <c r="H57" s="192"/>
      <c r="I57" s="8" t="s">
        <v>585</v>
      </c>
    </row>
    <row r="58" spans="1:11" s="69" customFormat="1" ht="28.5" customHeight="1">
      <c r="A58" s="898"/>
      <c r="B58" s="878"/>
      <c r="C58" s="11" t="s">
        <v>253</v>
      </c>
      <c r="D58" s="901" t="str">
        <f>Proposed!H51</f>
        <v>Cooling: 11.1 EER/12.1 IEER
Heating: 3.3 COP (@47°F DB)</v>
      </c>
      <c r="E58" s="896"/>
      <c r="F58" s="39"/>
      <c r="G58" s="39"/>
      <c r="H58" s="192"/>
      <c r="I58" s="8" t="s">
        <v>585</v>
      </c>
    </row>
    <row r="59" spans="1:11" ht="27" customHeight="1">
      <c r="A59" s="898"/>
      <c r="B59" s="878"/>
      <c r="C59" s="11" t="s">
        <v>254</v>
      </c>
      <c r="D59" s="901" t="str">
        <f>Proposed!H52</f>
        <v>Cooling: 10.7 EER/11.7 IEER
Heating: 3.2 COP (@47°F DB)</v>
      </c>
      <c r="E59" s="896"/>
      <c r="F59" s="39"/>
      <c r="G59" s="39"/>
      <c r="H59" s="192"/>
      <c r="I59" s="8" t="s">
        <v>585</v>
      </c>
    </row>
    <row r="60" spans="1:11" ht="25.5" customHeight="1">
      <c r="A60" s="898"/>
      <c r="B60" s="878"/>
      <c r="C60" s="11" t="s">
        <v>244</v>
      </c>
      <c r="D60" s="901" t="str">
        <f>Proposed!H53</f>
        <v>Cooling: 10.1 EER/10.7 IEER
Heating: 3.2 COP (@47°F DB)</v>
      </c>
      <c r="E60" s="896"/>
      <c r="F60" s="39"/>
      <c r="G60" s="39"/>
      <c r="H60" s="192"/>
      <c r="I60" s="8" t="s">
        <v>585</v>
      </c>
    </row>
    <row r="61" spans="1:11" ht="25.5" customHeight="1">
      <c r="A61" s="898"/>
      <c r="B61" s="878"/>
      <c r="C61" s="11" t="s">
        <v>245</v>
      </c>
      <c r="D61" s="901" t="str">
        <f>IF('Prescriptive Path'!K1=4,Proposed!H54,IF('Prescriptive Path'!K1=5,Proposed!O54,IF('Prescriptive Path'!K1=6,Proposed!T54)))</f>
        <v>ENERGY STAR Qualified</v>
      </c>
      <c r="E61" s="896"/>
      <c r="F61" s="39"/>
      <c r="G61" s="39"/>
      <c r="H61" s="192"/>
      <c r="I61" s="8" t="s">
        <v>586</v>
      </c>
    </row>
    <row r="62" spans="1:11" ht="25.5" customHeight="1">
      <c r="A62" s="898"/>
      <c r="B62" s="878"/>
      <c r="C62" s="11" t="s">
        <v>246</v>
      </c>
      <c r="D62" s="957" t="s">
        <v>524</v>
      </c>
      <c r="E62" s="917"/>
      <c r="F62" s="39"/>
      <c r="G62" s="39"/>
      <c r="H62" s="192"/>
      <c r="I62" s="8" t="s">
        <v>586</v>
      </c>
    </row>
    <row r="63" spans="1:11" ht="15" customHeight="1">
      <c r="A63" s="898"/>
      <c r="B63" s="878"/>
      <c r="C63" s="292" t="s">
        <v>247</v>
      </c>
      <c r="D63" s="973" t="s">
        <v>793</v>
      </c>
      <c r="E63" s="974"/>
      <c r="F63" s="930"/>
      <c r="G63" s="930"/>
      <c r="H63" s="848"/>
      <c r="I63" s="8" t="s">
        <v>643</v>
      </c>
    </row>
    <row r="64" spans="1:11" ht="15" customHeight="1">
      <c r="A64" s="898"/>
      <c r="B64" s="878"/>
      <c r="C64" s="324" t="s">
        <v>645</v>
      </c>
      <c r="D64" s="975" t="s">
        <v>809</v>
      </c>
      <c r="E64" s="976"/>
      <c r="F64" s="931"/>
      <c r="G64" s="931"/>
      <c r="H64" s="849"/>
      <c r="I64" s="290" t="s">
        <v>644</v>
      </c>
    </row>
    <row r="65" spans="1:10" s="69" customFormat="1" ht="15" customHeight="1" thickBot="1">
      <c r="A65" s="898"/>
      <c r="B65" s="878"/>
      <c r="C65" s="316" t="s">
        <v>730</v>
      </c>
      <c r="D65" s="914" t="s">
        <v>809</v>
      </c>
      <c r="E65" s="915"/>
      <c r="F65" s="932"/>
      <c r="G65" s="932"/>
      <c r="H65" s="326"/>
      <c r="I65" s="325"/>
    </row>
    <row r="66" spans="1:10" s="21" customFormat="1" ht="26.25" customHeight="1">
      <c r="A66" s="903" t="s">
        <v>1</v>
      </c>
      <c r="B66" s="877" t="s">
        <v>36</v>
      </c>
      <c r="C66" s="992" t="s">
        <v>344</v>
      </c>
      <c r="D66" s="980" t="s">
        <v>375</v>
      </c>
      <c r="E66" s="981"/>
      <c r="F66" s="289"/>
      <c r="G66" s="289"/>
      <c r="H66" s="300"/>
      <c r="I66" s="96" t="s">
        <v>173</v>
      </c>
    </row>
    <row r="67" spans="1:10" ht="26.25" customHeight="1">
      <c r="A67" s="978"/>
      <c r="B67" s="878"/>
      <c r="C67" s="993"/>
      <c r="D67" s="977" t="s">
        <v>376</v>
      </c>
      <c r="E67" s="859"/>
      <c r="F67" s="288"/>
      <c r="G67" s="288"/>
      <c r="H67" s="203"/>
      <c r="I67" s="8" t="s">
        <v>173</v>
      </c>
    </row>
    <row r="68" spans="1:10" ht="26.25" customHeight="1">
      <c r="A68" s="978"/>
      <c r="B68" s="878"/>
      <c r="C68" s="994"/>
      <c r="D68" s="977" t="s">
        <v>377</v>
      </c>
      <c r="E68" s="859"/>
      <c r="F68" s="288"/>
      <c r="G68" s="288"/>
      <c r="H68" s="204"/>
      <c r="I68" s="8" t="s">
        <v>173</v>
      </c>
    </row>
    <row r="69" spans="1:10" ht="52.5" customHeight="1">
      <c r="A69" s="978"/>
      <c r="B69" s="878"/>
      <c r="C69" s="11" t="s">
        <v>345</v>
      </c>
      <c r="D69" s="977" t="s">
        <v>794</v>
      </c>
      <c r="E69" s="859"/>
      <c r="F69" s="288"/>
      <c r="G69" s="288"/>
      <c r="H69" s="291"/>
      <c r="I69" s="8" t="s">
        <v>190</v>
      </c>
    </row>
    <row r="70" spans="1:10" ht="78" customHeight="1">
      <c r="A70" s="978"/>
      <c r="B70" s="979"/>
      <c r="C70" s="11" t="s">
        <v>35</v>
      </c>
      <c r="D70" s="971" t="s">
        <v>343</v>
      </c>
      <c r="E70" s="972"/>
      <c r="F70" s="288"/>
      <c r="G70" s="288"/>
      <c r="H70" s="291"/>
      <c r="I70" s="8" t="s">
        <v>328</v>
      </c>
    </row>
    <row r="71" spans="1:10" ht="63.75" customHeight="1">
      <c r="A71" s="978"/>
      <c r="B71" s="891" t="s">
        <v>46</v>
      </c>
      <c r="C71" s="909" t="s">
        <v>47</v>
      </c>
      <c r="D71" s="880" t="s">
        <v>795</v>
      </c>
      <c r="E71" s="881"/>
      <c r="F71" s="930"/>
      <c r="G71" s="930"/>
      <c r="H71" s="192"/>
      <c r="I71" s="8" t="s">
        <v>189</v>
      </c>
    </row>
    <row r="72" spans="1:10" ht="78.75" customHeight="1" thickBot="1">
      <c r="A72" s="904"/>
      <c r="B72" s="893"/>
      <c r="C72" s="910"/>
      <c r="D72" s="907"/>
      <c r="E72" s="908"/>
      <c r="F72" s="970"/>
      <c r="G72" s="970"/>
      <c r="H72" s="205"/>
      <c r="I72" s="7" t="s">
        <v>284</v>
      </c>
      <c r="J72" s="70" t="b">
        <v>0</v>
      </c>
    </row>
    <row r="73" spans="1:10" ht="41.25" customHeight="1">
      <c r="A73" s="903" t="s">
        <v>40</v>
      </c>
      <c r="B73" s="905" t="s">
        <v>40</v>
      </c>
      <c r="C73" s="984" t="s">
        <v>320</v>
      </c>
      <c r="D73" s="997" t="s">
        <v>796</v>
      </c>
      <c r="E73" s="998"/>
      <c r="F73" s="299"/>
      <c r="G73" s="299"/>
      <c r="H73" s="296"/>
      <c r="I73" s="297" t="s">
        <v>318</v>
      </c>
    </row>
    <row r="74" spans="1:10" s="21" customFormat="1" ht="41.25" customHeight="1" thickBot="1">
      <c r="A74" s="904"/>
      <c r="B74" s="906"/>
      <c r="C74" s="985"/>
      <c r="D74" s="999"/>
      <c r="E74" s="1000"/>
      <c r="F74" s="298"/>
      <c r="G74" s="298"/>
      <c r="H74" s="205"/>
      <c r="I74" s="103" t="s">
        <v>319</v>
      </c>
    </row>
    <row r="75" spans="1:10" s="21" customFormat="1" ht="46.5" customHeight="1">
      <c r="A75" s="903" t="s">
        <v>43</v>
      </c>
      <c r="B75" s="905" t="s">
        <v>19</v>
      </c>
      <c r="C75" s="986" t="s">
        <v>352</v>
      </c>
      <c r="D75" s="988" t="s">
        <v>211</v>
      </c>
      <c r="E75" s="989"/>
      <c r="F75" s="982"/>
      <c r="G75" s="968"/>
      <c r="H75" s="200"/>
      <c r="I75" s="315" t="s">
        <v>588</v>
      </c>
    </row>
    <row r="76" spans="1:10" s="21" customFormat="1" ht="41.25" customHeight="1">
      <c r="A76" s="978"/>
      <c r="B76" s="1001"/>
      <c r="C76" s="987"/>
      <c r="D76" s="990"/>
      <c r="E76" s="991"/>
      <c r="F76" s="983"/>
      <c r="G76" s="969"/>
      <c r="H76" s="192"/>
      <c r="I76" s="313" t="s">
        <v>353</v>
      </c>
    </row>
    <row r="77" spans="1:10" s="69" customFormat="1" ht="41.25" customHeight="1">
      <c r="A77" s="978"/>
      <c r="B77" s="1001"/>
      <c r="C77" s="102" t="s">
        <v>321</v>
      </c>
      <c r="D77" s="895" t="s">
        <v>44</v>
      </c>
      <c r="E77" s="896"/>
      <c r="F77" s="314"/>
      <c r="G77" s="314"/>
      <c r="H77" s="191"/>
      <c r="I77" s="290" t="s">
        <v>337</v>
      </c>
    </row>
    <row r="78" spans="1:10" s="69" customFormat="1" ht="49.5" customHeight="1">
      <c r="A78" s="978"/>
      <c r="B78" s="1001"/>
      <c r="C78" s="102" t="s">
        <v>322</v>
      </c>
      <c r="D78" s="895" t="s">
        <v>45</v>
      </c>
      <c r="E78" s="896"/>
      <c r="F78" s="314"/>
      <c r="G78" s="314"/>
      <c r="H78" s="192"/>
      <c r="I78" s="290" t="s">
        <v>338</v>
      </c>
    </row>
    <row r="79" spans="1:10" ht="26.25" thickBot="1">
      <c r="A79" s="904"/>
      <c r="B79" s="906"/>
      <c r="C79" s="103" t="s">
        <v>324</v>
      </c>
      <c r="D79" s="995" t="s">
        <v>325</v>
      </c>
      <c r="E79" s="996"/>
      <c r="F79" s="319"/>
      <c r="G79" s="319"/>
      <c r="H79" s="205"/>
      <c r="I79" s="7" t="s">
        <v>782</v>
      </c>
    </row>
    <row r="80" spans="1:10" s="69" customFormat="1" ht="15.75" customHeight="1">
      <c r="A80" s="318" t="s">
        <v>577</v>
      </c>
      <c r="B80" s="22"/>
      <c r="C80"/>
      <c r="D80" s="22"/>
      <c r="E80" s="22"/>
      <c r="F80" s="22"/>
      <c r="G80" s="22"/>
      <c r="H80" s="22"/>
      <c r="I80"/>
    </row>
    <row r="81" spans="1:1" ht="15.75" customHeight="1">
      <c r="A81" s="112" t="s">
        <v>584</v>
      </c>
    </row>
  </sheetData>
  <sheetProtection algorithmName="SHA-512" hashValue="lnUfkk/ndc7e4f5r+JZzDbyWN7YqMp8wUXVoJTD3mDd7jkF4N1rbB/lq6Sr6H3FLeHx1udQhtJ2CcFVZCXnchA==" saltValue="Yxh8GR6U3+djOBXwEwCMhQ==" spinCount="100000" sheet="1" objects="1" scenarios="1"/>
  <mergeCells count="97">
    <mergeCell ref="A66:A72"/>
    <mergeCell ref="B66:B70"/>
    <mergeCell ref="D66:E66"/>
    <mergeCell ref="F75:F76"/>
    <mergeCell ref="A75:A79"/>
    <mergeCell ref="D77:E77"/>
    <mergeCell ref="C73:C74"/>
    <mergeCell ref="C75:C76"/>
    <mergeCell ref="D75:E76"/>
    <mergeCell ref="C66:C68"/>
    <mergeCell ref="D79:E79"/>
    <mergeCell ref="F71:F72"/>
    <mergeCell ref="D69:E69"/>
    <mergeCell ref="D73:E74"/>
    <mergeCell ref="B75:B79"/>
    <mergeCell ref="D65:E65"/>
    <mergeCell ref="F63:F65"/>
    <mergeCell ref="G63:G65"/>
    <mergeCell ref="D61:E61"/>
    <mergeCell ref="G75:G76"/>
    <mergeCell ref="G71:G72"/>
    <mergeCell ref="D70:E70"/>
    <mergeCell ref="D63:E63"/>
    <mergeCell ref="D64:E64"/>
    <mergeCell ref="D62:E62"/>
    <mergeCell ref="D68:E68"/>
    <mergeCell ref="D67:E67"/>
    <mergeCell ref="A2:I2"/>
    <mergeCell ref="A9:A25"/>
    <mergeCell ref="B10:B12"/>
    <mergeCell ref="B13:B16"/>
    <mergeCell ref="B18:B20"/>
    <mergeCell ref="D22:E22"/>
    <mergeCell ref="D23:E23"/>
    <mergeCell ref="D24:E24"/>
    <mergeCell ref="G4:H4"/>
    <mergeCell ref="D3:E3"/>
    <mergeCell ref="G5:H5"/>
    <mergeCell ref="G6:H6"/>
    <mergeCell ref="G7:H7"/>
    <mergeCell ref="G3:H3"/>
    <mergeCell ref="A8:I8"/>
    <mergeCell ref="D25:E25"/>
    <mergeCell ref="D26:E26"/>
    <mergeCell ref="D59:E59"/>
    <mergeCell ref="G40:G41"/>
    <mergeCell ref="G36:G38"/>
    <mergeCell ref="F36:F38"/>
    <mergeCell ref="F55:F56"/>
    <mergeCell ref="G55:G56"/>
    <mergeCell ref="D46:E46"/>
    <mergeCell ref="D57:E57"/>
    <mergeCell ref="D53:E53"/>
    <mergeCell ref="F40:F41"/>
    <mergeCell ref="F42:F43"/>
    <mergeCell ref="G42:G43"/>
    <mergeCell ref="D40:E41"/>
    <mergeCell ref="A27:A32"/>
    <mergeCell ref="H31:I31"/>
    <mergeCell ref="D31:E31"/>
    <mergeCell ref="D27:E27"/>
    <mergeCell ref="D28:E28"/>
    <mergeCell ref="D30:E30"/>
    <mergeCell ref="D29:E29"/>
    <mergeCell ref="D32:E32"/>
    <mergeCell ref="B22:B25"/>
    <mergeCell ref="B27:B32"/>
    <mergeCell ref="D78:E78"/>
    <mergeCell ref="A42:A65"/>
    <mergeCell ref="B42:B65"/>
    <mergeCell ref="D47:E47"/>
    <mergeCell ref="D48:E48"/>
    <mergeCell ref="D50:E50"/>
    <mergeCell ref="D51:E51"/>
    <mergeCell ref="A73:A74"/>
    <mergeCell ref="B73:B74"/>
    <mergeCell ref="D71:E72"/>
    <mergeCell ref="C71:C72"/>
    <mergeCell ref="B71:B72"/>
    <mergeCell ref="D58:E58"/>
    <mergeCell ref="D60:E60"/>
    <mergeCell ref="C42:C43"/>
    <mergeCell ref="A33:A41"/>
    <mergeCell ref="D49:E49"/>
    <mergeCell ref="C40:C41"/>
    <mergeCell ref="C55:C56"/>
    <mergeCell ref="D55:E56"/>
    <mergeCell ref="D52:E52"/>
    <mergeCell ref="C44:C45"/>
    <mergeCell ref="D42:E43"/>
    <mergeCell ref="D44:E45"/>
    <mergeCell ref="D39:E39"/>
    <mergeCell ref="B33:B41"/>
    <mergeCell ref="D36:E38"/>
    <mergeCell ref="D33:E35"/>
    <mergeCell ref="C33:C38"/>
    <mergeCell ref="D54:E54"/>
  </mergeCells>
  <conditionalFormatting sqref="J9">
    <cfRule type="cellIs" dxfId="3" priority="12" stopIfTrue="1" operator="notEqual">
      <formula>""</formula>
    </cfRule>
  </conditionalFormatting>
  <conditionalFormatting sqref="J22">
    <cfRule type="notContainsBlanks" dxfId="2" priority="16" stopIfTrue="1">
      <formula>LEN(TRIM(J22))&gt;0</formula>
    </cfRule>
  </conditionalFormatting>
  <conditionalFormatting sqref="J10:J21 J23:J25">
    <cfRule type="expression" dxfId="1" priority="8" stopIfTrue="1">
      <formula>$I$6="Yes"</formula>
    </cfRule>
  </conditionalFormatting>
  <conditionalFormatting sqref="A8 J8:XFD8">
    <cfRule type="expression" dxfId="0" priority="1">
      <formula>$I$6="YES"</formula>
    </cfRule>
  </conditionalFormatting>
  <dataValidations count="12">
    <dataValidation type="list" allowBlank="1" showInputMessage="1" showErrorMessage="1" sqref="I5:I7" xr:uid="{00000000-0002-0000-0200-000000000000}">
      <formula1>"Yes, No"</formula1>
    </dataValidation>
    <dataValidation type="list" allowBlank="1" showInputMessage="1" sqref="D4" xr:uid="{00000000-0002-0000-0200-000001000000}">
      <formula1>counties</formula1>
    </dataValidation>
    <dataValidation type="list" allowBlank="1" showInputMessage="1" showErrorMessage="1" sqref="D5" xr:uid="{00000000-0002-0000-0200-000002000000}">
      <formula1>Utilities</formula1>
    </dataValidation>
    <dataValidation type="list" allowBlank="1" showInputMessage="1" showErrorMessage="1" sqref="D64:E64" xr:uid="{00000000-0002-0000-0200-000004000000}">
      <formula1>"&lt;Please Select&gt;,Cooling, Heating and Cooling"</formula1>
    </dataValidation>
    <dataValidation type="list" allowBlank="1" showInputMessage="1" showErrorMessage="1" sqref="H76" xr:uid="{00000000-0002-0000-0200-000005000000}">
      <formula1>FanType</formula1>
    </dataValidation>
    <dataValidation type="list" allowBlank="1" showInputMessage="1" showErrorMessage="1" sqref="D7" xr:uid="{00000000-0002-0000-0200-000006000000}">
      <formula1>"Low-to-Moderate Income,Market-Rate"</formula1>
    </dataValidation>
    <dataValidation type="list" allowBlank="1" showInputMessage="1" showErrorMessage="1" sqref="D6" xr:uid="{00000000-0002-0000-0200-000007000000}">
      <formula1>GasList</formula1>
    </dataValidation>
    <dataValidation type="list" allowBlank="1" showInputMessage="1" showErrorMessage="1" sqref="J10:J12" xr:uid="{00000000-0002-0000-0200-000008000000}">
      <formula1>RoofRValue</formula1>
    </dataValidation>
    <dataValidation type="list" allowBlank="1" showInputMessage="1" showErrorMessage="1" sqref="J13:J16" xr:uid="{00000000-0002-0000-0200-000009000000}">
      <formula1>WallRValue</formula1>
    </dataValidation>
    <dataValidation type="list" allowBlank="1" showInputMessage="1" showErrorMessage="1" sqref="J23 J24:J25" xr:uid="{00000000-0002-0000-0200-00000A000000}">
      <formula1>WindowType</formula1>
    </dataValidation>
    <dataValidation type="list" allowBlank="1" showInputMessage="1" showErrorMessage="1" sqref="D65:E65" xr:uid="{00000000-0002-0000-0200-00000B000000}">
      <formula1>"&lt;Please Select&gt;,Yes,No"</formula1>
    </dataValidation>
    <dataValidation type="list" allowBlank="1" showInputMessage="1" showErrorMessage="1" sqref="H31:I31" xr:uid="{645DFD4B-C79A-4B67-8C2C-83F809B66F2D}">
      <formula1>"&lt;Please select&gt;,Electric Dryer, Gas Dryer"</formula1>
    </dataValidation>
  </dataValidations>
  <pageMargins left="0.25" right="0.25" top="0.75" bottom="0.75" header="0.3" footer="0.3"/>
  <pageSetup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182" r:id="rId4" name="Check Box 158">
              <controlPr defaultSize="0" autoFill="0" autoLine="0" autoPict="0">
                <anchor moveWithCells="1">
                  <from>
                    <xdr:col>5</xdr:col>
                    <xdr:colOff>257175</xdr:colOff>
                    <xdr:row>11</xdr:row>
                    <xdr:rowOff>0</xdr:rowOff>
                  </from>
                  <to>
                    <xdr:col>5</xdr:col>
                    <xdr:colOff>561975</xdr:colOff>
                    <xdr:row>12</xdr:row>
                    <xdr:rowOff>0</xdr:rowOff>
                  </to>
                </anchor>
              </controlPr>
            </control>
          </mc:Choice>
        </mc:AlternateContent>
        <mc:AlternateContent xmlns:mc="http://schemas.openxmlformats.org/markup-compatibility/2006">
          <mc:Choice Requires="x14">
            <control shapeId="1184" r:id="rId5" name="Check Box 160">
              <controlPr defaultSize="0" autoFill="0" autoLine="0" autoPict="0">
                <anchor moveWithCells="1">
                  <from>
                    <xdr:col>5</xdr:col>
                    <xdr:colOff>257175</xdr:colOff>
                    <xdr:row>12</xdr:row>
                    <xdr:rowOff>0</xdr:rowOff>
                  </from>
                  <to>
                    <xdr:col>5</xdr:col>
                    <xdr:colOff>561975</xdr:colOff>
                    <xdr:row>13</xdr:row>
                    <xdr:rowOff>0</xdr:rowOff>
                  </to>
                </anchor>
              </controlPr>
            </control>
          </mc:Choice>
        </mc:AlternateContent>
        <mc:AlternateContent xmlns:mc="http://schemas.openxmlformats.org/markup-compatibility/2006">
          <mc:Choice Requires="x14">
            <control shapeId="1186" r:id="rId6" name="Check Box 162">
              <controlPr defaultSize="0" autoFill="0" autoLine="0" autoPict="0">
                <anchor moveWithCells="1">
                  <from>
                    <xdr:col>5</xdr:col>
                    <xdr:colOff>257175</xdr:colOff>
                    <xdr:row>13</xdr:row>
                    <xdr:rowOff>0</xdr:rowOff>
                  </from>
                  <to>
                    <xdr:col>5</xdr:col>
                    <xdr:colOff>561975</xdr:colOff>
                    <xdr:row>14</xdr:row>
                    <xdr:rowOff>0</xdr:rowOff>
                  </to>
                </anchor>
              </controlPr>
            </control>
          </mc:Choice>
        </mc:AlternateContent>
        <mc:AlternateContent xmlns:mc="http://schemas.openxmlformats.org/markup-compatibility/2006">
          <mc:Choice Requires="x14">
            <control shapeId="1189" r:id="rId7" name="Check Box 165">
              <controlPr defaultSize="0" autoFill="0" autoLine="0" autoPict="0">
                <anchor moveWithCells="1">
                  <from>
                    <xdr:col>5</xdr:col>
                    <xdr:colOff>257175</xdr:colOff>
                    <xdr:row>14</xdr:row>
                    <xdr:rowOff>0</xdr:rowOff>
                  </from>
                  <to>
                    <xdr:col>5</xdr:col>
                    <xdr:colOff>561975</xdr:colOff>
                    <xdr:row>15</xdr:row>
                    <xdr:rowOff>0</xdr:rowOff>
                  </to>
                </anchor>
              </controlPr>
            </control>
          </mc:Choice>
        </mc:AlternateContent>
        <mc:AlternateContent xmlns:mc="http://schemas.openxmlformats.org/markup-compatibility/2006">
          <mc:Choice Requires="x14">
            <control shapeId="1192" r:id="rId8" name="Check Box 168">
              <controlPr defaultSize="0" autoFill="0" autoLine="0" autoPict="0">
                <anchor moveWithCells="1">
                  <from>
                    <xdr:col>5</xdr:col>
                    <xdr:colOff>257175</xdr:colOff>
                    <xdr:row>15</xdr:row>
                    <xdr:rowOff>0</xdr:rowOff>
                  </from>
                  <to>
                    <xdr:col>5</xdr:col>
                    <xdr:colOff>561975</xdr:colOff>
                    <xdr:row>16</xdr:row>
                    <xdr:rowOff>0</xdr:rowOff>
                  </to>
                </anchor>
              </controlPr>
            </control>
          </mc:Choice>
        </mc:AlternateContent>
        <mc:AlternateContent xmlns:mc="http://schemas.openxmlformats.org/markup-compatibility/2006">
          <mc:Choice Requires="x14">
            <control shapeId="1195" r:id="rId9" name="Check Box 171">
              <controlPr defaultSize="0" autoFill="0" autoLine="0" autoPict="0">
                <anchor moveWithCells="1">
                  <from>
                    <xdr:col>5</xdr:col>
                    <xdr:colOff>257175</xdr:colOff>
                    <xdr:row>16</xdr:row>
                    <xdr:rowOff>133350</xdr:rowOff>
                  </from>
                  <to>
                    <xdr:col>5</xdr:col>
                    <xdr:colOff>561975</xdr:colOff>
                    <xdr:row>16</xdr:row>
                    <xdr:rowOff>352425</xdr:rowOff>
                  </to>
                </anchor>
              </controlPr>
            </control>
          </mc:Choice>
        </mc:AlternateContent>
        <mc:AlternateContent xmlns:mc="http://schemas.openxmlformats.org/markup-compatibility/2006">
          <mc:Choice Requires="x14">
            <control shapeId="1201" r:id="rId10" name="Check Box 177">
              <controlPr defaultSize="0" autoFill="0" autoLine="0" autoPict="0">
                <anchor moveWithCells="1">
                  <from>
                    <xdr:col>5</xdr:col>
                    <xdr:colOff>257175</xdr:colOff>
                    <xdr:row>17</xdr:row>
                    <xdr:rowOff>19050</xdr:rowOff>
                  </from>
                  <to>
                    <xdr:col>5</xdr:col>
                    <xdr:colOff>561975</xdr:colOff>
                    <xdr:row>18</xdr:row>
                    <xdr:rowOff>19050</xdr:rowOff>
                  </to>
                </anchor>
              </controlPr>
            </control>
          </mc:Choice>
        </mc:AlternateContent>
        <mc:AlternateContent xmlns:mc="http://schemas.openxmlformats.org/markup-compatibility/2006">
          <mc:Choice Requires="x14">
            <control shapeId="1204" r:id="rId11" name="Check Box 180">
              <controlPr defaultSize="0" autoFill="0" autoLine="0" autoPict="0">
                <anchor moveWithCells="1">
                  <from>
                    <xdr:col>5</xdr:col>
                    <xdr:colOff>257175</xdr:colOff>
                    <xdr:row>18</xdr:row>
                    <xdr:rowOff>0</xdr:rowOff>
                  </from>
                  <to>
                    <xdr:col>5</xdr:col>
                    <xdr:colOff>561975</xdr:colOff>
                    <xdr:row>19</xdr:row>
                    <xdr:rowOff>0</xdr:rowOff>
                  </to>
                </anchor>
              </controlPr>
            </control>
          </mc:Choice>
        </mc:AlternateContent>
        <mc:AlternateContent xmlns:mc="http://schemas.openxmlformats.org/markup-compatibility/2006">
          <mc:Choice Requires="x14">
            <control shapeId="1207" r:id="rId12" name="Check Box 183">
              <controlPr defaultSize="0" autoFill="0" autoLine="0" autoPict="0">
                <anchor moveWithCells="1">
                  <from>
                    <xdr:col>5</xdr:col>
                    <xdr:colOff>257175</xdr:colOff>
                    <xdr:row>19</xdr:row>
                    <xdr:rowOff>0</xdr:rowOff>
                  </from>
                  <to>
                    <xdr:col>5</xdr:col>
                    <xdr:colOff>561975</xdr:colOff>
                    <xdr:row>20</xdr:row>
                    <xdr:rowOff>0</xdr:rowOff>
                  </to>
                </anchor>
              </controlPr>
            </control>
          </mc:Choice>
        </mc:AlternateContent>
        <mc:AlternateContent xmlns:mc="http://schemas.openxmlformats.org/markup-compatibility/2006">
          <mc:Choice Requires="x14">
            <control shapeId="1216" r:id="rId13" name="Check Box 192">
              <controlPr defaultSize="0" autoFill="0" autoLine="0" autoPict="0">
                <anchor moveWithCells="1">
                  <from>
                    <xdr:col>5</xdr:col>
                    <xdr:colOff>257175</xdr:colOff>
                    <xdr:row>21</xdr:row>
                    <xdr:rowOff>314325</xdr:rowOff>
                  </from>
                  <to>
                    <xdr:col>5</xdr:col>
                    <xdr:colOff>561975</xdr:colOff>
                    <xdr:row>23</xdr:row>
                    <xdr:rowOff>9525</xdr:rowOff>
                  </to>
                </anchor>
              </controlPr>
            </control>
          </mc:Choice>
        </mc:AlternateContent>
        <mc:AlternateContent xmlns:mc="http://schemas.openxmlformats.org/markup-compatibility/2006">
          <mc:Choice Requires="x14">
            <control shapeId="1228" r:id="rId14" name="Check Box 204">
              <controlPr defaultSize="0" autoFill="0" autoLine="0" autoPict="0">
                <anchor moveWithCells="1">
                  <from>
                    <xdr:col>5</xdr:col>
                    <xdr:colOff>257175</xdr:colOff>
                    <xdr:row>23</xdr:row>
                    <xdr:rowOff>0</xdr:rowOff>
                  </from>
                  <to>
                    <xdr:col>5</xdr:col>
                    <xdr:colOff>561975</xdr:colOff>
                    <xdr:row>24</xdr:row>
                    <xdr:rowOff>28575</xdr:rowOff>
                  </to>
                </anchor>
              </controlPr>
            </control>
          </mc:Choice>
        </mc:AlternateContent>
        <mc:AlternateContent xmlns:mc="http://schemas.openxmlformats.org/markup-compatibility/2006">
          <mc:Choice Requires="x14">
            <control shapeId="1231" r:id="rId15" name="Check Box 207">
              <controlPr defaultSize="0" autoFill="0" autoLine="0" autoPict="0">
                <anchor moveWithCells="1">
                  <from>
                    <xdr:col>5</xdr:col>
                    <xdr:colOff>257175</xdr:colOff>
                    <xdr:row>24</xdr:row>
                    <xdr:rowOff>0</xdr:rowOff>
                  </from>
                  <to>
                    <xdr:col>5</xdr:col>
                    <xdr:colOff>561975</xdr:colOff>
                    <xdr:row>25</xdr:row>
                    <xdr:rowOff>19050</xdr:rowOff>
                  </to>
                </anchor>
              </controlPr>
            </control>
          </mc:Choice>
        </mc:AlternateContent>
        <mc:AlternateContent xmlns:mc="http://schemas.openxmlformats.org/markup-compatibility/2006">
          <mc:Choice Requires="x14">
            <control shapeId="1239" r:id="rId16" name="Check Box 215">
              <controlPr defaultSize="0" autoFill="0" autoLine="0" autoPict="0">
                <anchor moveWithCells="1">
                  <from>
                    <xdr:col>5</xdr:col>
                    <xdr:colOff>257175</xdr:colOff>
                    <xdr:row>24</xdr:row>
                    <xdr:rowOff>0</xdr:rowOff>
                  </from>
                  <to>
                    <xdr:col>5</xdr:col>
                    <xdr:colOff>561975</xdr:colOff>
                    <xdr:row>25</xdr:row>
                    <xdr:rowOff>19050</xdr:rowOff>
                  </to>
                </anchor>
              </controlPr>
            </control>
          </mc:Choice>
        </mc:AlternateContent>
        <mc:AlternateContent xmlns:mc="http://schemas.openxmlformats.org/markup-compatibility/2006">
          <mc:Choice Requires="x14">
            <control shapeId="1245" r:id="rId17" name="Check Box 221">
              <controlPr defaultSize="0" autoFill="0" autoLine="0" autoPict="0">
                <anchor moveWithCells="1">
                  <from>
                    <xdr:col>6</xdr:col>
                    <xdr:colOff>257175</xdr:colOff>
                    <xdr:row>9</xdr:row>
                    <xdr:rowOff>0</xdr:rowOff>
                  </from>
                  <to>
                    <xdr:col>6</xdr:col>
                    <xdr:colOff>561975</xdr:colOff>
                    <xdr:row>10</xdr:row>
                    <xdr:rowOff>0</xdr:rowOff>
                  </to>
                </anchor>
              </controlPr>
            </control>
          </mc:Choice>
        </mc:AlternateContent>
        <mc:AlternateContent xmlns:mc="http://schemas.openxmlformats.org/markup-compatibility/2006">
          <mc:Choice Requires="x14">
            <control shapeId="1251" r:id="rId18" name="Check Box 227">
              <controlPr defaultSize="0" autoFill="0" autoLine="0" autoPict="0">
                <anchor moveWithCells="1">
                  <from>
                    <xdr:col>6</xdr:col>
                    <xdr:colOff>257175</xdr:colOff>
                    <xdr:row>10</xdr:row>
                    <xdr:rowOff>0</xdr:rowOff>
                  </from>
                  <to>
                    <xdr:col>6</xdr:col>
                    <xdr:colOff>561975</xdr:colOff>
                    <xdr:row>11</xdr:row>
                    <xdr:rowOff>0</xdr:rowOff>
                  </to>
                </anchor>
              </controlPr>
            </control>
          </mc:Choice>
        </mc:AlternateContent>
        <mc:AlternateContent xmlns:mc="http://schemas.openxmlformats.org/markup-compatibility/2006">
          <mc:Choice Requires="x14">
            <control shapeId="1258" r:id="rId19" name="Check Box 234">
              <controlPr defaultSize="0" autoFill="0" autoLine="0" autoPict="0">
                <anchor moveWithCells="1">
                  <from>
                    <xdr:col>6</xdr:col>
                    <xdr:colOff>257175</xdr:colOff>
                    <xdr:row>11</xdr:row>
                    <xdr:rowOff>0</xdr:rowOff>
                  </from>
                  <to>
                    <xdr:col>6</xdr:col>
                    <xdr:colOff>561975</xdr:colOff>
                    <xdr:row>12</xdr:row>
                    <xdr:rowOff>0</xdr:rowOff>
                  </to>
                </anchor>
              </controlPr>
            </control>
          </mc:Choice>
        </mc:AlternateContent>
        <mc:AlternateContent xmlns:mc="http://schemas.openxmlformats.org/markup-compatibility/2006">
          <mc:Choice Requires="x14">
            <control shapeId="1264" r:id="rId20" name="Check Box 240">
              <controlPr defaultSize="0" autoFill="0" autoLine="0" autoPict="0">
                <anchor moveWithCells="1">
                  <from>
                    <xdr:col>6</xdr:col>
                    <xdr:colOff>257175</xdr:colOff>
                    <xdr:row>12</xdr:row>
                    <xdr:rowOff>0</xdr:rowOff>
                  </from>
                  <to>
                    <xdr:col>6</xdr:col>
                    <xdr:colOff>561975</xdr:colOff>
                    <xdr:row>13</xdr:row>
                    <xdr:rowOff>0</xdr:rowOff>
                  </to>
                </anchor>
              </controlPr>
            </control>
          </mc:Choice>
        </mc:AlternateContent>
        <mc:AlternateContent xmlns:mc="http://schemas.openxmlformats.org/markup-compatibility/2006">
          <mc:Choice Requires="x14">
            <control shapeId="1270" r:id="rId21" name="Check Box 246">
              <controlPr defaultSize="0" autoFill="0" autoLine="0" autoPict="0">
                <anchor moveWithCells="1">
                  <from>
                    <xdr:col>6</xdr:col>
                    <xdr:colOff>257175</xdr:colOff>
                    <xdr:row>13</xdr:row>
                    <xdr:rowOff>0</xdr:rowOff>
                  </from>
                  <to>
                    <xdr:col>6</xdr:col>
                    <xdr:colOff>561975</xdr:colOff>
                    <xdr:row>14</xdr:row>
                    <xdr:rowOff>0</xdr:rowOff>
                  </to>
                </anchor>
              </controlPr>
            </control>
          </mc:Choice>
        </mc:AlternateContent>
        <mc:AlternateContent xmlns:mc="http://schemas.openxmlformats.org/markup-compatibility/2006">
          <mc:Choice Requires="x14">
            <control shapeId="1276" r:id="rId22" name="Check Box 252">
              <controlPr defaultSize="0" autoFill="0" autoLine="0" autoPict="0">
                <anchor moveWithCells="1">
                  <from>
                    <xdr:col>6</xdr:col>
                    <xdr:colOff>257175</xdr:colOff>
                    <xdr:row>14</xdr:row>
                    <xdr:rowOff>0</xdr:rowOff>
                  </from>
                  <to>
                    <xdr:col>6</xdr:col>
                    <xdr:colOff>561975</xdr:colOff>
                    <xdr:row>15</xdr:row>
                    <xdr:rowOff>0</xdr:rowOff>
                  </to>
                </anchor>
              </controlPr>
            </control>
          </mc:Choice>
        </mc:AlternateContent>
        <mc:AlternateContent xmlns:mc="http://schemas.openxmlformats.org/markup-compatibility/2006">
          <mc:Choice Requires="x14">
            <control shapeId="1282" r:id="rId23" name="Check Box 258">
              <controlPr defaultSize="0" autoFill="0" autoLine="0" autoPict="0">
                <anchor moveWithCells="1">
                  <from>
                    <xdr:col>6</xdr:col>
                    <xdr:colOff>257175</xdr:colOff>
                    <xdr:row>15</xdr:row>
                    <xdr:rowOff>0</xdr:rowOff>
                  </from>
                  <to>
                    <xdr:col>6</xdr:col>
                    <xdr:colOff>561975</xdr:colOff>
                    <xdr:row>16</xdr:row>
                    <xdr:rowOff>0</xdr:rowOff>
                  </to>
                </anchor>
              </controlPr>
            </control>
          </mc:Choice>
        </mc:AlternateContent>
        <mc:AlternateContent xmlns:mc="http://schemas.openxmlformats.org/markup-compatibility/2006">
          <mc:Choice Requires="x14">
            <control shapeId="1288" r:id="rId24" name="Check Box 264">
              <controlPr defaultSize="0" autoFill="0" autoLine="0" autoPict="0">
                <anchor moveWithCells="1">
                  <from>
                    <xdr:col>6</xdr:col>
                    <xdr:colOff>257175</xdr:colOff>
                    <xdr:row>16</xdr:row>
                    <xdr:rowOff>133350</xdr:rowOff>
                  </from>
                  <to>
                    <xdr:col>6</xdr:col>
                    <xdr:colOff>561975</xdr:colOff>
                    <xdr:row>16</xdr:row>
                    <xdr:rowOff>352425</xdr:rowOff>
                  </to>
                </anchor>
              </controlPr>
            </control>
          </mc:Choice>
        </mc:AlternateContent>
        <mc:AlternateContent xmlns:mc="http://schemas.openxmlformats.org/markup-compatibility/2006">
          <mc:Choice Requires="x14">
            <control shapeId="1300" r:id="rId25" name="Check Box 276">
              <controlPr defaultSize="0" autoFill="0" autoLine="0" autoPict="0">
                <anchor moveWithCells="1">
                  <from>
                    <xdr:col>6</xdr:col>
                    <xdr:colOff>257175</xdr:colOff>
                    <xdr:row>17</xdr:row>
                    <xdr:rowOff>19050</xdr:rowOff>
                  </from>
                  <to>
                    <xdr:col>6</xdr:col>
                    <xdr:colOff>561975</xdr:colOff>
                    <xdr:row>18</xdr:row>
                    <xdr:rowOff>19050</xdr:rowOff>
                  </to>
                </anchor>
              </controlPr>
            </control>
          </mc:Choice>
        </mc:AlternateContent>
        <mc:AlternateContent xmlns:mc="http://schemas.openxmlformats.org/markup-compatibility/2006">
          <mc:Choice Requires="x14">
            <control shapeId="1306" r:id="rId26" name="Check Box 282">
              <controlPr defaultSize="0" autoFill="0" autoLine="0" autoPict="0">
                <anchor moveWithCells="1">
                  <from>
                    <xdr:col>6</xdr:col>
                    <xdr:colOff>257175</xdr:colOff>
                    <xdr:row>18</xdr:row>
                    <xdr:rowOff>0</xdr:rowOff>
                  </from>
                  <to>
                    <xdr:col>6</xdr:col>
                    <xdr:colOff>561975</xdr:colOff>
                    <xdr:row>19</xdr:row>
                    <xdr:rowOff>0</xdr:rowOff>
                  </to>
                </anchor>
              </controlPr>
            </control>
          </mc:Choice>
        </mc:AlternateContent>
        <mc:AlternateContent xmlns:mc="http://schemas.openxmlformats.org/markup-compatibility/2006">
          <mc:Choice Requires="x14">
            <control shapeId="1312" r:id="rId27" name="Check Box 288">
              <controlPr defaultSize="0" autoFill="0" autoLine="0" autoPict="0">
                <anchor moveWithCells="1">
                  <from>
                    <xdr:col>6</xdr:col>
                    <xdr:colOff>257175</xdr:colOff>
                    <xdr:row>19</xdr:row>
                    <xdr:rowOff>0</xdr:rowOff>
                  </from>
                  <to>
                    <xdr:col>6</xdr:col>
                    <xdr:colOff>561975</xdr:colOff>
                    <xdr:row>20</xdr:row>
                    <xdr:rowOff>0</xdr:rowOff>
                  </to>
                </anchor>
              </controlPr>
            </control>
          </mc:Choice>
        </mc:AlternateContent>
        <mc:AlternateContent xmlns:mc="http://schemas.openxmlformats.org/markup-compatibility/2006">
          <mc:Choice Requires="x14">
            <control shapeId="1330" r:id="rId28" name="Check Box 306">
              <controlPr defaultSize="0" autoFill="0" autoLine="0" autoPict="0">
                <anchor moveWithCells="1">
                  <from>
                    <xdr:col>6</xdr:col>
                    <xdr:colOff>257175</xdr:colOff>
                    <xdr:row>21</xdr:row>
                    <xdr:rowOff>304800</xdr:rowOff>
                  </from>
                  <to>
                    <xdr:col>6</xdr:col>
                    <xdr:colOff>561975</xdr:colOff>
                    <xdr:row>23</xdr:row>
                    <xdr:rowOff>0</xdr:rowOff>
                  </to>
                </anchor>
              </controlPr>
            </control>
          </mc:Choice>
        </mc:AlternateContent>
        <mc:AlternateContent xmlns:mc="http://schemas.openxmlformats.org/markup-compatibility/2006">
          <mc:Choice Requires="x14">
            <control shapeId="1354" r:id="rId29" name="Check Box 330">
              <controlPr defaultSize="0" autoFill="0" autoLine="0" autoPict="0">
                <anchor moveWithCells="1">
                  <from>
                    <xdr:col>6</xdr:col>
                    <xdr:colOff>257175</xdr:colOff>
                    <xdr:row>23</xdr:row>
                    <xdr:rowOff>0</xdr:rowOff>
                  </from>
                  <to>
                    <xdr:col>6</xdr:col>
                    <xdr:colOff>561975</xdr:colOff>
                    <xdr:row>24</xdr:row>
                    <xdr:rowOff>28575</xdr:rowOff>
                  </to>
                </anchor>
              </controlPr>
            </control>
          </mc:Choice>
        </mc:AlternateContent>
        <mc:AlternateContent xmlns:mc="http://schemas.openxmlformats.org/markup-compatibility/2006">
          <mc:Choice Requires="x14">
            <control shapeId="1360" r:id="rId30" name="Check Box 336">
              <controlPr defaultSize="0" autoFill="0" autoLine="0" autoPict="0">
                <anchor moveWithCells="1">
                  <from>
                    <xdr:col>6</xdr:col>
                    <xdr:colOff>257175</xdr:colOff>
                    <xdr:row>24</xdr:row>
                    <xdr:rowOff>0</xdr:rowOff>
                  </from>
                  <to>
                    <xdr:col>6</xdr:col>
                    <xdr:colOff>561975</xdr:colOff>
                    <xdr:row>25</xdr:row>
                    <xdr:rowOff>19050</xdr:rowOff>
                  </to>
                </anchor>
              </controlPr>
            </control>
          </mc:Choice>
        </mc:AlternateContent>
        <mc:AlternateContent xmlns:mc="http://schemas.openxmlformats.org/markup-compatibility/2006">
          <mc:Choice Requires="x14">
            <control shapeId="1372" r:id="rId31" name="Check Box 348">
              <controlPr defaultSize="0" autoFill="0" autoLine="0" autoPict="0">
                <anchor moveWithCells="1">
                  <from>
                    <xdr:col>6</xdr:col>
                    <xdr:colOff>257175</xdr:colOff>
                    <xdr:row>24</xdr:row>
                    <xdr:rowOff>0</xdr:rowOff>
                  </from>
                  <to>
                    <xdr:col>6</xdr:col>
                    <xdr:colOff>561975</xdr:colOff>
                    <xdr:row>25</xdr:row>
                    <xdr:rowOff>19050</xdr:rowOff>
                  </to>
                </anchor>
              </controlPr>
            </control>
          </mc:Choice>
        </mc:AlternateContent>
        <mc:AlternateContent xmlns:mc="http://schemas.openxmlformats.org/markup-compatibility/2006">
          <mc:Choice Requires="x14">
            <control shapeId="1378" r:id="rId32" name="Check Box 354">
              <controlPr defaultSize="0" autoFill="0" autoLine="0" autoPict="0">
                <anchor moveWithCells="1">
                  <from>
                    <xdr:col>5</xdr:col>
                    <xdr:colOff>257175</xdr:colOff>
                    <xdr:row>9</xdr:row>
                    <xdr:rowOff>0</xdr:rowOff>
                  </from>
                  <to>
                    <xdr:col>5</xdr:col>
                    <xdr:colOff>561975</xdr:colOff>
                    <xdr:row>10</xdr:row>
                    <xdr:rowOff>0</xdr:rowOff>
                  </to>
                </anchor>
              </controlPr>
            </control>
          </mc:Choice>
        </mc:AlternateContent>
        <mc:AlternateContent xmlns:mc="http://schemas.openxmlformats.org/markup-compatibility/2006">
          <mc:Choice Requires="x14">
            <control shapeId="1380" r:id="rId33" name="Check Box 356">
              <controlPr defaultSize="0" autoFill="0" autoLine="0" autoPict="0">
                <anchor moveWithCells="1">
                  <from>
                    <xdr:col>5</xdr:col>
                    <xdr:colOff>257175</xdr:colOff>
                    <xdr:row>10</xdr:row>
                    <xdr:rowOff>0</xdr:rowOff>
                  </from>
                  <to>
                    <xdr:col>5</xdr:col>
                    <xdr:colOff>561975</xdr:colOff>
                    <xdr:row>11</xdr:row>
                    <xdr:rowOff>0</xdr:rowOff>
                  </to>
                </anchor>
              </controlPr>
            </control>
          </mc:Choice>
        </mc:AlternateContent>
        <mc:AlternateContent xmlns:mc="http://schemas.openxmlformats.org/markup-compatibility/2006">
          <mc:Choice Requires="x14">
            <control shapeId="1385" r:id="rId34" name="Check Box 361">
              <controlPr defaultSize="0" autoFill="0" autoLine="0" autoPict="0">
                <anchor moveWithCells="1">
                  <from>
                    <xdr:col>5</xdr:col>
                    <xdr:colOff>257175</xdr:colOff>
                    <xdr:row>26</xdr:row>
                    <xdr:rowOff>0</xdr:rowOff>
                  </from>
                  <to>
                    <xdr:col>5</xdr:col>
                    <xdr:colOff>561975</xdr:colOff>
                    <xdr:row>27</xdr:row>
                    <xdr:rowOff>28575</xdr:rowOff>
                  </to>
                </anchor>
              </controlPr>
            </control>
          </mc:Choice>
        </mc:AlternateContent>
        <mc:AlternateContent xmlns:mc="http://schemas.openxmlformats.org/markup-compatibility/2006">
          <mc:Choice Requires="x14">
            <control shapeId="1390" r:id="rId35" name="Check Box 366">
              <controlPr defaultSize="0" autoFill="0" autoLine="0" autoPict="0">
                <anchor moveWithCells="1">
                  <from>
                    <xdr:col>5</xdr:col>
                    <xdr:colOff>257175</xdr:colOff>
                    <xdr:row>27</xdr:row>
                    <xdr:rowOff>0</xdr:rowOff>
                  </from>
                  <to>
                    <xdr:col>5</xdr:col>
                    <xdr:colOff>561975</xdr:colOff>
                    <xdr:row>28</xdr:row>
                    <xdr:rowOff>28575</xdr:rowOff>
                  </to>
                </anchor>
              </controlPr>
            </control>
          </mc:Choice>
        </mc:AlternateContent>
        <mc:AlternateContent xmlns:mc="http://schemas.openxmlformats.org/markup-compatibility/2006">
          <mc:Choice Requires="x14">
            <control shapeId="1393" r:id="rId36" name="Check Box 369">
              <controlPr defaultSize="0" autoFill="0" autoLine="0" autoPict="0">
                <anchor moveWithCells="1">
                  <from>
                    <xdr:col>5</xdr:col>
                    <xdr:colOff>257175</xdr:colOff>
                    <xdr:row>28</xdr:row>
                    <xdr:rowOff>0</xdr:rowOff>
                  </from>
                  <to>
                    <xdr:col>5</xdr:col>
                    <xdr:colOff>561975</xdr:colOff>
                    <xdr:row>29</xdr:row>
                    <xdr:rowOff>19050</xdr:rowOff>
                  </to>
                </anchor>
              </controlPr>
            </control>
          </mc:Choice>
        </mc:AlternateContent>
        <mc:AlternateContent xmlns:mc="http://schemas.openxmlformats.org/markup-compatibility/2006">
          <mc:Choice Requires="x14">
            <control shapeId="1396" r:id="rId37" name="Check Box 372">
              <controlPr defaultSize="0" autoFill="0" autoLine="0" autoPict="0">
                <anchor moveWithCells="1">
                  <from>
                    <xdr:col>5</xdr:col>
                    <xdr:colOff>257175</xdr:colOff>
                    <xdr:row>28</xdr:row>
                    <xdr:rowOff>0</xdr:rowOff>
                  </from>
                  <to>
                    <xdr:col>5</xdr:col>
                    <xdr:colOff>561975</xdr:colOff>
                    <xdr:row>29</xdr:row>
                    <xdr:rowOff>19050</xdr:rowOff>
                  </to>
                </anchor>
              </controlPr>
            </control>
          </mc:Choice>
        </mc:AlternateContent>
        <mc:AlternateContent xmlns:mc="http://schemas.openxmlformats.org/markup-compatibility/2006">
          <mc:Choice Requires="x14">
            <control shapeId="1399" r:id="rId38" name="Check Box 375">
              <controlPr defaultSize="0" autoFill="0" autoLine="0" autoPict="0">
                <anchor moveWithCells="1">
                  <from>
                    <xdr:col>5</xdr:col>
                    <xdr:colOff>257175</xdr:colOff>
                    <xdr:row>29</xdr:row>
                    <xdr:rowOff>0</xdr:rowOff>
                  </from>
                  <to>
                    <xdr:col>5</xdr:col>
                    <xdr:colOff>561975</xdr:colOff>
                    <xdr:row>30</xdr:row>
                    <xdr:rowOff>19050</xdr:rowOff>
                  </to>
                </anchor>
              </controlPr>
            </control>
          </mc:Choice>
        </mc:AlternateContent>
        <mc:AlternateContent xmlns:mc="http://schemas.openxmlformats.org/markup-compatibility/2006">
          <mc:Choice Requires="x14">
            <control shapeId="1402" r:id="rId39" name="Check Box 378">
              <controlPr defaultSize="0" autoFill="0" autoLine="0" autoPict="0">
                <anchor moveWithCells="1">
                  <from>
                    <xdr:col>6</xdr:col>
                    <xdr:colOff>257175</xdr:colOff>
                    <xdr:row>26</xdr:row>
                    <xdr:rowOff>0</xdr:rowOff>
                  </from>
                  <to>
                    <xdr:col>6</xdr:col>
                    <xdr:colOff>561975</xdr:colOff>
                    <xdr:row>27</xdr:row>
                    <xdr:rowOff>28575</xdr:rowOff>
                  </to>
                </anchor>
              </controlPr>
            </control>
          </mc:Choice>
        </mc:AlternateContent>
        <mc:AlternateContent xmlns:mc="http://schemas.openxmlformats.org/markup-compatibility/2006">
          <mc:Choice Requires="x14">
            <control shapeId="1405" r:id="rId40" name="Check Box 381">
              <controlPr defaultSize="0" autoFill="0" autoLine="0" autoPict="0">
                <anchor moveWithCells="1">
                  <from>
                    <xdr:col>6</xdr:col>
                    <xdr:colOff>257175</xdr:colOff>
                    <xdr:row>27</xdr:row>
                    <xdr:rowOff>0</xdr:rowOff>
                  </from>
                  <to>
                    <xdr:col>6</xdr:col>
                    <xdr:colOff>561975</xdr:colOff>
                    <xdr:row>28</xdr:row>
                    <xdr:rowOff>28575</xdr:rowOff>
                  </to>
                </anchor>
              </controlPr>
            </control>
          </mc:Choice>
        </mc:AlternateContent>
        <mc:AlternateContent xmlns:mc="http://schemas.openxmlformats.org/markup-compatibility/2006">
          <mc:Choice Requires="x14">
            <control shapeId="1408" r:id="rId41" name="Check Box 384">
              <controlPr defaultSize="0" autoFill="0" autoLine="0" autoPict="0">
                <anchor moveWithCells="1">
                  <from>
                    <xdr:col>6</xdr:col>
                    <xdr:colOff>257175</xdr:colOff>
                    <xdr:row>28</xdr:row>
                    <xdr:rowOff>0</xdr:rowOff>
                  </from>
                  <to>
                    <xdr:col>6</xdr:col>
                    <xdr:colOff>561975</xdr:colOff>
                    <xdr:row>29</xdr:row>
                    <xdr:rowOff>19050</xdr:rowOff>
                  </to>
                </anchor>
              </controlPr>
            </control>
          </mc:Choice>
        </mc:AlternateContent>
        <mc:AlternateContent xmlns:mc="http://schemas.openxmlformats.org/markup-compatibility/2006">
          <mc:Choice Requires="x14">
            <control shapeId="1411" r:id="rId42" name="Check Box 387">
              <controlPr defaultSize="0" autoFill="0" autoLine="0" autoPict="0">
                <anchor moveWithCells="1">
                  <from>
                    <xdr:col>6</xdr:col>
                    <xdr:colOff>257175</xdr:colOff>
                    <xdr:row>28</xdr:row>
                    <xdr:rowOff>0</xdr:rowOff>
                  </from>
                  <to>
                    <xdr:col>6</xdr:col>
                    <xdr:colOff>561975</xdr:colOff>
                    <xdr:row>29</xdr:row>
                    <xdr:rowOff>19050</xdr:rowOff>
                  </to>
                </anchor>
              </controlPr>
            </control>
          </mc:Choice>
        </mc:AlternateContent>
        <mc:AlternateContent xmlns:mc="http://schemas.openxmlformats.org/markup-compatibility/2006">
          <mc:Choice Requires="x14">
            <control shapeId="1414" r:id="rId43" name="Check Box 390">
              <controlPr defaultSize="0" autoFill="0" autoLine="0" autoPict="0">
                <anchor moveWithCells="1">
                  <from>
                    <xdr:col>6</xdr:col>
                    <xdr:colOff>257175</xdr:colOff>
                    <xdr:row>29</xdr:row>
                    <xdr:rowOff>0</xdr:rowOff>
                  </from>
                  <to>
                    <xdr:col>6</xdr:col>
                    <xdr:colOff>561975</xdr:colOff>
                    <xdr:row>30</xdr:row>
                    <xdr:rowOff>19050</xdr:rowOff>
                  </to>
                </anchor>
              </controlPr>
            </control>
          </mc:Choice>
        </mc:AlternateContent>
        <mc:AlternateContent xmlns:mc="http://schemas.openxmlformats.org/markup-compatibility/2006">
          <mc:Choice Requires="x14">
            <control shapeId="1420" r:id="rId44" name="Check Box 396">
              <controlPr defaultSize="0" autoFill="0" autoLine="0" autoPict="0">
                <anchor moveWithCells="1">
                  <from>
                    <xdr:col>6</xdr:col>
                    <xdr:colOff>257175</xdr:colOff>
                    <xdr:row>33</xdr:row>
                    <xdr:rowOff>0</xdr:rowOff>
                  </from>
                  <to>
                    <xdr:col>6</xdr:col>
                    <xdr:colOff>561975</xdr:colOff>
                    <xdr:row>34</xdr:row>
                    <xdr:rowOff>28575</xdr:rowOff>
                  </to>
                </anchor>
              </controlPr>
            </control>
          </mc:Choice>
        </mc:AlternateContent>
        <mc:AlternateContent xmlns:mc="http://schemas.openxmlformats.org/markup-compatibility/2006">
          <mc:Choice Requires="x14">
            <control shapeId="1426" r:id="rId45" name="Check Box 402">
              <controlPr defaultSize="0" autoFill="0" autoLine="0" autoPict="0">
                <anchor moveWithCells="1">
                  <from>
                    <xdr:col>5</xdr:col>
                    <xdr:colOff>257175</xdr:colOff>
                    <xdr:row>33</xdr:row>
                    <xdr:rowOff>0</xdr:rowOff>
                  </from>
                  <to>
                    <xdr:col>5</xdr:col>
                    <xdr:colOff>561975</xdr:colOff>
                    <xdr:row>34</xdr:row>
                    <xdr:rowOff>28575</xdr:rowOff>
                  </to>
                </anchor>
              </controlPr>
            </control>
          </mc:Choice>
        </mc:AlternateContent>
        <mc:AlternateContent xmlns:mc="http://schemas.openxmlformats.org/markup-compatibility/2006">
          <mc:Choice Requires="x14">
            <control shapeId="1432" r:id="rId46" name="Check Box 408">
              <controlPr defaultSize="0" autoFill="0" autoLine="0" autoPict="0">
                <anchor moveWithCells="1">
                  <from>
                    <xdr:col>6</xdr:col>
                    <xdr:colOff>257175</xdr:colOff>
                    <xdr:row>36</xdr:row>
                    <xdr:rowOff>0</xdr:rowOff>
                  </from>
                  <to>
                    <xdr:col>6</xdr:col>
                    <xdr:colOff>561975</xdr:colOff>
                    <xdr:row>37</xdr:row>
                    <xdr:rowOff>28575</xdr:rowOff>
                  </to>
                </anchor>
              </controlPr>
            </control>
          </mc:Choice>
        </mc:AlternateContent>
        <mc:AlternateContent xmlns:mc="http://schemas.openxmlformats.org/markup-compatibility/2006">
          <mc:Choice Requires="x14">
            <control shapeId="1439" r:id="rId47" name="Check Box 415">
              <controlPr defaultSize="0" autoFill="0" autoLine="0" autoPict="0">
                <anchor moveWithCells="1">
                  <from>
                    <xdr:col>5</xdr:col>
                    <xdr:colOff>257175</xdr:colOff>
                    <xdr:row>36</xdr:row>
                    <xdr:rowOff>0</xdr:rowOff>
                  </from>
                  <to>
                    <xdr:col>5</xdr:col>
                    <xdr:colOff>561975</xdr:colOff>
                    <xdr:row>37</xdr:row>
                    <xdr:rowOff>28575</xdr:rowOff>
                  </to>
                </anchor>
              </controlPr>
            </control>
          </mc:Choice>
        </mc:AlternateContent>
        <mc:AlternateContent xmlns:mc="http://schemas.openxmlformats.org/markup-compatibility/2006">
          <mc:Choice Requires="x14">
            <control shapeId="1454" r:id="rId48" name="Check Box 430">
              <controlPr defaultSize="0" autoFill="0" autoLine="0" autoPict="0">
                <anchor moveWithCells="1">
                  <from>
                    <xdr:col>5</xdr:col>
                    <xdr:colOff>257175</xdr:colOff>
                    <xdr:row>38</xdr:row>
                    <xdr:rowOff>47625</xdr:rowOff>
                  </from>
                  <to>
                    <xdr:col>5</xdr:col>
                    <xdr:colOff>561975</xdr:colOff>
                    <xdr:row>38</xdr:row>
                    <xdr:rowOff>266700</xdr:rowOff>
                  </to>
                </anchor>
              </controlPr>
            </control>
          </mc:Choice>
        </mc:AlternateContent>
        <mc:AlternateContent xmlns:mc="http://schemas.openxmlformats.org/markup-compatibility/2006">
          <mc:Choice Requires="x14">
            <control shapeId="1460" r:id="rId49" name="Check Box 436">
              <controlPr defaultSize="0" autoFill="0" autoLine="0" autoPict="0">
                <anchor moveWithCells="1">
                  <from>
                    <xdr:col>6</xdr:col>
                    <xdr:colOff>257175</xdr:colOff>
                    <xdr:row>38</xdr:row>
                    <xdr:rowOff>38100</xdr:rowOff>
                  </from>
                  <to>
                    <xdr:col>6</xdr:col>
                    <xdr:colOff>561975</xdr:colOff>
                    <xdr:row>38</xdr:row>
                    <xdr:rowOff>257175</xdr:rowOff>
                  </to>
                </anchor>
              </controlPr>
            </control>
          </mc:Choice>
        </mc:AlternateContent>
        <mc:AlternateContent xmlns:mc="http://schemas.openxmlformats.org/markup-compatibility/2006">
          <mc:Choice Requires="x14">
            <control shapeId="1466" r:id="rId50" name="Check Box 442">
              <controlPr defaultSize="0" autoFill="0" autoLine="0" autoPict="0">
                <anchor moveWithCells="1">
                  <from>
                    <xdr:col>5</xdr:col>
                    <xdr:colOff>257175</xdr:colOff>
                    <xdr:row>39</xdr:row>
                    <xdr:rowOff>142875</xdr:rowOff>
                  </from>
                  <to>
                    <xdr:col>5</xdr:col>
                    <xdr:colOff>561975</xdr:colOff>
                    <xdr:row>40</xdr:row>
                    <xdr:rowOff>104775</xdr:rowOff>
                  </to>
                </anchor>
              </controlPr>
            </control>
          </mc:Choice>
        </mc:AlternateContent>
        <mc:AlternateContent xmlns:mc="http://schemas.openxmlformats.org/markup-compatibility/2006">
          <mc:Choice Requires="x14">
            <control shapeId="1472" r:id="rId51" name="Check Box 448">
              <controlPr defaultSize="0" autoFill="0" autoLine="0" autoPict="0">
                <anchor moveWithCells="1">
                  <from>
                    <xdr:col>6</xdr:col>
                    <xdr:colOff>257175</xdr:colOff>
                    <xdr:row>39</xdr:row>
                    <xdr:rowOff>142875</xdr:rowOff>
                  </from>
                  <to>
                    <xdr:col>6</xdr:col>
                    <xdr:colOff>561975</xdr:colOff>
                    <xdr:row>40</xdr:row>
                    <xdr:rowOff>104775</xdr:rowOff>
                  </to>
                </anchor>
              </controlPr>
            </control>
          </mc:Choice>
        </mc:AlternateContent>
        <mc:AlternateContent xmlns:mc="http://schemas.openxmlformats.org/markup-compatibility/2006">
          <mc:Choice Requires="x14">
            <control shapeId="1475" r:id="rId52" name="Check Box 451">
              <controlPr defaultSize="0" autoFill="0" autoLine="0" autoPict="0">
                <anchor moveWithCells="1">
                  <from>
                    <xdr:col>5</xdr:col>
                    <xdr:colOff>257175</xdr:colOff>
                    <xdr:row>41</xdr:row>
                    <xdr:rowOff>142875</xdr:rowOff>
                  </from>
                  <to>
                    <xdr:col>5</xdr:col>
                    <xdr:colOff>561975</xdr:colOff>
                    <xdr:row>42</xdr:row>
                    <xdr:rowOff>114300</xdr:rowOff>
                  </to>
                </anchor>
              </controlPr>
            </control>
          </mc:Choice>
        </mc:AlternateContent>
        <mc:AlternateContent xmlns:mc="http://schemas.openxmlformats.org/markup-compatibility/2006">
          <mc:Choice Requires="x14">
            <control shapeId="1478" r:id="rId53" name="Check Box 454">
              <controlPr defaultSize="0" autoFill="0" autoLine="0" autoPict="0">
                <anchor moveWithCells="1">
                  <from>
                    <xdr:col>6</xdr:col>
                    <xdr:colOff>257175</xdr:colOff>
                    <xdr:row>41</xdr:row>
                    <xdr:rowOff>142875</xdr:rowOff>
                  </from>
                  <to>
                    <xdr:col>6</xdr:col>
                    <xdr:colOff>561975</xdr:colOff>
                    <xdr:row>42</xdr:row>
                    <xdr:rowOff>114300</xdr:rowOff>
                  </to>
                </anchor>
              </controlPr>
            </control>
          </mc:Choice>
        </mc:AlternateContent>
        <mc:AlternateContent xmlns:mc="http://schemas.openxmlformats.org/markup-compatibility/2006">
          <mc:Choice Requires="x14">
            <control shapeId="1487" r:id="rId54" name="Check Box 463">
              <controlPr defaultSize="0" autoFill="0" autoLine="0" autoPict="0">
                <anchor moveWithCells="1">
                  <from>
                    <xdr:col>5</xdr:col>
                    <xdr:colOff>257175</xdr:colOff>
                    <xdr:row>45</xdr:row>
                    <xdr:rowOff>0</xdr:rowOff>
                  </from>
                  <to>
                    <xdr:col>5</xdr:col>
                    <xdr:colOff>561975</xdr:colOff>
                    <xdr:row>45</xdr:row>
                    <xdr:rowOff>219075</xdr:rowOff>
                  </to>
                </anchor>
              </controlPr>
            </control>
          </mc:Choice>
        </mc:AlternateContent>
        <mc:AlternateContent xmlns:mc="http://schemas.openxmlformats.org/markup-compatibility/2006">
          <mc:Choice Requires="x14">
            <control shapeId="1490" r:id="rId55" name="Check Box 466">
              <controlPr defaultSize="0" autoFill="0" autoLine="0" autoPict="0">
                <anchor moveWithCells="1">
                  <from>
                    <xdr:col>6</xdr:col>
                    <xdr:colOff>257175</xdr:colOff>
                    <xdr:row>45</xdr:row>
                    <xdr:rowOff>0</xdr:rowOff>
                  </from>
                  <to>
                    <xdr:col>6</xdr:col>
                    <xdr:colOff>561975</xdr:colOff>
                    <xdr:row>45</xdr:row>
                    <xdr:rowOff>219075</xdr:rowOff>
                  </to>
                </anchor>
              </controlPr>
            </control>
          </mc:Choice>
        </mc:AlternateContent>
        <mc:AlternateContent xmlns:mc="http://schemas.openxmlformats.org/markup-compatibility/2006">
          <mc:Choice Requires="x14">
            <control shapeId="1493" r:id="rId56" name="Check Box 469">
              <controlPr defaultSize="0" autoFill="0" autoLine="0" autoPict="0">
                <anchor moveWithCells="1">
                  <from>
                    <xdr:col>5</xdr:col>
                    <xdr:colOff>257175</xdr:colOff>
                    <xdr:row>46</xdr:row>
                    <xdr:rowOff>0</xdr:rowOff>
                  </from>
                  <to>
                    <xdr:col>5</xdr:col>
                    <xdr:colOff>561975</xdr:colOff>
                    <xdr:row>46</xdr:row>
                    <xdr:rowOff>219075</xdr:rowOff>
                  </to>
                </anchor>
              </controlPr>
            </control>
          </mc:Choice>
        </mc:AlternateContent>
        <mc:AlternateContent xmlns:mc="http://schemas.openxmlformats.org/markup-compatibility/2006">
          <mc:Choice Requires="x14">
            <control shapeId="1496" r:id="rId57" name="Check Box 472">
              <controlPr defaultSize="0" autoFill="0" autoLine="0" autoPict="0">
                <anchor moveWithCells="1">
                  <from>
                    <xdr:col>6</xdr:col>
                    <xdr:colOff>257175</xdr:colOff>
                    <xdr:row>46</xdr:row>
                    <xdr:rowOff>0</xdr:rowOff>
                  </from>
                  <to>
                    <xdr:col>6</xdr:col>
                    <xdr:colOff>561975</xdr:colOff>
                    <xdr:row>46</xdr:row>
                    <xdr:rowOff>219075</xdr:rowOff>
                  </to>
                </anchor>
              </controlPr>
            </control>
          </mc:Choice>
        </mc:AlternateContent>
        <mc:AlternateContent xmlns:mc="http://schemas.openxmlformats.org/markup-compatibility/2006">
          <mc:Choice Requires="x14">
            <control shapeId="1499" r:id="rId58" name="Check Box 475">
              <controlPr defaultSize="0" autoFill="0" autoLine="0" autoPict="0">
                <anchor moveWithCells="1">
                  <from>
                    <xdr:col>5</xdr:col>
                    <xdr:colOff>257175</xdr:colOff>
                    <xdr:row>47</xdr:row>
                    <xdr:rowOff>0</xdr:rowOff>
                  </from>
                  <to>
                    <xdr:col>5</xdr:col>
                    <xdr:colOff>561975</xdr:colOff>
                    <xdr:row>47</xdr:row>
                    <xdr:rowOff>219075</xdr:rowOff>
                  </to>
                </anchor>
              </controlPr>
            </control>
          </mc:Choice>
        </mc:AlternateContent>
        <mc:AlternateContent xmlns:mc="http://schemas.openxmlformats.org/markup-compatibility/2006">
          <mc:Choice Requires="x14">
            <control shapeId="1502" r:id="rId59" name="Check Box 478">
              <controlPr defaultSize="0" autoFill="0" autoLine="0" autoPict="0">
                <anchor moveWithCells="1">
                  <from>
                    <xdr:col>6</xdr:col>
                    <xdr:colOff>257175</xdr:colOff>
                    <xdr:row>47</xdr:row>
                    <xdr:rowOff>0</xdr:rowOff>
                  </from>
                  <to>
                    <xdr:col>6</xdr:col>
                    <xdr:colOff>561975</xdr:colOff>
                    <xdr:row>47</xdr:row>
                    <xdr:rowOff>219075</xdr:rowOff>
                  </to>
                </anchor>
              </controlPr>
            </control>
          </mc:Choice>
        </mc:AlternateContent>
        <mc:AlternateContent xmlns:mc="http://schemas.openxmlformats.org/markup-compatibility/2006">
          <mc:Choice Requires="x14">
            <control shapeId="1505" r:id="rId60" name="Check Box 481">
              <controlPr defaultSize="0" autoFill="0" autoLine="0" autoPict="0">
                <anchor moveWithCells="1">
                  <from>
                    <xdr:col>5</xdr:col>
                    <xdr:colOff>257175</xdr:colOff>
                    <xdr:row>48</xdr:row>
                    <xdr:rowOff>0</xdr:rowOff>
                  </from>
                  <to>
                    <xdr:col>5</xdr:col>
                    <xdr:colOff>561975</xdr:colOff>
                    <xdr:row>48</xdr:row>
                    <xdr:rowOff>219075</xdr:rowOff>
                  </to>
                </anchor>
              </controlPr>
            </control>
          </mc:Choice>
        </mc:AlternateContent>
        <mc:AlternateContent xmlns:mc="http://schemas.openxmlformats.org/markup-compatibility/2006">
          <mc:Choice Requires="x14">
            <control shapeId="1508" r:id="rId61" name="Check Box 484">
              <controlPr defaultSize="0" autoFill="0" autoLine="0" autoPict="0">
                <anchor moveWithCells="1">
                  <from>
                    <xdr:col>6</xdr:col>
                    <xdr:colOff>257175</xdr:colOff>
                    <xdr:row>48</xdr:row>
                    <xdr:rowOff>0</xdr:rowOff>
                  </from>
                  <to>
                    <xdr:col>6</xdr:col>
                    <xdr:colOff>561975</xdr:colOff>
                    <xdr:row>48</xdr:row>
                    <xdr:rowOff>219075</xdr:rowOff>
                  </to>
                </anchor>
              </controlPr>
            </control>
          </mc:Choice>
        </mc:AlternateContent>
        <mc:AlternateContent xmlns:mc="http://schemas.openxmlformats.org/markup-compatibility/2006">
          <mc:Choice Requires="x14">
            <control shapeId="1511" r:id="rId62" name="Check Box 487">
              <controlPr defaultSize="0" autoFill="0" autoLine="0" autoPict="0">
                <anchor moveWithCells="1">
                  <from>
                    <xdr:col>5</xdr:col>
                    <xdr:colOff>257175</xdr:colOff>
                    <xdr:row>49</xdr:row>
                    <xdr:rowOff>0</xdr:rowOff>
                  </from>
                  <to>
                    <xdr:col>5</xdr:col>
                    <xdr:colOff>561975</xdr:colOff>
                    <xdr:row>49</xdr:row>
                    <xdr:rowOff>219075</xdr:rowOff>
                  </to>
                </anchor>
              </controlPr>
            </control>
          </mc:Choice>
        </mc:AlternateContent>
        <mc:AlternateContent xmlns:mc="http://schemas.openxmlformats.org/markup-compatibility/2006">
          <mc:Choice Requires="x14">
            <control shapeId="1514" r:id="rId63" name="Check Box 490">
              <controlPr defaultSize="0" autoFill="0" autoLine="0" autoPict="0">
                <anchor moveWithCells="1">
                  <from>
                    <xdr:col>6</xdr:col>
                    <xdr:colOff>257175</xdr:colOff>
                    <xdr:row>49</xdr:row>
                    <xdr:rowOff>0</xdr:rowOff>
                  </from>
                  <to>
                    <xdr:col>6</xdr:col>
                    <xdr:colOff>561975</xdr:colOff>
                    <xdr:row>49</xdr:row>
                    <xdr:rowOff>219075</xdr:rowOff>
                  </to>
                </anchor>
              </controlPr>
            </control>
          </mc:Choice>
        </mc:AlternateContent>
        <mc:AlternateContent xmlns:mc="http://schemas.openxmlformats.org/markup-compatibility/2006">
          <mc:Choice Requires="x14">
            <control shapeId="1523" r:id="rId64" name="Check Box 499">
              <controlPr defaultSize="0" autoFill="0" autoLine="0" autoPict="0">
                <anchor moveWithCells="1">
                  <from>
                    <xdr:col>5</xdr:col>
                    <xdr:colOff>257175</xdr:colOff>
                    <xdr:row>50</xdr:row>
                    <xdr:rowOff>57150</xdr:rowOff>
                  </from>
                  <to>
                    <xdr:col>5</xdr:col>
                    <xdr:colOff>561975</xdr:colOff>
                    <xdr:row>50</xdr:row>
                    <xdr:rowOff>276225</xdr:rowOff>
                  </to>
                </anchor>
              </controlPr>
            </control>
          </mc:Choice>
        </mc:AlternateContent>
        <mc:AlternateContent xmlns:mc="http://schemas.openxmlformats.org/markup-compatibility/2006">
          <mc:Choice Requires="x14">
            <control shapeId="1526" r:id="rId65" name="Check Box 502">
              <controlPr defaultSize="0" autoFill="0" autoLine="0" autoPict="0">
                <anchor moveWithCells="1">
                  <from>
                    <xdr:col>6</xdr:col>
                    <xdr:colOff>257175</xdr:colOff>
                    <xdr:row>50</xdr:row>
                    <xdr:rowOff>47625</xdr:rowOff>
                  </from>
                  <to>
                    <xdr:col>6</xdr:col>
                    <xdr:colOff>561975</xdr:colOff>
                    <xdr:row>50</xdr:row>
                    <xdr:rowOff>266700</xdr:rowOff>
                  </to>
                </anchor>
              </controlPr>
            </control>
          </mc:Choice>
        </mc:AlternateContent>
        <mc:AlternateContent xmlns:mc="http://schemas.openxmlformats.org/markup-compatibility/2006">
          <mc:Choice Requires="x14">
            <control shapeId="1529" r:id="rId66" name="Check Box 505">
              <controlPr defaultSize="0" autoFill="0" autoLine="0" autoPict="0">
                <anchor moveWithCells="1">
                  <from>
                    <xdr:col>5</xdr:col>
                    <xdr:colOff>266700</xdr:colOff>
                    <xdr:row>51</xdr:row>
                    <xdr:rowOff>38100</xdr:rowOff>
                  </from>
                  <to>
                    <xdr:col>5</xdr:col>
                    <xdr:colOff>571500</xdr:colOff>
                    <xdr:row>51</xdr:row>
                    <xdr:rowOff>257175</xdr:rowOff>
                  </to>
                </anchor>
              </controlPr>
            </control>
          </mc:Choice>
        </mc:AlternateContent>
        <mc:AlternateContent xmlns:mc="http://schemas.openxmlformats.org/markup-compatibility/2006">
          <mc:Choice Requires="x14">
            <control shapeId="1532" r:id="rId67" name="Check Box 508">
              <controlPr defaultSize="0" autoFill="0" autoLine="0" autoPict="0">
                <anchor moveWithCells="1">
                  <from>
                    <xdr:col>6</xdr:col>
                    <xdr:colOff>257175</xdr:colOff>
                    <xdr:row>51</xdr:row>
                    <xdr:rowOff>38100</xdr:rowOff>
                  </from>
                  <to>
                    <xdr:col>6</xdr:col>
                    <xdr:colOff>561975</xdr:colOff>
                    <xdr:row>51</xdr:row>
                    <xdr:rowOff>257175</xdr:rowOff>
                  </to>
                </anchor>
              </controlPr>
            </control>
          </mc:Choice>
        </mc:AlternateContent>
        <mc:AlternateContent xmlns:mc="http://schemas.openxmlformats.org/markup-compatibility/2006">
          <mc:Choice Requires="x14">
            <control shapeId="1535" r:id="rId68" name="Check Box 511">
              <controlPr defaultSize="0" autoFill="0" autoLine="0" autoPict="0">
                <anchor moveWithCells="1">
                  <from>
                    <xdr:col>5</xdr:col>
                    <xdr:colOff>257175</xdr:colOff>
                    <xdr:row>51</xdr:row>
                    <xdr:rowOff>314325</xdr:rowOff>
                  </from>
                  <to>
                    <xdr:col>5</xdr:col>
                    <xdr:colOff>561975</xdr:colOff>
                    <xdr:row>52</xdr:row>
                    <xdr:rowOff>209550</xdr:rowOff>
                  </to>
                </anchor>
              </controlPr>
            </control>
          </mc:Choice>
        </mc:AlternateContent>
        <mc:AlternateContent xmlns:mc="http://schemas.openxmlformats.org/markup-compatibility/2006">
          <mc:Choice Requires="x14">
            <control shapeId="1538" r:id="rId69" name="Check Box 514">
              <controlPr defaultSize="0" autoFill="0" autoLine="0" autoPict="0">
                <anchor moveWithCells="1">
                  <from>
                    <xdr:col>6</xdr:col>
                    <xdr:colOff>257175</xdr:colOff>
                    <xdr:row>51</xdr:row>
                    <xdr:rowOff>314325</xdr:rowOff>
                  </from>
                  <to>
                    <xdr:col>6</xdr:col>
                    <xdr:colOff>561975</xdr:colOff>
                    <xdr:row>52</xdr:row>
                    <xdr:rowOff>209550</xdr:rowOff>
                  </to>
                </anchor>
              </controlPr>
            </control>
          </mc:Choice>
        </mc:AlternateContent>
        <mc:AlternateContent xmlns:mc="http://schemas.openxmlformats.org/markup-compatibility/2006">
          <mc:Choice Requires="x14">
            <control shapeId="1541" r:id="rId70" name="Check Box 517">
              <controlPr defaultSize="0" autoFill="0" autoLine="0" autoPict="0">
                <anchor moveWithCells="1">
                  <from>
                    <xdr:col>5</xdr:col>
                    <xdr:colOff>257175</xdr:colOff>
                    <xdr:row>54</xdr:row>
                    <xdr:rowOff>219075</xdr:rowOff>
                  </from>
                  <to>
                    <xdr:col>5</xdr:col>
                    <xdr:colOff>561975</xdr:colOff>
                    <xdr:row>55</xdr:row>
                    <xdr:rowOff>38100</xdr:rowOff>
                  </to>
                </anchor>
              </controlPr>
            </control>
          </mc:Choice>
        </mc:AlternateContent>
        <mc:AlternateContent xmlns:mc="http://schemas.openxmlformats.org/markup-compatibility/2006">
          <mc:Choice Requires="x14">
            <control shapeId="1544" r:id="rId71" name="Check Box 520">
              <controlPr defaultSize="0" autoFill="0" autoLine="0" autoPict="0">
                <anchor moveWithCells="1">
                  <from>
                    <xdr:col>6</xdr:col>
                    <xdr:colOff>238125</xdr:colOff>
                    <xdr:row>54</xdr:row>
                    <xdr:rowOff>219075</xdr:rowOff>
                  </from>
                  <to>
                    <xdr:col>6</xdr:col>
                    <xdr:colOff>542925</xdr:colOff>
                    <xdr:row>55</xdr:row>
                    <xdr:rowOff>38100</xdr:rowOff>
                  </to>
                </anchor>
              </controlPr>
            </control>
          </mc:Choice>
        </mc:AlternateContent>
        <mc:AlternateContent xmlns:mc="http://schemas.openxmlformats.org/markup-compatibility/2006">
          <mc:Choice Requires="x14">
            <control shapeId="1547" r:id="rId72" name="Check Box 523">
              <controlPr defaultSize="0" autoFill="0" autoLine="0" autoPict="0">
                <anchor moveWithCells="1">
                  <from>
                    <xdr:col>5</xdr:col>
                    <xdr:colOff>257175</xdr:colOff>
                    <xdr:row>56</xdr:row>
                    <xdr:rowOff>19050</xdr:rowOff>
                  </from>
                  <to>
                    <xdr:col>5</xdr:col>
                    <xdr:colOff>561975</xdr:colOff>
                    <xdr:row>56</xdr:row>
                    <xdr:rowOff>238125</xdr:rowOff>
                  </to>
                </anchor>
              </controlPr>
            </control>
          </mc:Choice>
        </mc:AlternateContent>
        <mc:AlternateContent xmlns:mc="http://schemas.openxmlformats.org/markup-compatibility/2006">
          <mc:Choice Requires="x14">
            <control shapeId="1550" r:id="rId73" name="Check Box 526">
              <controlPr defaultSize="0" autoFill="0" autoLine="0" autoPict="0">
                <anchor moveWithCells="1">
                  <from>
                    <xdr:col>6</xdr:col>
                    <xdr:colOff>247650</xdr:colOff>
                    <xdr:row>55</xdr:row>
                    <xdr:rowOff>323850</xdr:rowOff>
                  </from>
                  <to>
                    <xdr:col>6</xdr:col>
                    <xdr:colOff>552450</xdr:colOff>
                    <xdr:row>57</xdr:row>
                    <xdr:rowOff>28575</xdr:rowOff>
                  </to>
                </anchor>
              </controlPr>
            </control>
          </mc:Choice>
        </mc:AlternateContent>
        <mc:AlternateContent xmlns:mc="http://schemas.openxmlformats.org/markup-compatibility/2006">
          <mc:Choice Requires="x14">
            <control shapeId="1559" r:id="rId74" name="Check Box 535">
              <controlPr defaultSize="0" autoFill="0" autoLine="0" autoPict="0">
                <anchor moveWithCells="1">
                  <from>
                    <xdr:col>5</xdr:col>
                    <xdr:colOff>257175</xdr:colOff>
                    <xdr:row>57</xdr:row>
                    <xdr:rowOff>57150</xdr:rowOff>
                  </from>
                  <to>
                    <xdr:col>5</xdr:col>
                    <xdr:colOff>561975</xdr:colOff>
                    <xdr:row>57</xdr:row>
                    <xdr:rowOff>323850</xdr:rowOff>
                  </to>
                </anchor>
              </controlPr>
            </control>
          </mc:Choice>
        </mc:AlternateContent>
        <mc:AlternateContent xmlns:mc="http://schemas.openxmlformats.org/markup-compatibility/2006">
          <mc:Choice Requires="x14">
            <control shapeId="1562" r:id="rId75" name="Check Box 538">
              <controlPr defaultSize="0" autoFill="0" autoLine="0" autoPict="0">
                <anchor moveWithCells="1">
                  <from>
                    <xdr:col>6</xdr:col>
                    <xdr:colOff>257175</xdr:colOff>
                    <xdr:row>57</xdr:row>
                    <xdr:rowOff>47625</xdr:rowOff>
                  </from>
                  <to>
                    <xdr:col>6</xdr:col>
                    <xdr:colOff>561975</xdr:colOff>
                    <xdr:row>57</xdr:row>
                    <xdr:rowOff>323850</xdr:rowOff>
                  </to>
                </anchor>
              </controlPr>
            </control>
          </mc:Choice>
        </mc:AlternateContent>
        <mc:AlternateContent xmlns:mc="http://schemas.openxmlformats.org/markup-compatibility/2006">
          <mc:Choice Requires="x14">
            <control shapeId="1565" r:id="rId76" name="Check Box 541">
              <controlPr defaultSize="0" autoFill="0" autoLine="0" autoPict="0">
                <anchor moveWithCells="1">
                  <from>
                    <xdr:col>5</xdr:col>
                    <xdr:colOff>266700</xdr:colOff>
                    <xdr:row>58</xdr:row>
                    <xdr:rowOff>38100</xdr:rowOff>
                  </from>
                  <to>
                    <xdr:col>5</xdr:col>
                    <xdr:colOff>571500</xdr:colOff>
                    <xdr:row>58</xdr:row>
                    <xdr:rowOff>257175</xdr:rowOff>
                  </to>
                </anchor>
              </controlPr>
            </control>
          </mc:Choice>
        </mc:AlternateContent>
        <mc:AlternateContent xmlns:mc="http://schemas.openxmlformats.org/markup-compatibility/2006">
          <mc:Choice Requires="x14">
            <control shapeId="1568" r:id="rId77" name="Check Box 544">
              <controlPr defaultSize="0" autoFill="0" autoLine="0" autoPict="0">
                <anchor moveWithCells="1">
                  <from>
                    <xdr:col>6</xdr:col>
                    <xdr:colOff>257175</xdr:colOff>
                    <xdr:row>58</xdr:row>
                    <xdr:rowOff>38100</xdr:rowOff>
                  </from>
                  <to>
                    <xdr:col>6</xdr:col>
                    <xdr:colOff>561975</xdr:colOff>
                    <xdr:row>58</xdr:row>
                    <xdr:rowOff>257175</xdr:rowOff>
                  </to>
                </anchor>
              </controlPr>
            </control>
          </mc:Choice>
        </mc:AlternateContent>
        <mc:AlternateContent xmlns:mc="http://schemas.openxmlformats.org/markup-compatibility/2006">
          <mc:Choice Requires="x14">
            <control shapeId="1571" r:id="rId78" name="Check Box 547">
              <controlPr defaultSize="0" autoFill="0" autoLine="0" autoPict="0">
                <anchor moveWithCells="1">
                  <from>
                    <xdr:col>5</xdr:col>
                    <xdr:colOff>257175</xdr:colOff>
                    <xdr:row>59</xdr:row>
                    <xdr:rowOff>38100</xdr:rowOff>
                  </from>
                  <to>
                    <xdr:col>5</xdr:col>
                    <xdr:colOff>561975</xdr:colOff>
                    <xdr:row>59</xdr:row>
                    <xdr:rowOff>257175</xdr:rowOff>
                  </to>
                </anchor>
              </controlPr>
            </control>
          </mc:Choice>
        </mc:AlternateContent>
        <mc:AlternateContent xmlns:mc="http://schemas.openxmlformats.org/markup-compatibility/2006">
          <mc:Choice Requires="x14">
            <control shapeId="1574" r:id="rId79" name="Check Box 550">
              <controlPr defaultSize="0" autoFill="0" autoLine="0" autoPict="0">
                <anchor moveWithCells="1">
                  <from>
                    <xdr:col>6</xdr:col>
                    <xdr:colOff>257175</xdr:colOff>
                    <xdr:row>59</xdr:row>
                    <xdr:rowOff>38100</xdr:rowOff>
                  </from>
                  <to>
                    <xdr:col>6</xdr:col>
                    <xdr:colOff>561975</xdr:colOff>
                    <xdr:row>59</xdr:row>
                    <xdr:rowOff>257175</xdr:rowOff>
                  </to>
                </anchor>
              </controlPr>
            </control>
          </mc:Choice>
        </mc:AlternateContent>
        <mc:AlternateContent xmlns:mc="http://schemas.openxmlformats.org/markup-compatibility/2006">
          <mc:Choice Requires="x14">
            <control shapeId="1577" r:id="rId80" name="Check Box 553">
              <controlPr defaultSize="0" autoFill="0" autoLine="0" autoPict="0">
                <anchor moveWithCells="1">
                  <from>
                    <xdr:col>5</xdr:col>
                    <xdr:colOff>257175</xdr:colOff>
                    <xdr:row>60</xdr:row>
                    <xdr:rowOff>0</xdr:rowOff>
                  </from>
                  <to>
                    <xdr:col>5</xdr:col>
                    <xdr:colOff>561975</xdr:colOff>
                    <xdr:row>60</xdr:row>
                    <xdr:rowOff>219075</xdr:rowOff>
                  </to>
                </anchor>
              </controlPr>
            </control>
          </mc:Choice>
        </mc:AlternateContent>
        <mc:AlternateContent xmlns:mc="http://schemas.openxmlformats.org/markup-compatibility/2006">
          <mc:Choice Requires="x14">
            <control shapeId="1580" r:id="rId81" name="Check Box 556">
              <controlPr defaultSize="0" autoFill="0" autoLine="0" autoPict="0">
                <anchor moveWithCells="1">
                  <from>
                    <xdr:col>6</xdr:col>
                    <xdr:colOff>257175</xdr:colOff>
                    <xdr:row>60</xdr:row>
                    <xdr:rowOff>0</xdr:rowOff>
                  </from>
                  <to>
                    <xdr:col>6</xdr:col>
                    <xdr:colOff>561975</xdr:colOff>
                    <xdr:row>60</xdr:row>
                    <xdr:rowOff>219075</xdr:rowOff>
                  </to>
                </anchor>
              </controlPr>
            </control>
          </mc:Choice>
        </mc:AlternateContent>
        <mc:AlternateContent xmlns:mc="http://schemas.openxmlformats.org/markup-compatibility/2006">
          <mc:Choice Requires="x14">
            <control shapeId="1583" r:id="rId82" name="Check Box 559">
              <controlPr defaultSize="0" autoFill="0" autoLine="0" autoPict="0">
                <anchor moveWithCells="1">
                  <from>
                    <xdr:col>5</xdr:col>
                    <xdr:colOff>257175</xdr:colOff>
                    <xdr:row>60</xdr:row>
                    <xdr:rowOff>0</xdr:rowOff>
                  </from>
                  <to>
                    <xdr:col>5</xdr:col>
                    <xdr:colOff>561975</xdr:colOff>
                    <xdr:row>60</xdr:row>
                    <xdr:rowOff>219075</xdr:rowOff>
                  </to>
                </anchor>
              </controlPr>
            </control>
          </mc:Choice>
        </mc:AlternateContent>
        <mc:AlternateContent xmlns:mc="http://schemas.openxmlformats.org/markup-compatibility/2006">
          <mc:Choice Requires="x14">
            <control shapeId="1586" r:id="rId83" name="Check Box 562">
              <controlPr defaultSize="0" autoFill="0" autoLine="0" autoPict="0">
                <anchor moveWithCells="1">
                  <from>
                    <xdr:col>6</xdr:col>
                    <xdr:colOff>257175</xdr:colOff>
                    <xdr:row>60</xdr:row>
                    <xdr:rowOff>0</xdr:rowOff>
                  </from>
                  <to>
                    <xdr:col>6</xdr:col>
                    <xdr:colOff>561975</xdr:colOff>
                    <xdr:row>60</xdr:row>
                    <xdr:rowOff>219075</xdr:rowOff>
                  </to>
                </anchor>
              </controlPr>
            </control>
          </mc:Choice>
        </mc:AlternateContent>
        <mc:AlternateContent xmlns:mc="http://schemas.openxmlformats.org/markup-compatibility/2006">
          <mc:Choice Requires="x14">
            <control shapeId="1589" r:id="rId84" name="Check Box 565">
              <controlPr defaultSize="0" autoFill="0" autoLine="0" autoPict="0">
                <anchor moveWithCells="1">
                  <from>
                    <xdr:col>5</xdr:col>
                    <xdr:colOff>257175</xdr:colOff>
                    <xdr:row>61</xdr:row>
                    <xdr:rowOff>0</xdr:rowOff>
                  </from>
                  <to>
                    <xdr:col>5</xdr:col>
                    <xdr:colOff>561975</xdr:colOff>
                    <xdr:row>61</xdr:row>
                    <xdr:rowOff>219075</xdr:rowOff>
                  </to>
                </anchor>
              </controlPr>
            </control>
          </mc:Choice>
        </mc:AlternateContent>
        <mc:AlternateContent xmlns:mc="http://schemas.openxmlformats.org/markup-compatibility/2006">
          <mc:Choice Requires="x14">
            <control shapeId="1592" r:id="rId85" name="Check Box 568">
              <controlPr defaultSize="0" autoFill="0" autoLine="0" autoPict="0">
                <anchor moveWithCells="1">
                  <from>
                    <xdr:col>6</xdr:col>
                    <xdr:colOff>257175</xdr:colOff>
                    <xdr:row>61</xdr:row>
                    <xdr:rowOff>0</xdr:rowOff>
                  </from>
                  <to>
                    <xdr:col>6</xdr:col>
                    <xdr:colOff>561975</xdr:colOff>
                    <xdr:row>61</xdr:row>
                    <xdr:rowOff>219075</xdr:rowOff>
                  </to>
                </anchor>
              </controlPr>
            </control>
          </mc:Choice>
        </mc:AlternateContent>
        <mc:AlternateContent xmlns:mc="http://schemas.openxmlformats.org/markup-compatibility/2006">
          <mc:Choice Requires="x14">
            <control shapeId="1595" r:id="rId86" name="Check Box 571">
              <controlPr defaultSize="0" autoFill="0" autoLine="0" autoPict="0">
                <anchor moveWithCells="1">
                  <from>
                    <xdr:col>5</xdr:col>
                    <xdr:colOff>257175</xdr:colOff>
                    <xdr:row>62</xdr:row>
                    <xdr:rowOff>171450</xdr:rowOff>
                  </from>
                  <to>
                    <xdr:col>5</xdr:col>
                    <xdr:colOff>561975</xdr:colOff>
                    <xdr:row>64</xdr:row>
                    <xdr:rowOff>9525</xdr:rowOff>
                  </to>
                </anchor>
              </controlPr>
            </control>
          </mc:Choice>
        </mc:AlternateContent>
        <mc:AlternateContent xmlns:mc="http://schemas.openxmlformats.org/markup-compatibility/2006">
          <mc:Choice Requires="x14">
            <control shapeId="1598" r:id="rId87" name="Check Box 574">
              <controlPr defaultSize="0" autoFill="0" autoLine="0" autoPict="0">
                <anchor moveWithCells="1">
                  <from>
                    <xdr:col>6</xdr:col>
                    <xdr:colOff>257175</xdr:colOff>
                    <xdr:row>62</xdr:row>
                    <xdr:rowOff>161925</xdr:rowOff>
                  </from>
                  <to>
                    <xdr:col>6</xdr:col>
                    <xdr:colOff>561975</xdr:colOff>
                    <xdr:row>64</xdr:row>
                    <xdr:rowOff>0</xdr:rowOff>
                  </to>
                </anchor>
              </controlPr>
            </control>
          </mc:Choice>
        </mc:AlternateContent>
        <mc:AlternateContent xmlns:mc="http://schemas.openxmlformats.org/markup-compatibility/2006">
          <mc:Choice Requires="x14">
            <control shapeId="1601" r:id="rId88" name="Check Box 577">
              <controlPr defaultSize="0" autoFill="0" autoLine="0" autoPict="0">
                <anchor moveWithCells="1">
                  <from>
                    <xdr:col>5</xdr:col>
                    <xdr:colOff>257175</xdr:colOff>
                    <xdr:row>65</xdr:row>
                    <xdr:rowOff>38100</xdr:rowOff>
                  </from>
                  <to>
                    <xdr:col>5</xdr:col>
                    <xdr:colOff>561975</xdr:colOff>
                    <xdr:row>65</xdr:row>
                    <xdr:rowOff>257175</xdr:rowOff>
                  </to>
                </anchor>
              </controlPr>
            </control>
          </mc:Choice>
        </mc:AlternateContent>
        <mc:AlternateContent xmlns:mc="http://schemas.openxmlformats.org/markup-compatibility/2006">
          <mc:Choice Requires="x14">
            <control shapeId="1604" r:id="rId89" name="Check Box 580">
              <controlPr defaultSize="0" autoFill="0" autoLine="0" autoPict="0">
                <anchor moveWithCells="1">
                  <from>
                    <xdr:col>6</xdr:col>
                    <xdr:colOff>247650</xdr:colOff>
                    <xdr:row>65</xdr:row>
                    <xdr:rowOff>38100</xdr:rowOff>
                  </from>
                  <to>
                    <xdr:col>6</xdr:col>
                    <xdr:colOff>552450</xdr:colOff>
                    <xdr:row>65</xdr:row>
                    <xdr:rowOff>257175</xdr:rowOff>
                  </to>
                </anchor>
              </controlPr>
            </control>
          </mc:Choice>
        </mc:AlternateContent>
        <mc:AlternateContent xmlns:mc="http://schemas.openxmlformats.org/markup-compatibility/2006">
          <mc:Choice Requires="x14">
            <control shapeId="1967" r:id="rId90" name="Check Box 943">
              <controlPr defaultSize="0" autoFill="0" autoLine="0" autoPict="0">
                <anchor moveWithCells="1">
                  <from>
                    <xdr:col>5</xdr:col>
                    <xdr:colOff>257175</xdr:colOff>
                    <xdr:row>66</xdr:row>
                    <xdr:rowOff>0</xdr:rowOff>
                  </from>
                  <to>
                    <xdr:col>5</xdr:col>
                    <xdr:colOff>561975</xdr:colOff>
                    <xdr:row>66</xdr:row>
                    <xdr:rowOff>219075</xdr:rowOff>
                  </to>
                </anchor>
              </controlPr>
            </control>
          </mc:Choice>
        </mc:AlternateContent>
        <mc:AlternateContent xmlns:mc="http://schemas.openxmlformats.org/markup-compatibility/2006">
          <mc:Choice Requires="x14">
            <control shapeId="1970" r:id="rId91" name="Check Box 946">
              <controlPr defaultSize="0" autoFill="0" autoLine="0" autoPict="0">
                <anchor moveWithCells="1">
                  <from>
                    <xdr:col>6</xdr:col>
                    <xdr:colOff>257175</xdr:colOff>
                    <xdr:row>66</xdr:row>
                    <xdr:rowOff>0</xdr:rowOff>
                  </from>
                  <to>
                    <xdr:col>6</xdr:col>
                    <xdr:colOff>561975</xdr:colOff>
                    <xdr:row>66</xdr:row>
                    <xdr:rowOff>219075</xdr:rowOff>
                  </to>
                </anchor>
              </controlPr>
            </control>
          </mc:Choice>
        </mc:AlternateContent>
        <mc:AlternateContent xmlns:mc="http://schemas.openxmlformats.org/markup-compatibility/2006">
          <mc:Choice Requires="x14">
            <control shapeId="1985" r:id="rId92" name="Check Box 961">
              <controlPr defaultSize="0" autoFill="0" autoLine="0" autoPict="0">
                <anchor moveWithCells="1">
                  <from>
                    <xdr:col>5</xdr:col>
                    <xdr:colOff>257175</xdr:colOff>
                    <xdr:row>67</xdr:row>
                    <xdr:rowOff>0</xdr:rowOff>
                  </from>
                  <to>
                    <xdr:col>5</xdr:col>
                    <xdr:colOff>561975</xdr:colOff>
                    <xdr:row>67</xdr:row>
                    <xdr:rowOff>219075</xdr:rowOff>
                  </to>
                </anchor>
              </controlPr>
            </control>
          </mc:Choice>
        </mc:AlternateContent>
        <mc:AlternateContent xmlns:mc="http://schemas.openxmlformats.org/markup-compatibility/2006">
          <mc:Choice Requires="x14">
            <control shapeId="1988" r:id="rId93" name="Check Box 964">
              <controlPr defaultSize="0" autoFill="0" autoLine="0" autoPict="0">
                <anchor moveWithCells="1">
                  <from>
                    <xdr:col>6</xdr:col>
                    <xdr:colOff>257175</xdr:colOff>
                    <xdr:row>67</xdr:row>
                    <xdr:rowOff>0</xdr:rowOff>
                  </from>
                  <to>
                    <xdr:col>6</xdr:col>
                    <xdr:colOff>561975</xdr:colOff>
                    <xdr:row>67</xdr:row>
                    <xdr:rowOff>219075</xdr:rowOff>
                  </to>
                </anchor>
              </controlPr>
            </control>
          </mc:Choice>
        </mc:AlternateContent>
        <mc:AlternateContent xmlns:mc="http://schemas.openxmlformats.org/markup-compatibility/2006">
          <mc:Choice Requires="x14">
            <control shapeId="2003" r:id="rId94" name="Check Box 979">
              <controlPr defaultSize="0" autoFill="0" autoLine="0" autoPict="0">
                <anchor moveWithCells="1">
                  <from>
                    <xdr:col>5</xdr:col>
                    <xdr:colOff>257175</xdr:colOff>
                    <xdr:row>67</xdr:row>
                    <xdr:rowOff>228600</xdr:rowOff>
                  </from>
                  <to>
                    <xdr:col>5</xdr:col>
                    <xdr:colOff>561975</xdr:colOff>
                    <xdr:row>68</xdr:row>
                    <xdr:rowOff>447675</xdr:rowOff>
                  </to>
                </anchor>
              </controlPr>
            </control>
          </mc:Choice>
        </mc:AlternateContent>
        <mc:AlternateContent xmlns:mc="http://schemas.openxmlformats.org/markup-compatibility/2006">
          <mc:Choice Requires="x14">
            <control shapeId="2006" r:id="rId95" name="Check Box 982">
              <controlPr defaultSize="0" autoFill="0" autoLine="0" autoPict="0">
                <anchor moveWithCells="1">
                  <from>
                    <xdr:col>6</xdr:col>
                    <xdr:colOff>257175</xdr:colOff>
                    <xdr:row>67</xdr:row>
                    <xdr:rowOff>228600</xdr:rowOff>
                  </from>
                  <to>
                    <xdr:col>6</xdr:col>
                    <xdr:colOff>561975</xdr:colOff>
                    <xdr:row>68</xdr:row>
                    <xdr:rowOff>447675</xdr:rowOff>
                  </to>
                </anchor>
              </controlPr>
            </control>
          </mc:Choice>
        </mc:AlternateContent>
        <mc:AlternateContent xmlns:mc="http://schemas.openxmlformats.org/markup-compatibility/2006">
          <mc:Choice Requires="x14">
            <control shapeId="2022" r:id="rId96" name="Check Box 998">
              <controlPr defaultSize="0" autoFill="0" autoLine="0" autoPict="0">
                <anchor moveWithCells="1">
                  <from>
                    <xdr:col>5</xdr:col>
                    <xdr:colOff>266700</xdr:colOff>
                    <xdr:row>69</xdr:row>
                    <xdr:rowOff>361950</xdr:rowOff>
                  </from>
                  <to>
                    <xdr:col>5</xdr:col>
                    <xdr:colOff>571500</xdr:colOff>
                    <xdr:row>69</xdr:row>
                    <xdr:rowOff>581025</xdr:rowOff>
                  </to>
                </anchor>
              </controlPr>
            </control>
          </mc:Choice>
        </mc:AlternateContent>
        <mc:AlternateContent xmlns:mc="http://schemas.openxmlformats.org/markup-compatibility/2006">
          <mc:Choice Requires="x14">
            <control shapeId="2024" r:id="rId97" name="Check Box 1000">
              <controlPr defaultSize="0" autoFill="0" autoLine="0" autoPict="0">
                <anchor moveWithCells="1">
                  <from>
                    <xdr:col>6</xdr:col>
                    <xdr:colOff>257175</xdr:colOff>
                    <xdr:row>69</xdr:row>
                    <xdr:rowOff>342900</xdr:rowOff>
                  </from>
                  <to>
                    <xdr:col>6</xdr:col>
                    <xdr:colOff>561975</xdr:colOff>
                    <xdr:row>69</xdr:row>
                    <xdr:rowOff>561975</xdr:rowOff>
                  </to>
                </anchor>
              </controlPr>
            </control>
          </mc:Choice>
        </mc:AlternateContent>
        <mc:AlternateContent xmlns:mc="http://schemas.openxmlformats.org/markup-compatibility/2006">
          <mc:Choice Requires="x14">
            <control shapeId="2039" r:id="rId98" name="Check Box 1015">
              <controlPr defaultSize="0" autoFill="0" autoLine="0" autoPict="0">
                <anchor moveWithCells="1">
                  <from>
                    <xdr:col>5</xdr:col>
                    <xdr:colOff>247650</xdr:colOff>
                    <xdr:row>71</xdr:row>
                    <xdr:rowOff>85725</xdr:rowOff>
                  </from>
                  <to>
                    <xdr:col>5</xdr:col>
                    <xdr:colOff>552450</xdr:colOff>
                    <xdr:row>71</xdr:row>
                    <xdr:rowOff>695325</xdr:rowOff>
                  </to>
                </anchor>
              </controlPr>
            </control>
          </mc:Choice>
        </mc:AlternateContent>
        <mc:AlternateContent xmlns:mc="http://schemas.openxmlformats.org/markup-compatibility/2006">
          <mc:Choice Requires="x14">
            <control shapeId="2042" r:id="rId99" name="Check Box 1018">
              <controlPr defaultSize="0" autoFill="0" autoLine="0" autoPict="0">
                <anchor moveWithCells="1">
                  <from>
                    <xdr:col>6</xdr:col>
                    <xdr:colOff>257175</xdr:colOff>
                    <xdr:row>71</xdr:row>
                    <xdr:rowOff>95250</xdr:rowOff>
                  </from>
                  <to>
                    <xdr:col>6</xdr:col>
                    <xdr:colOff>561975</xdr:colOff>
                    <xdr:row>71</xdr:row>
                    <xdr:rowOff>695325</xdr:rowOff>
                  </to>
                </anchor>
              </controlPr>
            </control>
          </mc:Choice>
        </mc:AlternateContent>
        <mc:AlternateContent xmlns:mc="http://schemas.openxmlformats.org/markup-compatibility/2006">
          <mc:Choice Requires="x14">
            <control shapeId="2057" r:id="rId100" name="Check Box 1033">
              <controlPr defaultSize="0" autoFill="0" autoLine="0" autoPict="0">
                <anchor moveWithCells="1">
                  <from>
                    <xdr:col>5</xdr:col>
                    <xdr:colOff>257175</xdr:colOff>
                    <xdr:row>72</xdr:row>
                    <xdr:rowOff>180975</xdr:rowOff>
                  </from>
                  <to>
                    <xdr:col>5</xdr:col>
                    <xdr:colOff>561975</xdr:colOff>
                    <xdr:row>72</xdr:row>
                    <xdr:rowOff>400050</xdr:rowOff>
                  </to>
                </anchor>
              </controlPr>
            </control>
          </mc:Choice>
        </mc:AlternateContent>
        <mc:AlternateContent xmlns:mc="http://schemas.openxmlformats.org/markup-compatibility/2006">
          <mc:Choice Requires="x14">
            <control shapeId="2060" r:id="rId101" name="Check Box 1036">
              <controlPr defaultSize="0" autoFill="0" autoLine="0" autoPict="0">
                <anchor moveWithCells="1">
                  <from>
                    <xdr:col>6</xdr:col>
                    <xdr:colOff>257175</xdr:colOff>
                    <xdr:row>72</xdr:row>
                    <xdr:rowOff>180975</xdr:rowOff>
                  </from>
                  <to>
                    <xdr:col>6</xdr:col>
                    <xdr:colOff>561975</xdr:colOff>
                    <xdr:row>72</xdr:row>
                    <xdr:rowOff>400050</xdr:rowOff>
                  </to>
                </anchor>
              </controlPr>
            </control>
          </mc:Choice>
        </mc:AlternateContent>
        <mc:AlternateContent xmlns:mc="http://schemas.openxmlformats.org/markup-compatibility/2006">
          <mc:Choice Requires="x14">
            <control shapeId="2111" r:id="rId102" name="Check Box 1087">
              <controlPr defaultSize="0" autoFill="0" autoLine="0" autoPict="0">
                <anchor moveWithCells="1">
                  <from>
                    <xdr:col>5</xdr:col>
                    <xdr:colOff>257175</xdr:colOff>
                    <xdr:row>72</xdr:row>
                    <xdr:rowOff>552450</xdr:rowOff>
                  </from>
                  <to>
                    <xdr:col>5</xdr:col>
                    <xdr:colOff>561975</xdr:colOff>
                    <xdr:row>73</xdr:row>
                    <xdr:rowOff>485775</xdr:rowOff>
                  </to>
                </anchor>
              </controlPr>
            </control>
          </mc:Choice>
        </mc:AlternateContent>
        <mc:AlternateContent xmlns:mc="http://schemas.openxmlformats.org/markup-compatibility/2006">
          <mc:Choice Requires="x14">
            <control shapeId="2114" r:id="rId103" name="Check Box 1090">
              <controlPr defaultSize="0" autoFill="0" autoLine="0" autoPict="0">
                <anchor moveWithCells="1">
                  <from>
                    <xdr:col>6</xdr:col>
                    <xdr:colOff>266700</xdr:colOff>
                    <xdr:row>72</xdr:row>
                    <xdr:rowOff>552450</xdr:rowOff>
                  </from>
                  <to>
                    <xdr:col>6</xdr:col>
                    <xdr:colOff>571500</xdr:colOff>
                    <xdr:row>73</xdr:row>
                    <xdr:rowOff>485775</xdr:rowOff>
                  </to>
                </anchor>
              </controlPr>
            </control>
          </mc:Choice>
        </mc:AlternateContent>
        <mc:AlternateContent xmlns:mc="http://schemas.openxmlformats.org/markup-compatibility/2006">
          <mc:Choice Requires="x14">
            <control shapeId="2147" r:id="rId104" name="Check Box 1123">
              <controlPr defaultSize="0" autoFill="0" autoLine="0" autoPict="0">
                <anchor moveWithCells="1">
                  <from>
                    <xdr:col>5</xdr:col>
                    <xdr:colOff>257175</xdr:colOff>
                    <xdr:row>75</xdr:row>
                    <xdr:rowOff>600075</xdr:rowOff>
                  </from>
                  <to>
                    <xdr:col>5</xdr:col>
                    <xdr:colOff>561975</xdr:colOff>
                    <xdr:row>76</xdr:row>
                    <xdr:rowOff>352425</xdr:rowOff>
                  </to>
                </anchor>
              </controlPr>
            </control>
          </mc:Choice>
        </mc:AlternateContent>
        <mc:AlternateContent xmlns:mc="http://schemas.openxmlformats.org/markup-compatibility/2006">
          <mc:Choice Requires="x14">
            <control shapeId="2150" r:id="rId105" name="Check Box 1126">
              <controlPr defaultSize="0" autoFill="0" autoLine="0" autoPict="0">
                <anchor moveWithCells="1">
                  <from>
                    <xdr:col>6</xdr:col>
                    <xdr:colOff>257175</xdr:colOff>
                    <xdr:row>75</xdr:row>
                    <xdr:rowOff>609600</xdr:rowOff>
                  </from>
                  <to>
                    <xdr:col>6</xdr:col>
                    <xdr:colOff>561975</xdr:colOff>
                    <xdr:row>76</xdr:row>
                    <xdr:rowOff>352425</xdr:rowOff>
                  </to>
                </anchor>
              </controlPr>
            </control>
          </mc:Choice>
        </mc:AlternateContent>
        <mc:AlternateContent xmlns:mc="http://schemas.openxmlformats.org/markup-compatibility/2006">
          <mc:Choice Requires="x14">
            <control shapeId="2183" r:id="rId106" name="Check Box 1159">
              <controlPr defaultSize="0" autoFill="0" autoLine="0" autoPict="0">
                <anchor moveWithCells="1">
                  <from>
                    <xdr:col>5</xdr:col>
                    <xdr:colOff>257175</xdr:colOff>
                    <xdr:row>77</xdr:row>
                    <xdr:rowOff>114300</xdr:rowOff>
                  </from>
                  <to>
                    <xdr:col>5</xdr:col>
                    <xdr:colOff>561975</xdr:colOff>
                    <xdr:row>77</xdr:row>
                    <xdr:rowOff>485775</xdr:rowOff>
                  </to>
                </anchor>
              </controlPr>
            </control>
          </mc:Choice>
        </mc:AlternateContent>
        <mc:AlternateContent xmlns:mc="http://schemas.openxmlformats.org/markup-compatibility/2006">
          <mc:Choice Requires="x14">
            <control shapeId="2186" r:id="rId107" name="Check Box 1162">
              <controlPr defaultSize="0" autoFill="0" autoLine="0" autoPict="0">
                <anchor moveWithCells="1">
                  <from>
                    <xdr:col>6</xdr:col>
                    <xdr:colOff>257175</xdr:colOff>
                    <xdr:row>77</xdr:row>
                    <xdr:rowOff>114300</xdr:rowOff>
                  </from>
                  <to>
                    <xdr:col>6</xdr:col>
                    <xdr:colOff>561975</xdr:colOff>
                    <xdr:row>77</xdr:row>
                    <xdr:rowOff>485775</xdr:rowOff>
                  </to>
                </anchor>
              </controlPr>
            </control>
          </mc:Choice>
        </mc:AlternateContent>
        <mc:AlternateContent xmlns:mc="http://schemas.openxmlformats.org/markup-compatibility/2006">
          <mc:Choice Requires="x14">
            <control shapeId="2267" r:id="rId108" name="Check Box 1243">
              <controlPr defaultSize="0" autoFill="0" autoLine="0" autoPict="0">
                <anchor moveWithCells="1">
                  <from>
                    <xdr:col>5</xdr:col>
                    <xdr:colOff>257175</xdr:colOff>
                    <xdr:row>78</xdr:row>
                    <xdr:rowOff>57150</xdr:rowOff>
                  </from>
                  <to>
                    <xdr:col>5</xdr:col>
                    <xdr:colOff>561975</xdr:colOff>
                    <xdr:row>79</xdr:row>
                    <xdr:rowOff>0</xdr:rowOff>
                  </to>
                </anchor>
              </controlPr>
            </control>
          </mc:Choice>
        </mc:AlternateContent>
        <mc:AlternateContent xmlns:mc="http://schemas.openxmlformats.org/markup-compatibility/2006">
          <mc:Choice Requires="x14">
            <control shapeId="2268" r:id="rId109" name="Check Box 1244">
              <controlPr defaultSize="0" autoFill="0" autoLine="0" autoPict="0">
                <anchor moveWithCells="1">
                  <from>
                    <xdr:col>6</xdr:col>
                    <xdr:colOff>257175</xdr:colOff>
                    <xdr:row>78</xdr:row>
                    <xdr:rowOff>66675</xdr:rowOff>
                  </from>
                  <to>
                    <xdr:col>6</xdr:col>
                    <xdr:colOff>561975</xdr:colOff>
                    <xdr:row>79</xdr:row>
                    <xdr:rowOff>0</xdr:rowOff>
                  </to>
                </anchor>
              </controlPr>
            </control>
          </mc:Choice>
        </mc:AlternateContent>
        <mc:AlternateContent xmlns:mc="http://schemas.openxmlformats.org/markup-compatibility/2006">
          <mc:Choice Requires="x14">
            <control shapeId="2271" r:id="rId110" name="Check Box 1247">
              <controlPr defaultSize="0" autoFill="0" autoLine="0" autoPict="0">
                <anchor moveWithCells="1">
                  <from>
                    <xdr:col>5</xdr:col>
                    <xdr:colOff>257175</xdr:colOff>
                    <xdr:row>30</xdr:row>
                    <xdr:rowOff>180975</xdr:rowOff>
                  </from>
                  <to>
                    <xdr:col>5</xdr:col>
                    <xdr:colOff>561975</xdr:colOff>
                    <xdr:row>32</xdr:row>
                    <xdr:rowOff>0</xdr:rowOff>
                  </to>
                </anchor>
              </controlPr>
            </control>
          </mc:Choice>
        </mc:AlternateContent>
        <mc:AlternateContent xmlns:mc="http://schemas.openxmlformats.org/markup-compatibility/2006">
          <mc:Choice Requires="x14">
            <control shapeId="2273" r:id="rId111" name="Check Box 1249">
              <controlPr defaultSize="0" autoFill="0" autoLine="0" autoPict="0">
                <anchor moveWithCells="1">
                  <from>
                    <xdr:col>6</xdr:col>
                    <xdr:colOff>257175</xdr:colOff>
                    <xdr:row>30</xdr:row>
                    <xdr:rowOff>180975</xdr:rowOff>
                  </from>
                  <to>
                    <xdr:col>6</xdr:col>
                    <xdr:colOff>561975</xdr:colOff>
                    <xdr:row>32</xdr:row>
                    <xdr:rowOff>0</xdr:rowOff>
                  </to>
                </anchor>
              </controlPr>
            </control>
          </mc:Choice>
        </mc:AlternateContent>
        <mc:AlternateContent xmlns:mc="http://schemas.openxmlformats.org/markup-compatibility/2006">
          <mc:Choice Requires="x14">
            <control shapeId="2275" r:id="rId112" name="Check Box 1251">
              <controlPr defaultSize="0" autoFill="0" autoLine="0" autoPict="0">
                <anchor moveWithCells="1">
                  <from>
                    <xdr:col>5</xdr:col>
                    <xdr:colOff>219075</xdr:colOff>
                    <xdr:row>74</xdr:row>
                    <xdr:rowOff>371475</xdr:rowOff>
                  </from>
                  <to>
                    <xdr:col>5</xdr:col>
                    <xdr:colOff>523875</xdr:colOff>
                    <xdr:row>75</xdr:row>
                    <xdr:rowOff>133350</xdr:rowOff>
                  </to>
                </anchor>
              </controlPr>
            </control>
          </mc:Choice>
        </mc:AlternateContent>
        <mc:AlternateContent xmlns:mc="http://schemas.openxmlformats.org/markup-compatibility/2006">
          <mc:Choice Requires="x14">
            <control shapeId="2276" r:id="rId113" name="Check Box 1252">
              <controlPr defaultSize="0" autoFill="0" autoLine="0" autoPict="0">
                <anchor moveWithCells="1">
                  <from>
                    <xdr:col>6</xdr:col>
                    <xdr:colOff>247650</xdr:colOff>
                    <xdr:row>74</xdr:row>
                    <xdr:rowOff>361950</xdr:rowOff>
                  </from>
                  <to>
                    <xdr:col>6</xdr:col>
                    <xdr:colOff>552450</xdr:colOff>
                    <xdr:row>75</xdr:row>
                    <xdr:rowOff>123825</xdr:rowOff>
                  </to>
                </anchor>
              </controlPr>
            </control>
          </mc:Choice>
        </mc:AlternateContent>
        <mc:AlternateContent xmlns:mc="http://schemas.openxmlformats.org/markup-compatibility/2006">
          <mc:Choice Requires="x14">
            <control shapeId="2289" r:id="rId114" name="Check Box 1265">
              <controlPr defaultSize="0" autoFill="0" autoLine="0" autoPict="0">
                <anchor moveWithCells="1">
                  <from>
                    <xdr:col>5</xdr:col>
                    <xdr:colOff>257175</xdr:colOff>
                    <xdr:row>20</xdr:row>
                    <xdr:rowOff>0</xdr:rowOff>
                  </from>
                  <to>
                    <xdr:col>5</xdr:col>
                    <xdr:colOff>561975</xdr:colOff>
                    <xdr:row>20</xdr:row>
                    <xdr:rowOff>219075</xdr:rowOff>
                  </to>
                </anchor>
              </controlPr>
            </control>
          </mc:Choice>
        </mc:AlternateContent>
        <mc:AlternateContent xmlns:mc="http://schemas.openxmlformats.org/markup-compatibility/2006">
          <mc:Choice Requires="x14">
            <control shapeId="2290" r:id="rId115" name="Check Box 1266">
              <controlPr defaultSize="0" autoFill="0" autoLine="0" autoPict="0">
                <anchor moveWithCells="1">
                  <from>
                    <xdr:col>5</xdr:col>
                    <xdr:colOff>257175</xdr:colOff>
                    <xdr:row>20</xdr:row>
                    <xdr:rowOff>0</xdr:rowOff>
                  </from>
                  <to>
                    <xdr:col>5</xdr:col>
                    <xdr:colOff>561975</xdr:colOff>
                    <xdr:row>20</xdr:row>
                    <xdr:rowOff>219075</xdr:rowOff>
                  </to>
                </anchor>
              </controlPr>
            </control>
          </mc:Choice>
        </mc:AlternateContent>
        <mc:AlternateContent xmlns:mc="http://schemas.openxmlformats.org/markup-compatibility/2006">
          <mc:Choice Requires="x14">
            <control shapeId="2291" r:id="rId116" name="Check Box 1267">
              <controlPr defaultSize="0" autoFill="0" autoLine="0" autoPict="0">
                <anchor moveWithCells="1">
                  <from>
                    <xdr:col>6</xdr:col>
                    <xdr:colOff>257175</xdr:colOff>
                    <xdr:row>20</xdr:row>
                    <xdr:rowOff>0</xdr:rowOff>
                  </from>
                  <to>
                    <xdr:col>6</xdr:col>
                    <xdr:colOff>561975</xdr:colOff>
                    <xdr:row>20</xdr:row>
                    <xdr:rowOff>219075</xdr:rowOff>
                  </to>
                </anchor>
              </controlPr>
            </control>
          </mc:Choice>
        </mc:AlternateContent>
        <mc:AlternateContent xmlns:mc="http://schemas.openxmlformats.org/markup-compatibility/2006">
          <mc:Choice Requires="x14">
            <control shapeId="2292" r:id="rId117" name="Check Box 1268">
              <controlPr defaultSize="0" autoFill="0" autoLine="0" autoPict="0">
                <anchor moveWithCells="1">
                  <from>
                    <xdr:col>6</xdr:col>
                    <xdr:colOff>257175</xdr:colOff>
                    <xdr:row>20</xdr:row>
                    <xdr:rowOff>0</xdr:rowOff>
                  </from>
                  <to>
                    <xdr:col>6</xdr:col>
                    <xdr:colOff>561975</xdr:colOff>
                    <xdr:row>20</xdr:row>
                    <xdr:rowOff>219075</xdr:rowOff>
                  </to>
                </anchor>
              </controlPr>
            </control>
          </mc:Choice>
        </mc:AlternateContent>
        <mc:AlternateContent xmlns:mc="http://schemas.openxmlformats.org/markup-compatibility/2006">
          <mc:Choice Requires="x14">
            <control shapeId="2296" r:id="rId118" name="Check Box 1272">
              <controlPr defaultSize="0" autoFill="0" autoLine="0" autoPict="0">
                <anchor moveWithCells="1">
                  <from>
                    <xdr:col>5</xdr:col>
                    <xdr:colOff>257175</xdr:colOff>
                    <xdr:row>43</xdr:row>
                    <xdr:rowOff>133350</xdr:rowOff>
                  </from>
                  <to>
                    <xdr:col>5</xdr:col>
                    <xdr:colOff>561975</xdr:colOff>
                    <xdr:row>44</xdr:row>
                    <xdr:rowOff>104775</xdr:rowOff>
                  </to>
                </anchor>
              </controlPr>
            </control>
          </mc:Choice>
        </mc:AlternateContent>
        <mc:AlternateContent xmlns:mc="http://schemas.openxmlformats.org/markup-compatibility/2006">
          <mc:Choice Requires="x14">
            <control shapeId="2297" r:id="rId119" name="Check Box 1273">
              <controlPr defaultSize="0" autoFill="0" autoLine="0" autoPict="0">
                <anchor moveWithCells="1">
                  <from>
                    <xdr:col>6</xdr:col>
                    <xdr:colOff>257175</xdr:colOff>
                    <xdr:row>43</xdr:row>
                    <xdr:rowOff>133350</xdr:rowOff>
                  </from>
                  <to>
                    <xdr:col>6</xdr:col>
                    <xdr:colOff>561975</xdr:colOff>
                    <xdr:row>44</xdr:row>
                    <xdr:rowOff>104775</xdr:rowOff>
                  </to>
                </anchor>
              </controlPr>
            </control>
          </mc:Choice>
        </mc:AlternateContent>
        <mc:AlternateContent xmlns:mc="http://schemas.openxmlformats.org/markup-compatibility/2006">
          <mc:Choice Requires="x14">
            <control shapeId="2298" r:id="rId120" name="Check Box 1274">
              <controlPr defaultSize="0" autoFill="0" autoLine="0" autoPict="0">
                <anchor moveWithCells="1">
                  <from>
                    <xdr:col>5</xdr:col>
                    <xdr:colOff>257175</xdr:colOff>
                    <xdr:row>52</xdr:row>
                    <xdr:rowOff>314325</xdr:rowOff>
                  </from>
                  <to>
                    <xdr:col>5</xdr:col>
                    <xdr:colOff>561975</xdr:colOff>
                    <xdr:row>53</xdr:row>
                    <xdr:rowOff>209550</xdr:rowOff>
                  </to>
                </anchor>
              </controlPr>
            </control>
          </mc:Choice>
        </mc:AlternateContent>
        <mc:AlternateContent xmlns:mc="http://schemas.openxmlformats.org/markup-compatibility/2006">
          <mc:Choice Requires="x14">
            <control shapeId="2299" r:id="rId121" name="Check Box 1275">
              <controlPr defaultSize="0" autoFill="0" autoLine="0" autoPict="0">
                <anchor moveWithCells="1">
                  <from>
                    <xdr:col>6</xdr:col>
                    <xdr:colOff>257175</xdr:colOff>
                    <xdr:row>52</xdr:row>
                    <xdr:rowOff>314325</xdr:rowOff>
                  </from>
                  <to>
                    <xdr:col>6</xdr:col>
                    <xdr:colOff>561975</xdr:colOff>
                    <xdr:row>53</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14999847407452621"/>
  </sheetPr>
  <dimension ref="A1:T81"/>
  <sheetViews>
    <sheetView workbookViewId="0">
      <selection activeCell="B82" sqref="B82"/>
    </sheetView>
  </sheetViews>
  <sheetFormatPr defaultRowHeight="15"/>
  <cols>
    <col min="1" max="1" width="17" style="646" customWidth="1"/>
    <col min="2" max="2" width="52.85546875" style="638" customWidth="1"/>
    <col min="3" max="3" width="54.7109375" style="638" customWidth="1"/>
    <col min="4" max="6" width="18.140625" style="79" customWidth="1"/>
    <col min="7" max="7" width="44.85546875" style="79" customWidth="1"/>
    <col min="8" max="9" width="16.42578125" style="79" customWidth="1"/>
    <col min="10" max="12" width="18.140625" style="79" customWidth="1"/>
    <col min="13" max="13" width="42.42578125" style="79" customWidth="1"/>
    <col min="14" max="16" width="18.140625" style="79" customWidth="1"/>
    <col min="17" max="17" width="42.42578125" style="79" bestFit="1" customWidth="1"/>
    <col min="18" max="18" width="14.5703125" style="79" customWidth="1"/>
    <col min="19" max="16384" width="9.140625" style="79"/>
  </cols>
  <sheetData>
    <row r="1" spans="1:18" ht="54" customHeight="1" thickBot="1">
      <c r="A1" s="1037" t="s">
        <v>348</v>
      </c>
      <c r="B1" s="1038"/>
      <c r="C1" s="525" t="s">
        <v>657</v>
      </c>
      <c r="D1" s="1036" t="s">
        <v>349</v>
      </c>
      <c r="E1" s="1037"/>
      <c r="F1" s="1037"/>
      <c r="G1" s="1038"/>
      <c r="H1" s="777"/>
      <c r="I1" s="777"/>
      <c r="J1" s="1036" t="s">
        <v>350</v>
      </c>
      <c r="K1" s="1037"/>
      <c r="L1" s="1037"/>
      <c r="M1" s="1038"/>
      <c r="N1" s="1036" t="s">
        <v>351</v>
      </c>
      <c r="O1" s="1037"/>
      <c r="P1" s="1037"/>
      <c r="Q1" s="1037"/>
      <c r="R1" s="526" t="s">
        <v>347</v>
      </c>
    </row>
    <row r="2" spans="1:18">
      <c r="A2" s="1034" t="s">
        <v>196</v>
      </c>
      <c r="B2" s="121" t="s">
        <v>54</v>
      </c>
      <c r="C2" s="95" t="s">
        <v>658</v>
      </c>
      <c r="D2" s="527"/>
      <c r="E2" s="528"/>
      <c r="F2" s="528"/>
      <c r="G2" s="529"/>
      <c r="H2" s="528"/>
      <c r="I2" s="528"/>
      <c r="J2" s="528"/>
      <c r="K2" s="528"/>
      <c r="L2" s="528"/>
      <c r="M2" s="529"/>
      <c r="N2" s="527"/>
      <c r="O2" s="528"/>
      <c r="P2" s="528"/>
      <c r="Q2" s="528"/>
      <c r="R2" s="530"/>
    </row>
    <row r="3" spans="1:18">
      <c r="A3" s="1035"/>
      <c r="B3" s="122" t="s">
        <v>55</v>
      </c>
      <c r="C3" s="303" t="s">
        <v>658</v>
      </c>
      <c r="D3" s="531"/>
      <c r="E3" s="532"/>
      <c r="F3" s="533"/>
      <c r="G3" s="534"/>
      <c r="H3" s="533"/>
      <c r="I3" s="533"/>
      <c r="J3" s="532"/>
      <c r="K3" s="532"/>
      <c r="L3" s="533"/>
      <c r="M3" s="534"/>
      <c r="N3" s="535"/>
      <c r="O3" s="532"/>
      <c r="P3" s="533"/>
      <c r="Q3" s="532"/>
      <c r="R3" s="536"/>
    </row>
    <row r="4" spans="1:18">
      <c r="A4" s="1035"/>
      <c r="B4" s="122" t="s">
        <v>177</v>
      </c>
      <c r="C4" s="303" t="s">
        <v>658</v>
      </c>
      <c r="D4" s="531"/>
      <c r="E4" s="532"/>
      <c r="F4" s="533"/>
      <c r="G4" s="534"/>
      <c r="H4" s="533"/>
      <c r="I4" s="533"/>
      <c r="J4" s="532"/>
      <c r="K4" s="532"/>
      <c r="L4" s="533"/>
      <c r="M4" s="534"/>
      <c r="N4" s="535"/>
      <c r="O4" s="532"/>
      <c r="P4" s="533"/>
      <c r="Q4" s="532"/>
      <c r="R4" s="536"/>
    </row>
    <row r="5" spans="1:18">
      <c r="A5" s="1035"/>
      <c r="B5" s="122" t="s">
        <v>178</v>
      </c>
      <c r="C5" s="303" t="s">
        <v>658</v>
      </c>
      <c r="D5" s="535"/>
      <c r="E5" s="532"/>
      <c r="F5" s="533"/>
      <c r="G5" s="534"/>
      <c r="H5" s="533"/>
      <c r="I5" s="533"/>
      <c r="J5" s="532"/>
      <c r="K5" s="532"/>
      <c r="L5" s="533"/>
      <c r="M5" s="534"/>
      <c r="N5" s="535"/>
      <c r="O5" s="532"/>
      <c r="P5" s="533"/>
      <c r="Q5" s="532"/>
      <c r="R5" s="536"/>
    </row>
    <row r="6" spans="1:18" ht="15.75" thickBot="1">
      <c r="A6" s="1035"/>
      <c r="B6" s="123" t="s">
        <v>342</v>
      </c>
      <c r="C6" s="304" t="s">
        <v>658</v>
      </c>
      <c r="D6" s="537"/>
      <c r="E6" s="538"/>
      <c r="F6" s="538"/>
      <c r="G6" s="539"/>
      <c r="H6" s="538"/>
      <c r="I6" s="538"/>
      <c r="J6" s="538"/>
      <c r="K6" s="538"/>
      <c r="L6" s="538"/>
      <c r="M6" s="539"/>
      <c r="N6" s="537"/>
      <c r="O6" s="538"/>
      <c r="P6" s="538"/>
      <c r="Q6" s="538"/>
      <c r="R6" s="540"/>
    </row>
    <row r="7" spans="1:18" ht="45.75" thickBot="1">
      <c r="A7" s="1039" t="s">
        <v>37</v>
      </c>
      <c r="B7" s="541"/>
      <c r="C7" s="542"/>
      <c r="D7" s="1020" t="s">
        <v>356</v>
      </c>
      <c r="E7" s="1021"/>
      <c r="F7" s="1021"/>
      <c r="G7" s="1022"/>
      <c r="H7" s="775"/>
      <c r="I7" s="775"/>
      <c r="J7" s="1020" t="s">
        <v>356</v>
      </c>
      <c r="K7" s="1021"/>
      <c r="L7" s="1021"/>
      <c r="M7" s="1022"/>
      <c r="N7" s="1020" t="s">
        <v>356</v>
      </c>
      <c r="O7" s="1021"/>
      <c r="P7" s="1021"/>
      <c r="Q7" s="1021"/>
      <c r="R7" s="526" t="s">
        <v>347</v>
      </c>
    </row>
    <row r="8" spans="1:18">
      <c r="A8" s="1040"/>
      <c r="B8" s="543" t="s">
        <v>62</v>
      </c>
      <c r="C8" s="544" t="s">
        <v>737</v>
      </c>
      <c r="D8" s="1042">
        <f>0.6483-0.0017*'Prescriptive Path'!$H$34</f>
        <v>0.64829999999999999</v>
      </c>
      <c r="E8" s="1043"/>
      <c r="F8" s="1044"/>
      <c r="G8" s="1045"/>
      <c r="H8" s="555"/>
      <c r="I8" s="810"/>
      <c r="J8" s="1042">
        <f>0.6483-0.0017*'Prescriptive Path'!$H$34</f>
        <v>0.64829999999999999</v>
      </c>
      <c r="K8" s="1043"/>
      <c r="L8" s="1044"/>
      <c r="M8" s="1045"/>
      <c r="N8" s="1042">
        <f>0.6483-0.0017*'Prescriptive Path'!$H$34</f>
        <v>0.64829999999999999</v>
      </c>
      <c r="O8" s="1043"/>
      <c r="P8" s="1044"/>
      <c r="Q8" s="1045"/>
      <c r="R8" s="545">
        <f>IF('Prescriptive Path'!$K$1=4,Baseline!D8,IF('Prescriptive Path'!$K$1=5,Baseline!J8,Baseline!N8))</f>
        <v>0.64829999999999999</v>
      </c>
    </row>
    <row r="9" spans="1:18">
      <c r="A9" s="1040"/>
      <c r="B9" s="546" t="s">
        <v>63</v>
      </c>
      <c r="C9" s="544" t="s">
        <v>737</v>
      </c>
      <c r="D9" s="1023">
        <f>0.9307-0.0002*'Prescriptive Path'!$H$37</f>
        <v>0.93069999999999997</v>
      </c>
      <c r="E9" s="1024"/>
      <c r="F9" s="1024"/>
      <c r="G9" s="1025"/>
      <c r="H9" s="555"/>
      <c r="I9" s="811"/>
      <c r="J9" s="1023">
        <f>0.9307-0.0002*'Prescriptive Path'!$H$37</f>
        <v>0.93069999999999997</v>
      </c>
      <c r="K9" s="1024"/>
      <c r="L9" s="1024"/>
      <c r="M9" s="1025"/>
      <c r="N9" s="1023">
        <f>0.9307-0.0002*'Prescriptive Path'!$H$37</f>
        <v>0.93069999999999997</v>
      </c>
      <c r="O9" s="1024"/>
      <c r="P9" s="1024"/>
      <c r="Q9" s="1025"/>
      <c r="R9" s="545">
        <f>IF('Prescriptive Path'!$K$1=4,Baseline!D9,IF('Prescriptive Path'!$K$1=5,Baseline!J9,Baseline!N9))</f>
        <v>0.93069999999999997</v>
      </c>
    </row>
    <row r="10" spans="1:18">
      <c r="A10" s="1040"/>
      <c r="B10" s="546" t="s">
        <v>64</v>
      </c>
      <c r="C10" s="547" t="s">
        <v>693</v>
      </c>
      <c r="D10" s="1017">
        <v>0.8</v>
      </c>
      <c r="E10" s="1018"/>
      <c r="F10" s="1018"/>
      <c r="G10" s="1019"/>
      <c r="H10" s="555"/>
      <c r="I10" s="812"/>
      <c r="J10" s="1017">
        <v>0.8</v>
      </c>
      <c r="K10" s="1018"/>
      <c r="L10" s="1018"/>
      <c r="M10" s="1019"/>
      <c r="N10" s="1017">
        <v>0.8</v>
      </c>
      <c r="O10" s="1018"/>
      <c r="P10" s="1018"/>
      <c r="Q10" s="1018"/>
      <c r="R10" s="545">
        <f>IF('Prescriptive Path'!$K$1=4,Baseline!D10,IF('Prescriptive Path'!$K$1=5,Baseline!J10,Baseline!N10))</f>
        <v>0.8</v>
      </c>
    </row>
    <row r="11" spans="1:18">
      <c r="A11" s="1040"/>
      <c r="B11" s="548" t="s">
        <v>355</v>
      </c>
      <c r="C11" s="547" t="s">
        <v>694</v>
      </c>
      <c r="D11" s="1017">
        <v>2.5</v>
      </c>
      <c r="E11" s="1018"/>
      <c r="F11" s="1018"/>
      <c r="G11" s="1019"/>
      <c r="H11" s="555"/>
      <c r="I11" s="812"/>
      <c r="J11" s="1017">
        <v>2.5</v>
      </c>
      <c r="K11" s="1018"/>
      <c r="L11" s="1018"/>
      <c r="M11" s="1019"/>
      <c r="N11" s="1017">
        <v>2.5</v>
      </c>
      <c r="O11" s="1018"/>
      <c r="P11" s="1018"/>
      <c r="Q11" s="1018"/>
      <c r="R11" s="136">
        <v>2.5</v>
      </c>
    </row>
    <row r="12" spans="1:18" ht="15.75" thickBot="1">
      <c r="A12" s="1041"/>
      <c r="B12" s="549" t="s">
        <v>363</v>
      </c>
      <c r="C12" s="547" t="s">
        <v>694</v>
      </c>
      <c r="D12" s="1017">
        <v>2.2000000000000002</v>
      </c>
      <c r="E12" s="1018"/>
      <c r="F12" s="1018"/>
      <c r="G12" s="1019"/>
      <c r="H12" s="555"/>
      <c r="I12" s="812"/>
      <c r="J12" s="1017">
        <v>2.2000000000000002</v>
      </c>
      <c r="K12" s="1018"/>
      <c r="L12" s="1018"/>
      <c r="M12" s="1019"/>
      <c r="N12" s="1017">
        <v>2.2000000000000002</v>
      </c>
      <c r="O12" s="1018"/>
      <c r="P12" s="1018"/>
      <c r="Q12" s="1018"/>
      <c r="R12" s="133">
        <v>2.2000000000000002</v>
      </c>
    </row>
    <row r="13" spans="1:18" ht="45.75" thickBot="1">
      <c r="A13" s="550" t="s">
        <v>42</v>
      </c>
      <c r="B13" s="541"/>
      <c r="C13" s="541"/>
      <c r="D13" s="551" t="s">
        <v>65</v>
      </c>
      <c r="E13" s="551" t="s">
        <v>66</v>
      </c>
      <c r="F13" s="551"/>
      <c r="G13" s="551" t="s">
        <v>67</v>
      </c>
      <c r="H13" s="779"/>
      <c r="I13" s="779"/>
      <c r="J13" s="551" t="s">
        <v>65</v>
      </c>
      <c r="K13" s="551" t="s">
        <v>66</v>
      </c>
      <c r="L13" s="551"/>
      <c r="M13" s="551" t="s">
        <v>67</v>
      </c>
      <c r="N13" s="551" t="s">
        <v>65</v>
      </c>
      <c r="O13" s="551" t="s">
        <v>66</v>
      </c>
      <c r="P13" s="552"/>
      <c r="Q13" s="552" t="s">
        <v>67</v>
      </c>
      <c r="R13" s="526" t="s">
        <v>347</v>
      </c>
    </row>
    <row r="14" spans="1:18">
      <c r="A14" s="1008" t="s">
        <v>26</v>
      </c>
      <c r="B14" s="543" t="s">
        <v>89</v>
      </c>
      <c r="C14" s="553" t="s">
        <v>695</v>
      </c>
      <c r="D14" s="554" t="s">
        <v>705</v>
      </c>
      <c r="E14" s="554">
        <v>3.2000000000000001E-2</v>
      </c>
      <c r="F14" s="555"/>
      <c r="G14" s="554" t="str">
        <f t="shared" ref="G14:G20" si="0">"U-"&amp;$E14</f>
        <v>U-0.032</v>
      </c>
      <c r="H14" s="555"/>
      <c r="I14" s="703"/>
      <c r="J14" s="554" t="s">
        <v>705</v>
      </c>
      <c r="K14" s="554">
        <v>3.2000000000000001E-2</v>
      </c>
      <c r="L14" s="554"/>
      <c r="M14" s="554" t="str">
        <f>"U-"&amp;$K14</f>
        <v>U-0.032</v>
      </c>
      <c r="N14" s="554" t="s">
        <v>705</v>
      </c>
      <c r="O14" s="554">
        <v>3.2000000000000001E-2</v>
      </c>
      <c r="P14" s="556"/>
      <c r="Q14" s="557" t="str">
        <f>"U-"&amp;$O14</f>
        <v>U-0.032</v>
      </c>
      <c r="R14" s="545">
        <f>IF('Prescriptive Path'!$K$1=4,Baseline!E14,IF('Prescriptive Path'!$K$1=5,Baseline!K14,Baseline!O14))</f>
        <v>3.2000000000000001E-2</v>
      </c>
    </row>
    <row r="15" spans="1:18">
      <c r="A15" s="1008"/>
      <c r="B15" s="558" t="s">
        <v>48</v>
      </c>
      <c r="C15" s="553" t="s">
        <v>695</v>
      </c>
      <c r="D15" s="559" t="s">
        <v>704</v>
      </c>
      <c r="E15" s="559">
        <v>3.6999999999999998E-2</v>
      </c>
      <c r="F15" s="555"/>
      <c r="G15" s="560" t="str">
        <f t="shared" si="0"/>
        <v>U-0.037</v>
      </c>
      <c r="H15" s="555"/>
      <c r="I15" s="555"/>
      <c r="J15" s="559" t="s">
        <v>704</v>
      </c>
      <c r="K15" s="559">
        <v>3.6999999999999998E-2</v>
      </c>
      <c r="L15" s="559"/>
      <c r="M15" s="560" t="str">
        <f t="shared" ref="M15:M25" si="1">"U-"&amp;$K15</f>
        <v>U-0.037</v>
      </c>
      <c r="N15" s="559" t="s">
        <v>702</v>
      </c>
      <c r="O15" s="559">
        <v>2.9000000000000001E-2</v>
      </c>
      <c r="P15" s="561"/>
      <c r="Q15" s="562" t="str">
        <f t="shared" ref="Q15:Q25" si="2">"U-"&amp;$O15</f>
        <v>U-0.029</v>
      </c>
      <c r="R15" s="545">
        <f>IF('Prescriptive Path'!$K$1=4,Baseline!E15,IF('Prescriptive Path'!$K$1=5,Baseline!K15,Baseline!O15))</f>
        <v>3.6999999999999998E-2</v>
      </c>
    </row>
    <row r="16" spans="1:18">
      <c r="A16" s="1008"/>
      <c r="B16" s="558" t="s">
        <v>50</v>
      </c>
      <c r="C16" s="553" t="s">
        <v>695</v>
      </c>
      <c r="D16" s="560" t="s">
        <v>568</v>
      </c>
      <c r="E16" s="560">
        <v>2.1000000000000001E-2</v>
      </c>
      <c r="F16" s="555"/>
      <c r="G16" s="560" t="str">
        <f t="shared" si="0"/>
        <v>U-0.021</v>
      </c>
      <c r="H16" s="555"/>
      <c r="I16" s="555"/>
      <c r="J16" s="560" t="s">
        <v>568</v>
      </c>
      <c r="K16" s="560">
        <v>2.1000000000000001E-2</v>
      </c>
      <c r="L16" s="560"/>
      <c r="M16" s="560" t="str">
        <f t="shared" si="1"/>
        <v>U-0.021</v>
      </c>
      <c r="N16" s="560" t="s">
        <v>568</v>
      </c>
      <c r="O16" s="560">
        <v>2.1000000000000001E-2</v>
      </c>
      <c r="P16" s="562"/>
      <c r="Q16" s="562" t="str">
        <f t="shared" si="2"/>
        <v>U-0.021</v>
      </c>
      <c r="R16" s="545">
        <f>IF('Prescriptive Path'!$K$1=4,Baseline!E16,IF('Prescriptive Path'!$K$1=5,Baseline!K16,Baseline!O16))</f>
        <v>2.1000000000000001E-2</v>
      </c>
    </row>
    <row r="17" spans="1:18">
      <c r="A17" s="1008" t="s">
        <v>68</v>
      </c>
      <c r="B17" s="558" t="s">
        <v>87</v>
      </c>
      <c r="C17" s="553" t="s">
        <v>695</v>
      </c>
      <c r="D17" s="560" t="s">
        <v>167</v>
      </c>
      <c r="E17" s="560">
        <v>0.09</v>
      </c>
      <c r="F17" s="555"/>
      <c r="G17" s="560" t="str">
        <f t="shared" si="0"/>
        <v>U-0.09</v>
      </c>
      <c r="H17" s="555"/>
      <c r="I17" s="555"/>
      <c r="J17" s="560" t="s">
        <v>169</v>
      </c>
      <c r="K17" s="560">
        <v>0.08</v>
      </c>
      <c r="L17" s="560"/>
      <c r="M17" s="560" t="str">
        <f t="shared" si="1"/>
        <v>U-0.08</v>
      </c>
      <c r="N17" s="560" t="s">
        <v>170</v>
      </c>
      <c r="O17" s="563">
        <v>7.0999999999999994E-2</v>
      </c>
      <c r="P17" s="564"/>
      <c r="Q17" s="562" t="str">
        <f t="shared" si="2"/>
        <v>U-0.071</v>
      </c>
      <c r="R17" s="545">
        <f>IF('Prescriptive Path'!$K$1=4,Baseline!E17,IF('Prescriptive Path'!$K$1=5,Baseline!K17,Baseline!O17))</f>
        <v>0.08</v>
      </c>
    </row>
    <row r="18" spans="1:18">
      <c r="A18" s="1008"/>
      <c r="B18" s="558" t="s">
        <v>90</v>
      </c>
      <c r="C18" s="553" t="s">
        <v>695</v>
      </c>
      <c r="D18" s="560" t="s">
        <v>706</v>
      </c>
      <c r="E18" s="560">
        <v>6.4000000000000001E-2</v>
      </c>
      <c r="F18" s="555"/>
      <c r="G18" s="560" t="str">
        <f t="shared" si="0"/>
        <v>U-0.064</v>
      </c>
      <c r="H18" s="555"/>
      <c r="I18" s="555"/>
      <c r="J18" s="560" t="s">
        <v>698</v>
      </c>
      <c r="K18" s="563">
        <v>5.5E-2</v>
      </c>
      <c r="L18" s="563"/>
      <c r="M18" s="560" t="str">
        <f t="shared" si="1"/>
        <v>U-0.055</v>
      </c>
      <c r="N18" s="560" t="s">
        <v>710</v>
      </c>
      <c r="O18" s="563">
        <v>4.9000000000000002E-2</v>
      </c>
      <c r="P18" s="564"/>
      <c r="Q18" s="562" t="str">
        <f t="shared" si="2"/>
        <v>U-0.049</v>
      </c>
      <c r="R18" s="545">
        <f>IF('Prescriptive Path'!$K$1=4,Baseline!E18,IF('Prescriptive Path'!$K$1=5,Baseline!K18,Baseline!O18))</f>
        <v>5.5E-2</v>
      </c>
    </row>
    <row r="19" spans="1:18">
      <c r="A19" s="1008"/>
      <c r="B19" s="558" t="s">
        <v>210</v>
      </c>
      <c r="C19" s="553" t="s">
        <v>695</v>
      </c>
      <c r="D19" s="560" t="s">
        <v>530</v>
      </c>
      <c r="E19" s="560">
        <v>8.4000000000000005E-2</v>
      </c>
      <c r="F19" s="555"/>
      <c r="G19" s="560" t="str">
        <f t="shared" si="0"/>
        <v>U-0.084</v>
      </c>
      <c r="H19" s="555"/>
      <c r="I19" s="555"/>
      <c r="J19" s="560" t="s">
        <v>699</v>
      </c>
      <c r="K19" s="563">
        <v>0.05</v>
      </c>
      <c r="L19" s="563"/>
      <c r="M19" s="560" t="str">
        <f t="shared" si="1"/>
        <v>U-0.05</v>
      </c>
      <c r="N19" s="560" t="str">
        <f>J19</f>
        <v>R-0 + R-19 c.i.</v>
      </c>
      <c r="O19" s="563">
        <f>K19</f>
        <v>0.05</v>
      </c>
      <c r="P19" s="564"/>
      <c r="Q19" s="562" t="str">
        <f t="shared" si="2"/>
        <v>U-0.05</v>
      </c>
      <c r="R19" s="545">
        <f>IF('Prescriptive Path'!$K$1=4,Baseline!E19,IF('Prescriptive Path'!$K$1=5,Baseline!K19,Baseline!O19))</f>
        <v>0.05</v>
      </c>
    </row>
    <row r="20" spans="1:18" ht="30">
      <c r="A20" s="1008"/>
      <c r="B20" s="558" t="s">
        <v>227</v>
      </c>
      <c r="C20" s="553" t="s">
        <v>695</v>
      </c>
      <c r="D20" s="565" t="s">
        <v>707</v>
      </c>
      <c r="E20" s="560">
        <v>6.4000000000000001E-2</v>
      </c>
      <c r="F20" s="555"/>
      <c r="G20" s="560" t="str">
        <f t="shared" si="0"/>
        <v>U-0.064</v>
      </c>
      <c r="H20" s="555"/>
      <c r="I20" s="555"/>
      <c r="J20" s="560" t="s">
        <v>709</v>
      </c>
      <c r="K20" s="563">
        <v>5.0999999999999997E-2</v>
      </c>
      <c r="L20" s="563"/>
      <c r="M20" s="560" t="str">
        <f t="shared" si="1"/>
        <v>U-0.051</v>
      </c>
      <c r="N20" s="560" t="s">
        <v>709</v>
      </c>
      <c r="O20" s="563">
        <v>5.0999999999999997E-2</v>
      </c>
      <c r="P20" s="564"/>
      <c r="Q20" s="562" t="str">
        <f t="shared" si="2"/>
        <v>U-0.051</v>
      </c>
      <c r="R20" s="545">
        <f>IF('Prescriptive Path'!$K$1=4,Baseline!E20,IF('Prescriptive Path'!$K$1=5,Baseline!K20,Baseline!O20))</f>
        <v>5.0999999999999997E-2</v>
      </c>
    </row>
    <row r="21" spans="1:18">
      <c r="A21" s="1008" t="s">
        <v>69</v>
      </c>
      <c r="B21" s="558" t="s">
        <v>3</v>
      </c>
      <c r="C21" s="553" t="s">
        <v>695</v>
      </c>
      <c r="D21" s="565" t="s">
        <v>696</v>
      </c>
      <c r="E21" s="563">
        <v>9.1999999999999998E-2</v>
      </c>
      <c r="F21" s="555"/>
      <c r="G21" s="560" t="str">
        <f>"C-"&amp;$E21</f>
        <v>C-0.092</v>
      </c>
      <c r="H21" s="555"/>
      <c r="I21" s="555"/>
      <c r="J21" s="565" t="s">
        <v>696</v>
      </c>
      <c r="K21" s="563">
        <v>9.1999999999999998E-2</v>
      </c>
      <c r="L21" s="563"/>
      <c r="M21" s="560" t="str">
        <f>"C-"&amp;$K21</f>
        <v>C-0.092</v>
      </c>
      <c r="N21" s="565" t="s">
        <v>703</v>
      </c>
      <c r="O21" s="563">
        <v>6.3E-2</v>
      </c>
      <c r="P21" s="564"/>
      <c r="Q21" s="562" t="str">
        <f>"C-"&amp;$O21</f>
        <v>C-0.063</v>
      </c>
      <c r="R21" s="545">
        <f>IF('Prescriptive Path'!$K$1=4,Baseline!E21,IF('Prescriptive Path'!$K$1=5,Baseline!K21,Baseline!O21))</f>
        <v>9.1999999999999998E-2</v>
      </c>
    </row>
    <row r="22" spans="1:18">
      <c r="A22" s="1008"/>
      <c r="B22" s="558" t="s">
        <v>70</v>
      </c>
      <c r="C22" s="553" t="s">
        <v>695</v>
      </c>
      <c r="D22" s="1030" t="s">
        <v>5</v>
      </c>
      <c r="E22" s="1030"/>
      <c r="F22" s="1030"/>
      <c r="G22" s="1030"/>
      <c r="H22" s="555"/>
      <c r="I22" s="555"/>
      <c r="J22" s="1030" t="s">
        <v>5</v>
      </c>
      <c r="K22" s="1030"/>
      <c r="L22" s="1030"/>
      <c r="M22" s="1030"/>
      <c r="N22" s="1030" t="s">
        <v>5</v>
      </c>
      <c r="O22" s="1030"/>
      <c r="P22" s="1031"/>
      <c r="Q22" s="1031"/>
      <c r="R22" s="536"/>
    </row>
    <row r="23" spans="1:18">
      <c r="A23" s="1008" t="s">
        <v>58</v>
      </c>
      <c r="B23" s="558" t="s">
        <v>88</v>
      </c>
      <c r="C23" s="553" t="s">
        <v>695</v>
      </c>
      <c r="D23" s="560" t="s">
        <v>697</v>
      </c>
      <c r="E23" s="560">
        <v>5.0999999999999997E-2</v>
      </c>
      <c r="F23" s="555"/>
      <c r="G23" s="560" t="str">
        <f>"U-"&amp;$E23</f>
        <v>U-0.051</v>
      </c>
      <c r="H23" s="555"/>
      <c r="I23" s="555"/>
      <c r="J23" s="560" t="s">
        <v>697</v>
      </c>
      <c r="K23" s="560">
        <v>5.0999999999999997E-2</v>
      </c>
      <c r="L23" s="560"/>
      <c r="M23" s="560" t="str">
        <f t="shared" si="1"/>
        <v>U-0.051</v>
      </c>
      <c r="N23" s="560" t="s">
        <v>697</v>
      </c>
      <c r="O23" s="560">
        <v>5.0999999999999997E-2</v>
      </c>
      <c r="P23" s="562"/>
      <c r="Q23" s="562" t="str">
        <f t="shared" si="2"/>
        <v>U-0.051</v>
      </c>
      <c r="R23" s="545">
        <f>IF('Prescriptive Path'!$K$1=4,Baseline!E23,IF('Prescriptive Path'!$K$1=5,Baseline!K23,Baseline!O23))</f>
        <v>5.0999999999999997E-2</v>
      </c>
    </row>
    <row r="24" spans="1:18">
      <c r="A24" s="1008"/>
      <c r="B24" s="558" t="s">
        <v>60</v>
      </c>
      <c r="C24" s="553" t="s">
        <v>695</v>
      </c>
      <c r="D24" s="560" t="s">
        <v>531</v>
      </c>
      <c r="E24" s="560">
        <v>3.7999999999999999E-2</v>
      </c>
      <c r="F24" s="555"/>
      <c r="G24" s="560" t="str">
        <f>"U-"&amp;$E24</f>
        <v>U-0.038</v>
      </c>
      <c r="H24" s="555"/>
      <c r="I24" s="555"/>
      <c r="J24" s="560" t="s">
        <v>531</v>
      </c>
      <c r="K24" s="560">
        <v>3.7999999999999999E-2</v>
      </c>
      <c r="L24" s="560"/>
      <c r="M24" s="560" t="str">
        <f t="shared" si="1"/>
        <v>U-0.038</v>
      </c>
      <c r="N24" s="560" t="s">
        <v>532</v>
      </c>
      <c r="O24" s="560">
        <v>3.2000000000000001E-2</v>
      </c>
      <c r="P24" s="562"/>
      <c r="Q24" s="562" t="str">
        <f t="shared" si="2"/>
        <v>U-0.032</v>
      </c>
      <c r="R24" s="545">
        <f>IF('Prescriptive Path'!$K$1=4,Baseline!E24,IF('Prescriptive Path'!$K$1=5,Baseline!K24,Baseline!O24))</f>
        <v>3.7999999999999999E-2</v>
      </c>
    </row>
    <row r="25" spans="1:18">
      <c r="A25" s="1008"/>
      <c r="B25" s="558" t="s">
        <v>71</v>
      </c>
      <c r="C25" s="553" t="s">
        <v>695</v>
      </c>
      <c r="D25" s="560" t="s">
        <v>531</v>
      </c>
      <c r="E25" s="560">
        <v>3.3000000000000002E-2</v>
      </c>
      <c r="F25" s="555"/>
      <c r="G25" s="560" t="str">
        <f>"U-"&amp;$E25</f>
        <v>U-0.033</v>
      </c>
      <c r="H25" s="555"/>
      <c r="I25" s="555"/>
      <c r="J25" s="560" t="s">
        <v>531</v>
      </c>
      <c r="K25" s="560">
        <v>3.3000000000000002E-2</v>
      </c>
      <c r="L25" s="560"/>
      <c r="M25" s="560" t="str">
        <f t="shared" si="1"/>
        <v>U-0.033</v>
      </c>
      <c r="N25" s="560" t="s">
        <v>532</v>
      </c>
      <c r="O25" s="560">
        <v>2.7E-2</v>
      </c>
      <c r="P25" s="562"/>
      <c r="Q25" s="562" t="str">
        <f t="shared" si="2"/>
        <v>U-0.027</v>
      </c>
      <c r="R25" s="545">
        <f>IF('Prescriptive Path'!$K$1=4,Baseline!E25,IF('Prescriptive Path'!$K$1=5,Baseline!K25,Baseline!O25))</f>
        <v>3.3000000000000002E-2</v>
      </c>
    </row>
    <row r="26" spans="1:18">
      <c r="A26" s="1008" t="s">
        <v>59</v>
      </c>
      <c r="B26" s="566" t="s">
        <v>30</v>
      </c>
      <c r="C26" s="553" t="s">
        <v>695</v>
      </c>
      <c r="D26" s="1031" t="s">
        <v>708</v>
      </c>
      <c r="E26" s="1032"/>
      <c r="F26" s="1032"/>
      <c r="G26" s="1033"/>
      <c r="H26" s="555"/>
      <c r="I26" s="811"/>
      <c r="J26" s="1031" t="s">
        <v>700</v>
      </c>
      <c r="K26" s="1032"/>
      <c r="L26" s="1032"/>
      <c r="M26" s="1033"/>
      <c r="N26" s="1030" t="s">
        <v>701</v>
      </c>
      <c r="O26" s="1030"/>
      <c r="P26" s="1031"/>
      <c r="Q26" s="1031"/>
      <c r="R26" s="536"/>
    </row>
    <row r="27" spans="1:18">
      <c r="A27" s="1008"/>
      <c r="B27" s="558" t="s">
        <v>24</v>
      </c>
      <c r="C27" s="553" t="s">
        <v>695</v>
      </c>
      <c r="D27" s="1030" t="s">
        <v>701</v>
      </c>
      <c r="E27" s="1030"/>
      <c r="F27" s="1030"/>
      <c r="G27" s="1030"/>
      <c r="H27" s="555"/>
      <c r="I27" s="555"/>
      <c r="J27" s="1030" t="s">
        <v>701</v>
      </c>
      <c r="K27" s="1030"/>
      <c r="L27" s="1030"/>
      <c r="M27" s="1030"/>
      <c r="N27" s="1030" t="s">
        <v>711</v>
      </c>
      <c r="O27" s="1030"/>
      <c r="P27" s="1031"/>
      <c r="Q27" s="1031"/>
      <c r="R27" s="536"/>
    </row>
    <row r="28" spans="1:18">
      <c r="A28" s="567" t="s">
        <v>11</v>
      </c>
      <c r="B28" s="558" t="s">
        <v>6</v>
      </c>
      <c r="C28" s="553" t="s">
        <v>695</v>
      </c>
      <c r="D28" s="560"/>
      <c r="E28" s="568">
        <v>0.5</v>
      </c>
      <c r="F28" s="555"/>
      <c r="G28" s="560" t="str">
        <f>"U-"&amp;$E28</f>
        <v>U-0.5</v>
      </c>
      <c r="H28" s="555"/>
      <c r="I28" s="555"/>
      <c r="J28" s="560"/>
      <c r="K28" s="568">
        <v>0.5</v>
      </c>
      <c r="L28" s="560"/>
      <c r="M28" s="560" t="str">
        <f>"U-"&amp;$K28</f>
        <v>U-0.5</v>
      </c>
      <c r="N28" s="560"/>
      <c r="O28" s="568">
        <v>0.5</v>
      </c>
      <c r="P28" s="562"/>
      <c r="Q28" s="562" t="str">
        <f>"U-"&amp;$O28</f>
        <v>U-0.5</v>
      </c>
      <c r="R28" s="545">
        <f>IF('Prescriptive Path'!$K$1=4,Baseline!E28,IF('Prescriptive Path'!$K$1=5,Baseline!K28,Baseline!O28))</f>
        <v>0.5</v>
      </c>
    </row>
    <row r="29" spans="1:18" ht="15" customHeight="1" thickBot="1">
      <c r="A29" s="569" t="s">
        <v>72</v>
      </c>
      <c r="B29" s="558" t="s">
        <v>7</v>
      </c>
      <c r="C29" s="570" t="s">
        <v>713</v>
      </c>
      <c r="D29" s="571"/>
      <c r="E29" s="571"/>
      <c r="F29" s="571"/>
      <c r="G29" s="560" t="s">
        <v>712</v>
      </c>
      <c r="H29" s="555"/>
      <c r="I29" s="555"/>
      <c r="J29" s="571"/>
      <c r="K29" s="571"/>
      <c r="L29" s="571"/>
      <c r="M29" s="560" t="s">
        <v>712</v>
      </c>
      <c r="N29" s="571"/>
      <c r="O29" s="571"/>
      <c r="P29" s="572"/>
      <c r="Q29" s="560" t="s">
        <v>712</v>
      </c>
      <c r="R29" s="536"/>
    </row>
    <row r="30" spans="1:18" ht="45.75" thickBot="1">
      <c r="A30" s="573"/>
      <c r="B30" s="574"/>
      <c r="C30" s="574"/>
      <c r="D30" s="551" t="s">
        <v>74</v>
      </c>
      <c r="E30" s="551" t="s">
        <v>66</v>
      </c>
      <c r="F30" s="551"/>
      <c r="G30" s="551" t="s">
        <v>67</v>
      </c>
      <c r="H30" s="779"/>
      <c r="I30" s="779"/>
      <c r="J30" s="551" t="s">
        <v>74</v>
      </c>
      <c r="K30" s="551" t="s">
        <v>66</v>
      </c>
      <c r="L30" s="551"/>
      <c r="M30" s="551" t="s">
        <v>67</v>
      </c>
      <c r="N30" s="551" t="s">
        <v>74</v>
      </c>
      <c r="O30" s="551" t="s">
        <v>66</v>
      </c>
      <c r="P30" s="552"/>
      <c r="Q30" s="552" t="s">
        <v>67</v>
      </c>
      <c r="R30" s="526" t="s">
        <v>347</v>
      </c>
    </row>
    <row r="31" spans="1:18" ht="45.75" customHeight="1">
      <c r="A31" s="573"/>
      <c r="B31" s="575" t="s">
        <v>8</v>
      </c>
      <c r="C31" s="576" t="s">
        <v>717</v>
      </c>
      <c r="D31" s="577">
        <v>0.4</v>
      </c>
      <c r="E31" s="577">
        <v>0.27</v>
      </c>
      <c r="F31" s="555"/>
      <c r="G31" s="577" t="s">
        <v>73</v>
      </c>
      <c r="H31" s="555"/>
      <c r="I31" s="813"/>
      <c r="J31" s="577">
        <v>0.4</v>
      </c>
      <c r="K31" s="577">
        <v>0.27</v>
      </c>
      <c r="L31" s="577"/>
      <c r="M31" s="577" t="s">
        <v>73</v>
      </c>
      <c r="N31" s="577">
        <v>0.4</v>
      </c>
      <c r="O31" s="577">
        <v>0.27</v>
      </c>
      <c r="P31" s="578"/>
      <c r="Q31" s="578" t="s">
        <v>73</v>
      </c>
      <c r="R31" s="545">
        <f>IF('Prescriptive Path'!$K$1=4,Baseline!E31,IF('Prescriptive Path'!$K$1=5,Baseline!K31,Baseline!O31))</f>
        <v>0.27</v>
      </c>
    </row>
    <row r="32" spans="1:18">
      <c r="A32" s="573"/>
      <c r="B32" s="579" t="s">
        <v>714</v>
      </c>
      <c r="C32" s="553" t="s">
        <v>695</v>
      </c>
      <c r="D32" s="560">
        <v>0.4</v>
      </c>
      <c r="E32" s="560">
        <v>0.42</v>
      </c>
      <c r="F32" s="555"/>
      <c r="G32" s="560" t="s">
        <v>715</v>
      </c>
      <c r="H32" s="555"/>
      <c r="I32" s="555"/>
      <c r="J32" s="560">
        <v>0.4</v>
      </c>
      <c r="K32" s="560">
        <v>0.42</v>
      </c>
      <c r="L32" s="560"/>
      <c r="M32" s="560" t="s">
        <v>715</v>
      </c>
      <c r="N32" s="560">
        <v>0.4</v>
      </c>
      <c r="O32" s="560">
        <v>0.42</v>
      </c>
      <c r="P32" s="562"/>
      <c r="Q32" s="580" t="s">
        <v>715</v>
      </c>
      <c r="R32" s="581">
        <f>IF('Prescriptive Path'!$K$1=4,Baseline!E32,IF('Prescriptive Path'!$K$1=5,Baseline!K32,Baseline!O32))</f>
        <v>0.42</v>
      </c>
    </row>
    <row r="33" spans="1:18">
      <c r="A33" s="573"/>
      <c r="B33" s="558" t="s">
        <v>9</v>
      </c>
      <c r="C33" s="553" t="s">
        <v>695</v>
      </c>
      <c r="D33" s="560">
        <v>0.4</v>
      </c>
      <c r="E33" s="560">
        <v>0.68</v>
      </c>
      <c r="F33" s="555"/>
      <c r="G33" s="560" t="s">
        <v>716</v>
      </c>
      <c r="H33" s="555"/>
      <c r="I33" s="555"/>
      <c r="J33" s="560">
        <v>0.4</v>
      </c>
      <c r="K33" s="560">
        <v>0.68</v>
      </c>
      <c r="L33" s="560"/>
      <c r="M33" s="560" t="s">
        <v>716</v>
      </c>
      <c r="N33" s="560">
        <v>0.4</v>
      </c>
      <c r="O33" s="560">
        <v>0.68</v>
      </c>
      <c r="P33" s="562"/>
      <c r="Q33" s="562" t="s">
        <v>716</v>
      </c>
      <c r="R33" s="545">
        <f>IF('Prescriptive Path'!$K$1=4,Baseline!E33,IF('Prescriptive Path'!$K$1=5,Baseline!K33,Baseline!O33))</f>
        <v>0.68</v>
      </c>
    </row>
    <row r="34" spans="1:18" ht="15.75" thickBot="1">
      <c r="A34" s="582"/>
      <c r="B34" s="575" t="s">
        <v>10</v>
      </c>
      <c r="C34" s="583" t="s">
        <v>695</v>
      </c>
      <c r="D34" s="577">
        <v>0.4</v>
      </c>
      <c r="E34" s="577">
        <v>0.5</v>
      </c>
      <c r="F34" s="584"/>
      <c r="G34" s="577" t="s">
        <v>168</v>
      </c>
      <c r="H34" s="555"/>
      <c r="I34" s="813"/>
      <c r="J34" s="577">
        <v>0.4</v>
      </c>
      <c r="K34" s="577">
        <v>0.5</v>
      </c>
      <c r="L34" s="577"/>
      <c r="M34" s="577" t="s">
        <v>168</v>
      </c>
      <c r="N34" s="577">
        <v>0.4</v>
      </c>
      <c r="O34" s="577">
        <v>0.5</v>
      </c>
      <c r="P34" s="578"/>
      <c r="Q34" s="578" t="s">
        <v>168</v>
      </c>
      <c r="R34" s="585">
        <f>IF('Prescriptive Path'!$K$1=4,Baseline!E34,IF('Prescriptive Path'!$K$1=5,Baseline!K34,Baseline!O34))</f>
        <v>0.5</v>
      </c>
    </row>
    <row r="35" spans="1:18" ht="15.75" thickBot="1">
      <c r="A35" s="586" t="s">
        <v>364</v>
      </c>
      <c r="B35" s="587" t="s">
        <v>362</v>
      </c>
      <c r="C35" s="588"/>
      <c r="D35" s="589"/>
      <c r="E35" s="589"/>
      <c r="F35" s="589"/>
      <c r="G35" s="589"/>
      <c r="H35" s="589"/>
      <c r="I35" s="589"/>
      <c r="J35" s="589"/>
      <c r="K35" s="589"/>
      <c r="L35" s="589"/>
      <c r="M35" s="589"/>
      <c r="N35" s="589"/>
      <c r="O35" s="589"/>
      <c r="P35" s="590"/>
      <c r="Q35" s="590"/>
      <c r="R35" s="591"/>
    </row>
    <row r="36" spans="1:18" ht="45.75" thickBot="1">
      <c r="A36" s="1026" t="s">
        <v>61</v>
      </c>
      <c r="B36" s="574"/>
      <c r="C36" s="574"/>
      <c r="D36" s="551" t="s">
        <v>357</v>
      </c>
      <c r="E36" s="551" t="s">
        <v>75</v>
      </c>
      <c r="F36" s="551"/>
      <c r="G36" s="551" t="s">
        <v>67</v>
      </c>
      <c r="H36" s="700" t="s">
        <v>799</v>
      </c>
      <c r="I36" s="700" t="s">
        <v>800</v>
      </c>
      <c r="J36" s="551" t="s">
        <v>357</v>
      </c>
      <c r="K36" s="551" t="s">
        <v>75</v>
      </c>
      <c r="L36" s="551"/>
      <c r="M36" s="551" t="s">
        <v>67</v>
      </c>
      <c r="N36" s="551" t="s">
        <v>357</v>
      </c>
      <c r="O36" s="551" t="s">
        <v>75</v>
      </c>
      <c r="P36" s="552"/>
      <c r="Q36" s="552" t="s">
        <v>67</v>
      </c>
      <c r="R36" s="526" t="s">
        <v>347</v>
      </c>
    </row>
    <row r="37" spans="1:18" ht="30.75" customHeight="1">
      <c r="A37" s="1027"/>
      <c r="B37" s="592" t="s">
        <v>676</v>
      </c>
      <c r="C37" s="593" t="s">
        <v>720</v>
      </c>
      <c r="D37" s="594"/>
      <c r="E37" s="595">
        <f>IF('Prescriptive Path'!H43*12000&lt;8000,9.7,IF('Prescriptive Path'!H43*12000&lt;14000,9.8,IF('Prescriptive Path'!H43*12000&lt;20000,9.7,8.5)))</f>
        <v>9.6999999999999993</v>
      </c>
      <c r="F37" s="555"/>
      <c r="G37" s="554" t="s">
        <v>211</v>
      </c>
      <c r="H37" s="809">
        <f>E37*'Prescriptive Path'!H42*'Prescriptive Path'!H43*12000/1000000</f>
        <v>0</v>
      </c>
      <c r="I37" s="702"/>
      <c r="J37" s="594"/>
      <c r="K37" s="595">
        <f>E37</f>
        <v>9.6999999999999993</v>
      </c>
      <c r="L37" s="595"/>
      <c r="M37" s="554" t="s">
        <v>211</v>
      </c>
      <c r="N37" s="594"/>
      <c r="O37" s="595">
        <f>K37</f>
        <v>9.6999999999999993</v>
      </c>
      <c r="P37" s="596"/>
      <c r="Q37" s="597" t="s">
        <v>211</v>
      </c>
      <c r="R37" s="545">
        <f>IF('Prescriptive Path'!$K$1=4,Baseline!E37,IF('Prescriptive Path'!$K$1=5,Baseline!K37,Baseline!O37))</f>
        <v>9.6999999999999993</v>
      </c>
    </row>
    <row r="38" spans="1:18" ht="30.75" customHeight="1">
      <c r="A38" s="1027"/>
      <c r="B38" s="598" t="s">
        <v>677</v>
      </c>
      <c r="C38" s="593" t="s">
        <v>720</v>
      </c>
      <c r="D38" s="594"/>
      <c r="E38" s="599">
        <f>IF('Prescriptive Path'!H45*12000&lt;8000,9,8.5)</f>
        <v>9</v>
      </c>
      <c r="F38" s="555"/>
      <c r="G38" s="554" t="str">
        <f>G37</f>
        <v>ENERGY STAR Qualified</v>
      </c>
      <c r="H38" s="704">
        <f>E38*'Prescriptive Path'!H44*'Prescriptive Path'!H45*12000/1000000</f>
        <v>0</v>
      </c>
      <c r="I38" s="702"/>
      <c r="J38" s="594"/>
      <c r="K38" s="599">
        <f>E38</f>
        <v>9</v>
      </c>
      <c r="L38" s="595"/>
      <c r="M38" s="554" t="str">
        <f>M37</f>
        <v>ENERGY STAR Qualified</v>
      </c>
      <c r="N38" s="594"/>
      <c r="O38" s="599">
        <f>K38</f>
        <v>9</v>
      </c>
      <c r="P38" s="596"/>
      <c r="Q38" s="596" t="str">
        <f>Q37</f>
        <v>ENERGY STAR Qualified</v>
      </c>
      <c r="R38" s="600">
        <f>O38</f>
        <v>9</v>
      </c>
    </row>
    <row r="39" spans="1:18" ht="30.75" customHeight="1">
      <c r="A39" s="1027"/>
      <c r="B39" s="601" t="s">
        <v>248</v>
      </c>
      <c r="C39" s="593" t="s">
        <v>719</v>
      </c>
      <c r="D39" s="571"/>
      <c r="E39" s="559">
        <f>13*0.875</f>
        <v>11.375</v>
      </c>
      <c r="F39" s="555"/>
      <c r="G39" s="560" t="s">
        <v>211</v>
      </c>
      <c r="H39" s="711">
        <f>E39*'Prescriptive Path'!H46*12000/1000000</f>
        <v>0</v>
      </c>
      <c r="I39" s="710"/>
      <c r="J39" s="571"/>
      <c r="K39" s="559">
        <v>11.375</v>
      </c>
      <c r="L39" s="559"/>
      <c r="M39" s="560" t="s">
        <v>211</v>
      </c>
      <c r="N39" s="571"/>
      <c r="O39" s="559">
        <v>11.375</v>
      </c>
      <c r="P39" s="561"/>
      <c r="Q39" s="561" t="s">
        <v>211</v>
      </c>
      <c r="R39" s="545">
        <f>IF('Prescriptive Path'!$K$1=4,Baseline!E39,IF('Prescriptive Path'!$K$1=5,Baseline!K39,Baseline!O39))</f>
        <v>11.375</v>
      </c>
    </row>
    <row r="40" spans="1:18" ht="30.75" customHeight="1">
      <c r="A40" s="1027"/>
      <c r="B40" s="602" t="s">
        <v>249</v>
      </c>
      <c r="C40" s="593" t="s">
        <v>719</v>
      </c>
      <c r="D40" s="571"/>
      <c r="E40" s="559">
        <f>13*0.875</f>
        <v>11.375</v>
      </c>
      <c r="F40" s="555"/>
      <c r="G40" s="560" t="s">
        <v>211</v>
      </c>
      <c r="H40" s="711">
        <f>E40*'Prescriptive Path'!H47*12000/1000000</f>
        <v>0</v>
      </c>
      <c r="I40" s="555"/>
      <c r="J40" s="571"/>
      <c r="K40" s="559">
        <v>11.375</v>
      </c>
      <c r="L40" s="559"/>
      <c r="M40" s="560" t="s">
        <v>211</v>
      </c>
      <c r="N40" s="571"/>
      <c r="O40" s="559">
        <v>11.375</v>
      </c>
      <c r="P40" s="561"/>
      <c r="Q40" s="561" t="s">
        <v>211</v>
      </c>
      <c r="R40" s="545">
        <f>IF('Prescriptive Path'!$K$1=4,Baseline!E40,IF('Prescriptive Path'!$K$1=5,Baseline!K40,Baseline!O40))</f>
        <v>11.375</v>
      </c>
    </row>
    <row r="41" spans="1:18" ht="30.75" customHeight="1">
      <c r="A41" s="1027"/>
      <c r="B41" s="122" t="s">
        <v>250</v>
      </c>
      <c r="C41" s="593" t="s">
        <v>719</v>
      </c>
      <c r="D41" s="571"/>
      <c r="E41" s="560">
        <v>11</v>
      </c>
      <c r="F41" s="555"/>
      <c r="G41" s="560" t="s">
        <v>171</v>
      </c>
      <c r="H41" s="711">
        <f>E41*'Prescriptive Path'!H48*12000/1000000</f>
        <v>0</v>
      </c>
      <c r="I41" s="555"/>
      <c r="J41" s="571"/>
      <c r="K41" s="560">
        <v>11</v>
      </c>
      <c r="L41" s="560"/>
      <c r="M41" s="560" t="s">
        <v>171</v>
      </c>
      <c r="N41" s="571"/>
      <c r="O41" s="560">
        <v>11</v>
      </c>
      <c r="P41" s="562"/>
      <c r="Q41" s="561" t="s">
        <v>171</v>
      </c>
      <c r="R41" s="545">
        <f>IF('Prescriptive Path'!$K$1=4,Baseline!E41,IF('Prescriptive Path'!$K$1=5,Baseline!K41,Baseline!O41))</f>
        <v>11</v>
      </c>
    </row>
    <row r="42" spans="1:18" ht="30.75" customHeight="1">
      <c r="A42" s="1027"/>
      <c r="B42" s="122" t="s">
        <v>251</v>
      </c>
      <c r="C42" s="593" t="s">
        <v>719</v>
      </c>
      <c r="D42" s="571"/>
      <c r="E42" s="560">
        <v>10.8</v>
      </c>
      <c r="F42" s="555"/>
      <c r="G42" s="560" t="s">
        <v>314</v>
      </c>
      <c r="H42" s="711">
        <f>E42*'Prescriptive Path'!H49*12000/1000000</f>
        <v>0</v>
      </c>
      <c r="I42" s="555"/>
      <c r="J42" s="571"/>
      <c r="K42" s="560">
        <v>10.8</v>
      </c>
      <c r="L42" s="560"/>
      <c r="M42" s="560" t="s">
        <v>314</v>
      </c>
      <c r="N42" s="571"/>
      <c r="O42" s="560">
        <v>10.8</v>
      </c>
      <c r="P42" s="562"/>
      <c r="Q42" s="561" t="s">
        <v>314</v>
      </c>
      <c r="R42" s="545">
        <f>IF('Prescriptive Path'!$K$1=4,Baseline!E42,IF('Prescriptive Path'!$K$1=5,Baseline!K42,Baseline!O42))</f>
        <v>10.8</v>
      </c>
    </row>
    <row r="43" spans="1:18" ht="30.75" customHeight="1">
      <c r="A43" s="1027"/>
      <c r="B43" s="122" t="s">
        <v>252</v>
      </c>
      <c r="C43" s="593" t="s">
        <v>719</v>
      </c>
      <c r="D43" s="571"/>
      <c r="E43" s="560">
        <v>9.8000000000000007</v>
      </c>
      <c r="F43" s="555"/>
      <c r="G43" s="560" t="s">
        <v>315</v>
      </c>
      <c r="H43" s="711">
        <f>E43*'Prescriptive Path'!H50*12000/1000000</f>
        <v>0</v>
      </c>
      <c r="I43" s="555"/>
      <c r="J43" s="571"/>
      <c r="K43" s="560">
        <v>9.8000000000000007</v>
      </c>
      <c r="L43" s="560"/>
      <c r="M43" s="560" t="s">
        <v>315</v>
      </c>
      <c r="N43" s="571"/>
      <c r="O43" s="560">
        <v>9.8000000000000007</v>
      </c>
      <c r="P43" s="562"/>
      <c r="Q43" s="561" t="s">
        <v>315</v>
      </c>
      <c r="R43" s="545">
        <f>IF('Prescriptive Path'!$K$1=4,Baseline!E43,IF('Prescriptive Path'!$K$1=5,Baseline!K43,Baseline!O43))</f>
        <v>9.8000000000000007</v>
      </c>
    </row>
    <row r="44" spans="1:18" ht="30.75" customHeight="1">
      <c r="A44" s="1027"/>
      <c r="B44" s="603" t="s">
        <v>31</v>
      </c>
      <c r="C44" s="603"/>
      <c r="D44" s="571"/>
      <c r="E44" s="571"/>
      <c r="F44" s="555"/>
      <c r="G44" s="565" t="s">
        <v>358</v>
      </c>
      <c r="H44" s="555"/>
      <c r="I44" s="555"/>
      <c r="J44" s="571"/>
      <c r="K44" s="571"/>
      <c r="L44" s="571"/>
      <c r="M44" s="565" t="s">
        <v>358</v>
      </c>
      <c r="N44" s="571"/>
      <c r="O44" s="571"/>
      <c r="P44" s="571"/>
      <c r="Q44" s="565" t="s">
        <v>358</v>
      </c>
      <c r="R44" s="545">
        <f>IF('Prescriptive Path'!$K$1=4,Baseline!E44,IF('Prescriptive Path'!$K$1=5,Baseline!K44,Baseline!O44))</f>
        <v>0</v>
      </c>
    </row>
    <row r="45" spans="1:18" ht="30.75" customHeight="1">
      <c r="A45" s="1027"/>
      <c r="B45" s="122" t="s">
        <v>239</v>
      </c>
      <c r="C45" s="122" t="s">
        <v>721</v>
      </c>
      <c r="D45" s="571"/>
      <c r="E45" s="571"/>
      <c r="F45" s="560">
        <v>0.78</v>
      </c>
      <c r="G45" s="560" t="s">
        <v>2</v>
      </c>
      <c r="H45" s="555"/>
      <c r="I45" s="711">
        <f>F45*'Prescriptive Path'!H51</f>
        <v>0</v>
      </c>
      <c r="J45" s="571"/>
      <c r="K45" s="560">
        <v>0.78</v>
      </c>
      <c r="L45" s="560"/>
      <c r="M45" s="560" t="s">
        <v>2</v>
      </c>
      <c r="N45" s="571"/>
      <c r="O45" s="560">
        <v>0.78</v>
      </c>
      <c r="P45" s="562"/>
      <c r="Q45" s="562" t="s">
        <v>2</v>
      </c>
      <c r="R45" s="545">
        <f>IF('Prescriptive Path'!$K$1=4,Baseline!F45,IF('Prescriptive Path'!$K$1=5,Baseline!K45,Baseline!O45))</f>
        <v>0.78</v>
      </c>
    </row>
    <row r="46" spans="1:18" ht="30.75" customHeight="1">
      <c r="A46" s="1027"/>
      <c r="B46" s="122" t="s">
        <v>240</v>
      </c>
      <c r="C46" s="122" t="s">
        <v>721</v>
      </c>
      <c r="D46" s="571"/>
      <c r="E46" s="571"/>
      <c r="F46" s="560">
        <v>0.78</v>
      </c>
      <c r="G46" s="560" t="s">
        <v>2</v>
      </c>
      <c r="H46" s="555"/>
      <c r="I46" s="711">
        <f>F46*'Prescriptive Path'!H52</f>
        <v>0</v>
      </c>
      <c r="J46" s="571"/>
      <c r="K46" s="560">
        <v>0.78</v>
      </c>
      <c r="L46" s="560"/>
      <c r="M46" s="560" t="s">
        <v>2</v>
      </c>
      <c r="N46" s="571"/>
      <c r="O46" s="560">
        <v>0.78</v>
      </c>
      <c r="P46" s="562"/>
      <c r="Q46" s="562" t="s">
        <v>2</v>
      </c>
      <c r="R46" s="545">
        <f>IF('Prescriptive Path'!$K$1=4,Baseline!F46,IF('Prescriptive Path'!$K$1=5,Baseline!K46,Baseline!O46))</f>
        <v>0.78</v>
      </c>
    </row>
    <row r="47" spans="1:18" ht="30.75" customHeight="1">
      <c r="A47" s="1027"/>
      <c r="B47" s="122" t="s">
        <v>801</v>
      </c>
      <c r="C47" s="122" t="s">
        <v>721</v>
      </c>
      <c r="D47" s="571"/>
      <c r="E47" s="571"/>
      <c r="F47" s="563">
        <v>0.8</v>
      </c>
      <c r="G47" s="559" t="s">
        <v>23</v>
      </c>
      <c r="H47" s="555"/>
      <c r="I47" s="711">
        <f>F47*'Prescriptive Path'!H53</f>
        <v>0</v>
      </c>
      <c r="J47" s="571"/>
      <c r="K47" s="559">
        <v>0.8</v>
      </c>
      <c r="L47" s="559"/>
      <c r="M47" s="559" t="s">
        <v>23</v>
      </c>
      <c r="N47" s="571"/>
      <c r="O47" s="559">
        <v>0.8</v>
      </c>
      <c r="P47" s="561"/>
      <c r="Q47" s="561" t="s">
        <v>23</v>
      </c>
      <c r="R47" s="545">
        <f>IF('Prescriptive Path'!$K$1=4,Baseline!F47,IF('Prescriptive Path'!$K$1=5,Baseline!K47,Baseline!O47))</f>
        <v>0.8</v>
      </c>
    </row>
    <row r="48" spans="1:18" ht="30.75" customHeight="1">
      <c r="A48" s="1027"/>
      <c r="B48" s="122" t="s">
        <v>802</v>
      </c>
      <c r="C48" s="122" t="s">
        <v>721</v>
      </c>
      <c r="D48" s="571"/>
      <c r="E48" s="571"/>
      <c r="F48" s="563">
        <v>0.8</v>
      </c>
      <c r="G48" s="778" t="s">
        <v>23</v>
      </c>
      <c r="H48" s="703"/>
      <c r="I48" s="711">
        <f>F48*'Prescriptive Path'!H54</f>
        <v>0</v>
      </c>
      <c r="J48" s="571"/>
      <c r="K48" s="778">
        <v>0.8</v>
      </c>
      <c r="L48" s="778"/>
      <c r="M48" s="778" t="s">
        <v>23</v>
      </c>
      <c r="N48" s="571"/>
      <c r="O48" s="778">
        <v>0.8</v>
      </c>
      <c r="P48" s="772"/>
      <c r="Q48" s="772" t="s">
        <v>23</v>
      </c>
      <c r="R48" s="545">
        <f>IF('Prescriptive Path'!$K$1=4,Baseline!F48,IF('Prescriptive Path'!$K$1=5,Baseline!K48,Baseline!O48))</f>
        <v>0.8</v>
      </c>
    </row>
    <row r="49" spans="1:20" ht="35.25" customHeight="1">
      <c r="A49" s="1027"/>
      <c r="B49" s="122" t="s">
        <v>242</v>
      </c>
      <c r="C49" s="122" t="s">
        <v>723</v>
      </c>
      <c r="D49" s="571"/>
      <c r="E49" s="802">
        <f>ROUND(IF('Prescriptive Path'!H55*12000&lt;7000,14-(0.3*(7000/1000)),IF('Prescriptive Path'!H55*12000&gt;15000,14-(0.3*(15000/1000)),13.8-(0.3*('Prescriptive Path'!H55*12000/1000)))),1)</f>
        <v>11.9</v>
      </c>
      <c r="F49" s="555"/>
      <c r="G49" s="605" t="s">
        <v>725</v>
      </c>
      <c r="H49" s="808">
        <f>E49*'Prescriptive Path'!H55*'Prescriptive Path'!H56*12000/1000000</f>
        <v>0</v>
      </c>
      <c r="I49" s="713"/>
      <c r="J49" s="571"/>
      <c r="K49" s="604">
        <f>ROUND(IF('Prescriptive Path'!L55*12000&lt;7000,14-(0.3*(7000/1000)),IF('Prescriptive Path'!L55*12000&gt;15000,14-(0.3*(15000/1000)),13.8-(0.3*('Prescriptive Path'!L55*12000/1000)))),1)</f>
        <v>11.9</v>
      </c>
      <c r="L49" s="604"/>
      <c r="M49" s="605" t="s">
        <v>725</v>
      </c>
      <c r="N49" s="571"/>
      <c r="O49" s="604">
        <f>ROUND(IF('Prescriptive Path'!P55*12000&lt;7000,14-(0.3*(7000/1000)),IF('Prescriptive Path'!P55*12000&gt;15000,14-(0.3*(15000/1000)),13.8-(0.3*('Prescriptive Path'!P55*12000/1000)))),1)</f>
        <v>11.9</v>
      </c>
      <c r="P49" s="606"/>
      <c r="Q49" s="605" t="s">
        <v>725</v>
      </c>
      <c r="R49" s="607"/>
    </row>
    <row r="50" spans="1:20" ht="30.75" customHeight="1">
      <c r="A50" s="1027"/>
      <c r="B50" s="122" t="s">
        <v>243</v>
      </c>
      <c r="C50" s="122" t="s">
        <v>724</v>
      </c>
      <c r="D50" s="608">
        <v>8.1999999999999993</v>
      </c>
      <c r="E50" s="802">
        <f>13*0.875</f>
        <v>11.375</v>
      </c>
      <c r="F50" s="555"/>
      <c r="G50" s="565" t="s">
        <v>798</v>
      </c>
      <c r="H50" s="719">
        <f>E50*'Prescriptive Path'!H57*12000/1000000</f>
        <v>0</v>
      </c>
      <c r="I50" s="711">
        <f>D50*'Prescriptive Path'!H57*12000/1000000</f>
        <v>0</v>
      </c>
      <c r="J50" s="608">
        <v>8.1999999999999993</v>
      </c>
      <c r="K50" s="608">
        <f>14*0.875</f>
        <v>12.25</v>
      </c>
      <c r="L50" s="608"/>
      <c r="M50" s="565" t="str">
        <f>G50</f>
        <v>13.0 SEER/8.2 HSPF</v>
      </c>
      <c r="N50" s="608">
        <f>8.2/3.412</f>
        <v>2.4032825322391558</v>
      </c>
      <c r="O50" s="608">
        <f>14*0.875</f>
        <v>12.25</v>
      </c>
      <c r="P50" s="609"/>
      <c r="Q50" s="565" t="str">
        <f>M50</f>
        <v>13.0 SEER/8.2 HSPF</v>
      </c>
      <c r="R50" s="136"/>
    </row>
    <row r="51" spans="1:20" ht="30.75" customHeight="1">
      <c r="A51" s="1027"/>
      <c r="B51" s="122" t="s">
        <v>253</v>
      </c>
      <c r="C51" s="122" t="s">
        <v>724</v>
      </c>
      <c r="D51" s="563">
        <v>3.3</v>
      </c>
      <c r="E51" s="560">
        <v>10.8</v>
      </c>
      <c r="F51" s="555"/>
      <c r="G51" s="565" t="s">
        <v>726</v>
      </c>
      <c r="H51" s="719">
        <f>E51*'Prescriptive Path'!H58*12000/1000000</f>
        <v>0</v>
      </c>
      <c r="I51" s="711">
        <f>D51*'Prescriptive Path'!H58*12000/1000000</f>
        <v>0</v>
      </c>
      <c r="J51" s="560">
        <v>3.3</v>
      </c>
      <c r="K51" s="560">
        <v>10.8</v>
      </c>
      <c r="L51" s="560"/>
      <c r="M51" s="565" t="s">
        <v>726</v>
      </c>
      <c r="N51" s="560">
        <v>3.3</v>
      </c>
      <c r="O51" s="560">
        <v>10.8</v>
      </c>
      <c r="P51" s="562"/>
      <c r="Q51" s="565" t="s">
        <v>726</v>
      </c>
      <c r="R51" s="136"/>
    </row>
    <row r="52" spans="1:20" ht="30.75" customHeight="1">
      <c r="A52" s="1027"/>
      <c r="B52" s="122" t="s">
        <v>254</v>
      </c>
      <c r="C52" s="122" t="s">
        <v>724</v>
      </c>
      <c r="D52" s="563">
        <v>3.2</v>
      </c>
      <c r="E52" s="560">
        <v>10.4</v>
      </c>
      <c r="F52" s="555"/>
      <c r="G52" s="565" t="s">
        <v>727</v>
      </c>
      <c r="H52" s="719">
        <f>E52*'Prescriptive Path'!H59*12000/1000000</f>
        <v>0</v>
      </c>
      <c r="I52" s="711">
        <f>D52*'Prescriptive Path'!H59*12000/1000000</f>
        <v>0</v>
      </c>
      <c r="J52" s="560">
        <v>3.2</v>
      </c>
      <c r="K52" s="560">
        <v>10.4</v>
      </c>
      <c r="L52" s="560"/>
      <c r="M52" s="565" t="s">
        <v>727</v>
      </c>
      <c r="N52" s="560">
        <v>3.2</v>
      </c>
      <c r="O52" s="560">
        <v>10.4</v>
      </c>
      <c r="P52" s="562"/>
      <c r="Q52" s="565" t="s">
        <v>727</v>
      </c>
      <c r="R52" s="136"/>
    </row>
    <row r="53" spans="1:20" ht="30.75" customHeight="1">
      <c r="A53" s="1027"/>
      <c r="B53" s="122" t="s">
        <v>244</v>
      </c>
      <c r="C53" s="122" t="s">
        <v>724</v>
      </c>
      <c r="D53" s="563">
        <v>3.2</v>
      </c>
      <c r="E53" s="559">
        <v>9.3000000000000007</v>
      </c>
      <c r="F53" s="555"/>
      <c r="G53" s="565" t="s">
        <v>728</v>
      </c>
      <c r="H53" s="719">
        <f>E53*'Prescriptive Path'!H60*12000/1000000</f>
        <v>0</v>
      </c>
      <c r="I53" s="711">
        <f>D53*'Prescriptive Path'!H60*12000/1000000</f>
        <v>0</v>
      </c>
      <c r="J53" s="560">
        <v>3.2</v>
      </c>
      <c r="K53" s="559">
        <v>9.3000000000000007</v>
      </c>
      <c r="L53" s="559"/>
      <c r="M53" s="565" t="s">
        <v>728</v>
      </c>
      <c r="N53" s="560">
        <v>3.2</v>
      </c>
      <c r="O53" s="559">
        <v>9.3000000000000007</v>
      </c>
      <c r="P53" s="561"/>
      <c r="Q53" s="565" t="s">
        <v>728</v>
      </c>
      <c r="R53" s="136"/>
    </row>
    <row r="54" spans="1:20" ht="30.75" customHeight="1">
      <c r="A54" s="1027"/>
      <c r="B54" s="122" t="s">
        <v>245</v>
      </c>
      <c r="C54" s="122" t="s">
        <v>722</v>
      </c>
      <c r="D54" s="555"/>
      <c r="E54" s="555"/>
      <c r="F54" s="559">
        <v>0.82</v>
      </c>
      <c r="G54" s="610" t="s">
        <v>729</v>
      </c>
      <c r="H54" s="555"/>
      <c r="I54" s="711">
        <f>F54*'Prescriptive Path'!H61</f>
        <v>0</v>
      </c>
      <c r="J54" s="555"/>
      <c r="K54" s="559">
        <v>0.82</v>
      </c>
      <c r="L54" s="555"/>
      <c r="M54" s="610" t="s">
        <v>729</v>
      </c>
      <c r="N54" s="555"/>
      <c r="O54" s="559">
        <v>0.82</v>
      </c>
      <c r="P54" s="555"/>
      <c r="Q54" s="610" t="s">
        <v>729</v>
      </c>
      <c r="R54" s="545">
        <f>IF('Prescriptive Path'!$K$1=4,Baseline!F54,IF('Prescriptive Path'!$K$1=5,Baseline!K54,Baseline!O54))</f>
        <v>0.82</v>
      </c>
    </row>
    <row r="55" spans="1:20" ht="30.75" customHeight="1">
      <c r="A55" s="1027"/>
      <c r="B55" s="122" t="s">
        <v>246</v>
      </c>
      <c r="C55" s="123" t="s">
        <v>722</v>
      </c>
      <c r="D55" s="584"/>
      <c r="E55" s="584"/>
      <c r="F55" s="611">
        <f>IF('Prescriptive Path'!H62&lt;2500,0.8,0.82)</f>
        <v>0.8</v>
      </c>
      <c r="G55" s="610" t="str">
        <f>IF('Prescriptive Path'!H62&lt;2500,"80% Et","82% Ec")</f>
        <v>80% Et</v>
      </c>
      <c r="H55" s="555"/>
      <c r="I55" s="711">
        <f>F55*'Prescriptive Path'!H62</f>
        <v>0</v>
      </c>
      <c r="J55" s="555"/>
      <c r="K55" s="611">
        <f>IF('Prescriptive Path'!L62&lt;2500,0.8,0.82)</f>
        <v>0.8</v>
      </c>
      <c r="L55" s="555"/>
      <c r="M55" s="610" t="str">
        <f>IF('Prescriptive Path'!L62&lt;2500,"80% Et","82% Ec")</f>
        <v>80% Et</v>
      </c>
      <c r="N55" s="555"/>
      <c r="O55" s="611">
        <f>IF('Prescriptive Path'!P62&lt;2500,0.8,0.82)</f>
        <v>0.8</v>
      </c>
      <c r="P55" s="555"/>
      <c r="Q55" s="610" t="str">
        <f>IF('Prescriptive Path'!P62&lt;2500,"80% Et","82% Ec")</f>
        <v>80% Et</v>
      </c>
      <c r="R55" s="545">
        <f>F55</f>
        <v>0.8</v>
      </c>
      <c r="S55" s="79" t="s">
        <v>670</v>
      </c>
      <c r="T55" s="79" t="s">
        <v>672</v>
      </c>
    </row>
    <row r="56" spans="1:20" ht="30.75" customHeight="1" thickBot="1">
      <c r="A56" s="1027"/>
      <c r="B56" s="52" t="s">
        <v>247</v>
      </c>
      <c r="C56" s="612" t="s">
        <v>731</v>
      </c>
      <c r="D56" s="804">
        <f>IF('Prescriptive Path'!$H$64&lt;65000,7.7,IF('Prescriptive Path'!$H$64&lt;135000,3.3,3.2))</f>
        <v>7.7</v>
      </c>
      <c r="E56" s="613">
        <f>IF('Prescriptive Path'!$H$64&lt;65000,13*0.875,IF('Prescriptive Path'!$D$65="No",IF('Prescriptive Path'!$H$64&lt;135000,11,IF('Prescriptive Path'!$H$64&lt;240000,10.6,9.5)),IF('Prescriptive Path'!$H$64&lt;135000,10.8,IF('Prescriptive Path'!$H$64&lt;240000,10.4,9.3))))</f>
        <v>11.375</v>
      </c>
      <c r="F56" s="804">
        <f>IF('Prescriptive Path'!$H$64&lt;65000,7.7,IF('Prescriptive Path'!$H$64&lt;135000,2.25,2.05))</f>
        <v>7.7</v>
      </c>
      <c r="G56" s="615" t="s">
        <v>731</v>
      </c>
      <c r="H56" s="613">
        <f>E56*'Prescriptive Path'!H64/1000000</f>
        <v>0</v>
      </c>
      <c r="I56" s="768">
        <f>F56*'Prescriptive Path'!H63/1000000</f>
        <v>0</v>
      </c>
      <c r="J56" s="613">
        <f>IF('Prescriptive Path'!$H$64&lt;65000,7.7,IF('Prescriptive Path'!$H$64&lt;135000,3.3,3.2))</f>
        <v>7.7</v>
      </c>
      <c r="K56" s="613">
        <f>IF('Prescriptive Path'!$H$64&lt;65000,13,IF('Prescriptive Path'!$D$65="No",IF('Prescriptive Path'!$H$64&lt;135000,11,IF('Prescriptive Path'!$H$64&lt;240000,10.6,9.5)),IF('Prescriptive Path'!$H$64&lt;135000,10.8,IF('Prescriptive Path'!$H$64&lt;240000,10.4,9.3))))</f>
        <v>13</v>
      </c>
      <c r="L56" s="614"/>
      <c r="M56" s="615" t="s">
        <v>731</v>
      </c>
      <c r="N56" s="613">
        <f>IF('Prescriptive Path'!$H$64&lt;65000,7.7,IF('Prescriptive Path'!$H$64&lt;135000,3.3,3.2))</f>
        <v>7.7</v>
      </c>
      <c r="O56" s="613">
        <f>IF('Prescriptive Path'!$H$64&lt;65000,13,IF('Prescriptive Path'!$D$65="No",IF('Prescriptive Path'!$H$64&lt;135000,11,IF('Prescriptive Path'!$H$64&lt;240000,10.6,9.5)),IF('Prescriptive Path'!$H$64&lt;135000,10.8,IF('Prescriptive Path'!$H$64&lt;240000,10.4,9.3))))</f>
        <v>13</v>
      </c>
      <c r="P56" s="614"/>
      <c r="Q56" s="615" t="s">
        <v>731</v>
      </c>
      <c r="R56" s="616"/>
      <c r="S56" s="79">
        <f>VLOOKUP('Prescriptive Path'!$D$4,ClimateZoneLookup!$A$1:$AW$65,48)</f>
        <v>0.06</v>
      </c>
      <c r="T56" s="79">
        <f>VLOOKUP('Prescriptive Path'!$D$4,ClimateZoneLookup!$A$1:$AW$65,49)</f>
        <v>0.94</v>
      </c>
    </row>
    <row r="57" spans="1:20" ht="15.75" thickBot="1">
      <c r="A57" s="617" t="s">
        <v>15</v>
      </c>
      <c r="B57" s="575" t="s">
        <v>41</v>
      </c>
      <c r="C57" s="618" t="s">
        <v>733</v>
      </c>
      <c r="D57" s="619"/>
      <c r="E57" s="619"/>
      <c r="F57" s="619"/>
      <c r="G57" s="578" t="s">
        <v>732</v>
      </c>
      <c r="H57" s="807"/>
      <c r="I57" s="807"/>
      <c r="J57" s="619"/>
      <c r="K57" s="619"/>
      <c r="L57" s="619"/>
      <c r="M57" s="578" t="s">
        <v>732</v>
      </c>
      <c r="N57" s="619"/>
      <c r="O57" s="619"/>
      <c r="P57" s="620"/>
      <c r="Q57" s="578" t="s">
        <v>732</v>
      </c>
      <c r="R57" s="616"/>
    </row>
    <row r="58" spans="1:20" ht="45.75" thickBot="1">
      <c r="A58" s="1028" t="s">
        <v>78</v>
      </c>
      <c r="B58" s="621"/>
      <c r="C58" s="542"/>
      <c r="D58" s="1020" t="s">
        <v>783</v>
      </c>
      <c r="E58" s="1021"/>
      <c r="F58" s="1021"/>
      <c r="G58" s="1022"/>
      <c r="H58" s="775"/>
      <c r="I58" s="775"/>
      <c r="J58" s="1020" t="s">
        <v>783</v>
      </c>
      <c r="K58" s="1021"/>
      <c r="L58" s="1021"/>
      <c r="M58" s="1022"/>
      <c r="N58" s="1020" t="s">
        <v>783</v>
      </c>
      <c r="O58" s="1021"/>
      <c r="P58" s="1021"/>
      <c r="Q58" s="1022"/>
      <c r="R58" s="526" t="s">
        <v>347</v>
      </c>
    </row>
    <row r="59" spans="1:20">
      <c r="A59" s="1029"/>
      <c r="B59" s="622" t="s">
        <v>79</v>
      </c>
      <c r="C59" s="618" t="s">
        <v>718</v>
      </c>
      <c r="D59" s="1009">
        <v>0.69</v>
      </c>
      <c r="E59" s="1010"/>
      <c r="F59" s="1010"/>
      <c r="G59" s="1011"/>
      <c r="H59" s="774"/>
      <c r="I59" s="774"/>
      <c r="J59" s="1009">
        <v>0.69</v>
      </c>
      <c r="K59" s="1010"/>
      <c r="L59" s="1010"/>
      <c r="M59" s="1011"/>
      <c r="N59" s="1009">
        <v>0.69</v>
      </c>
      <c r="O59" s="1010"/>
      <c r="P59" s="1010"/>
      <c r="Q59" s="1011"/>
      <c r="R59" s="530"/>
    </row>
    <row r="60" spans="1:20">
      <c r="A60" s="1029"/>
      <c r="B60" s="558" t="s">
        <v>80</v>
      </c>
      <c r="C60" s="618" t="s">
        <v>718</v>
      </c>
      <c r="D60" s="1005">
        <v>0.66</v>
      </c>
      <c r="E60" s="1006"/>
      <c r="F60" s="1006"/>
      <c r="G60" s="1007"/>
      <c r="H60" s="773"/>
      <c r="I60" s="773"/>
      <c r="J60" s="1005">
        <v>0.66</v>
      </c>
      <c r="K60" s="1006"/>
      <c r="L60" s="1006"/>
      <c r="M60" s="1007"/>
      <c r="N60" s="1005">
        <v>0.66</v>
      </c>
      <c r="O60" s="1006"/>
      <c r="P60" s="1006"/>
      <c r="Q60" s="1007"/>
      <c r="R60" s="536"/>
    </row>
    <row r="61" spans="1:20">
      <c r="A61" s="1029"/>
      <c r="B61" s="558" t="s">
        <v>81</v>
      </c>
      <c r="C61" s="618" t="s">
        <v>718</v>
      </c>
      <c r="D61" s="1023">
        <v>0.9</v>
      </c>
      <c r="E61" s="1024"/>
      <c r="F61" s="1024"/>
      <c r="G61" s="1025"/>
      <c r="H61" s="776"/>
      <c r="I61" s="776"/>
      <c r="J61" s="1005">
        <v>0.9</v>
      </c>
      <c r="K61" s="1006"/>
      <c r="L61" s="1006"/>
      <c r="M61" s="1007"/>
      <c r="N61" s="1005">
        <v>0.9</v>
      </c>
      <c r="O61" s="1006"/>
      <c r="P61" s="1006"/>
      <c r="Q61" s="1007"/>
      <c r="R61" s="536"/>
    </row>
    <row r="62" spans="1:20">
      <c r="A62" s="1029"/>
      <c r="B62" s="558" t="s">
        <v>82</v>
      </c>
      <c r="C62" s="618" t="s">
        <v>718</v>
      </c>
      <c r="D62" s="1005">
        <v>0.42</v>
      </c>
      <c r="E62" s="1006"/>
      <c r="F62" s="1006"/>
      <c r="G62" s="1007"/>
      <c r="H62" s="773"/>
      <c r="I62" s="773"/>
      <c r="J62" s="1005">
        <v>0.42</v>
      </c>
      <c r="K62" s="1006"/>
      <c r="L62" s="1006"/>
      <c r="M62" s="1007"/>
      <c r="N62" s="1005">
        <v>0.42</v>
      </c>
      <c r="O62" s="1006"/>
      <c r="P62" s="1006"/>
      <c r="Q62" s="1007"/>
      <c r="R62" s="536"/>
    </row>
    <row r="63" spans="1:20">
      <c r="A63" s="1029"/>
      <c r="B63" s="558" t="s">
        <v>83</v>
      </c>
      <c r="C63" s="618" t="s">
        <v>718</v>
      </c>
      <c r="D63" s="1005">
        <v>0.63</v>
      </c>
      <c r="E63" s="1006"/>
      <c r="F63" s="1006"/>
      <c r="G63" s="1007"/>
      <c r="H63" s="773"/>
      <c r="I63" s="773"/>
      <c r="J63" s="1005">
        <v>0.63</v>
      </c>
      <c r="K63" s="1006"/>
      <c r="L63" s="1006"/>
      <c r="M63" s="1007"/>
      <c r="N63" s="1005">
        <v>0.63</v>
      </c>
      <c r="O63" s="1006"/>
      <c r="P63" s="1006"/>
      <c r="Q63" s="1007"/>
      <c r="R63" s="536"/>
    </row>
    <row r="64" spans="1:20">
      <c r="A64" s="1029"/>
      <c r="B64" s="558" t="s">
        <v>84</v>
      </c>
      <c r="C64" s="618" t="s">
        <v>718</v>
      </c>
      <c r="D64" s="1005">
        <v>0.63</v>
      </c>
      <c r="E64" s="1006"/>
      <c r="F64" s="1006"/>
      <c r="G64" s="1007"/>
      <c r="H64" s="773"/>
      <c r="I64" s="773"/>
      <c r="J64" s="1005">
        <v>0.63</v>
      </c>
      <c r="K64" s="1006"/>
      <c r="L64" s="1006"/>
      <c r="M64" s="1007"/>
      <c r="N64" s="1005">
        <v>0.63</v>
      </c>
      <c r="O64" s="1006"/>
      <c r="P64" s="1006"/>
      <c r="Q64" s="1007"/>
      <c r="R64" s="536"/>
    </row>
    <row r="65" spans="1:18">
      <c r="A65" s="1029"/>
      <c r="B65" s="558" t="s">
        <v>85</v>
      </c>
      <c r="C65" s="618" t="s">
        <v>718</v>
      </c>
      <c r="D65" s="1005">
        <v>1.23</v>
      </c>
      <c r="E65" s="1006"/>
      <c r="F65" s="1006"/>
      <c r="G65" s="1007"/>
      <c r="H65" s="773"/>
      <c r="I65" s="773"/>
      <c r="J65" s="1005">
        <v>1.23</v>
      </c>
      <c r="K65" s="1006"/>
      <c r="L65" s="1006"/>
      <c r="M65" s="1007"/>
      <c r="N65" s="1005">
        <v>1.23</v>
      </c>
      <c r="O65" s="1006"/>
      <c r="P65" s="1006"/>
      <c r="Q65" s="1007"/>
      <c r="R65" s="536"/>
    </row>
    <row r="66" spans="1:18">
      <c r="A66" s="1029"/>
      <c r="B66" s="558" t="s">
        <v>86</v>
      </c>
      <c r="C66" s="618" t="s">
        <v>718</v>
      </c>
      <c r="D66" s="1005">
        <v>1.1100000000000001</v>
      </c>
      <c r="E66" s="1006"/>
      <c r="F66" s="1006"/>
      <c r="G66" s="1007"/>
      <c r="H66" s="773"/>
      <c r="I66" s="773"/>
      <c r="J66" s="1005">
        <v>1.1100000000000001</v>
      </c>
      <c r="K66" s="1006"/>
      <c r="L66" s="1006"/>
      <c r="M66" s="1007"/>
      <c r="N66" s="1005">
        <v>1.1100000000000001</v>
      </c>
      <c r="O66" s="1006"/>
      <c r="P66" s="1006"/>
      <c r="Q66" s="1007"/>
      <c r="R66" s="536"/>
    </row>
    <row r="67" spans="1:18">
      <c r="A67" s="1026"/>
      <c r="B67" s="558" t="s">
        <v>334</v>
      </c>
      <c r="C67" s="623"/>
      <c r="D67" s="1002"/>
      <c r="E67" s="1003"/>
      <c r="F67" s="1003"/>
      <c r="G67" s="1004"/>
      <c r="H67" s="771"/>
      <c r="I67" s="771"/>
      <c r="J67" s="1002"/>
      <c r="K67" s="1003"/>
      <c r="L67" s="1003"/>
      <c r="M67" s="1004"/>
      <c r="N67" s="1002"/>
      <c r="O67" s="1003"/>
      <c r="P67" s="1003"/>
      <c r="Q67" s="1004"/>
      <c r="R67" s="545"/>
    </row>
    <row r="68" spans="1:18">
      <c r="A68" s="1012" t="s">
        <v>40</v>
      </c>
      <c r="B68" s="558" t="s">
        <v>784</v>
      </c>
      <c r="C68" s="624"/>
      <c r="D68" s="1002"/>
      <c r="E68" s="1003"/>
      <c r="F68" s="1003"/>
      <c r="G68" s="1004"/>
      <c r="H68" s="771"/>
      <c r="I68" s="771"/>
      <c r="J68" s="1002"/>
      <c r="K68" s="1003"/>
      <c r="L68" s="1003"/>
      <c r="M68" s="1004"/>
      <c r="N68" s="1002"/>
      <c r="O68" s="1003"/>
      <c r="P68" s="1003"/>
      <c r="Q68" s="1004"/>
      <c r="R68" s="625"/>
    </row>
    <row r="69" spans="1:18">
      <c r="A69" s="1013"/>
      <c r="B69" s="558" t="s">
        <v>785</v>
      </c>
      <c r="C69" s="626"/>
      <c r="D69" s="1002"/>
      <c r="E69" s="1003"/>
      <c r="F69" s="1003"/>
      <c r="G69" s="1004"/>
      <c r="H69" s="771"/>
      <c r="I69" s="771"/>
      <c r="J69" s="1002"/>
      <c r="K69" s="1003"/>
      <c r="L69" s="1003"/>
      <c r="M69" s="1004"/>
      <c r="N69" s="1002"/>
      <c r="O69" s="1003"/>
      <c r="P69" s="1003"/>
      <c r="Q69" s="1004"/>
      <c r="R69" s="625"/>
    </row>
    <row r="70" spans="1:18">
      <c r="A70" s="1013"/>
      <c r="B70" s="558" t="s">
        <v>786</v>
      </c>
      <c r="C70" s="626"/>
      <c r="D70" s="1002"/>
      <c r="E70" s="1003"/>
      <c r="F70" s="1003"/>
      <c r="G70" s="1004"/>
      <c r="H70" s="771"/>
      <c r="I70" s="771"/>
      <c r="J70" s="1002"/>
      <c r="K70" s="1003"/>
      <c r="L70" s="1003"/>
      <c r="M70" s="1004"/>
      <c r="N70" s="1002"/>
      <c r="O70" s="1003"/>
      <c r="P70" s="1003"/>
      <c r="Q70" s="1004"/>
      <c r="R70" s="625"/>
    </row>
    <row r="71" spans="1:18">
      <c r="A71" s="1013"/>
      <c r="B71" s="558" t="s">
        <v>280</v>
      </c>
      <c r="C71" s="626"/>
      <c r="D71" s="1002"/>
      <c r="E71" s="1003"/>
      <c r="F71" s="1003"/>
      <c r="G71" s="1004"/>
      <c r="H71" s="771"/>
      <c r="I71" s="771"/>
      <c r="J71" s="1002"/>
      <c r="K71" s="1003"/>
      <c r="L71" s="1003"/>
      <c r="M71" s="1004"/>
      <c r="N71" s="1002"/>
      <c r="O71" s="1003"/>
      <c r="P71" s="1003"/>
      <c r="Q71" s="1004"/>
      <c r="R71" s="625"/>
    </row>
    <row r="72" spans="1:18">
      <c r="A72" s="1013"/>
      <c r="B72" s="558" t="s">
        <v>281</v>
      </c>
      <c r="C72" s="626"/>
      <c r="D72" s="1002"/>
      <c r="E72" s="1003"/>
      <c r="F72" s="1003"/>
      <c r="G72" s="1004"/>
      <c r="H72" s="771"/>
      <c r="I72" s="771"/>
      <c r="J72" s="1002"/>
      <c r="K72" s="1003"/>
      <c r="L72" s="1003"/>
      <c r="M72" s="1004"/>
      <c r="N72" s="1002"/>
      <c r="O72" s="1003"/>
      <c r="P72" s="1003"/>
      <c r="Q72" s="1004"/>
      <c r="R72" s="625"/>
    </row>
    <row r="73" spans="1:18" ht="15.75" thickBot="1">
      <c r="A73" s="1013"/>
      <c r="B73" s="575" t="s">
        <v>282</v>
      </c>
      <c r="C73" s="623"/>
      <c r="D73" s="1002"/>
      <c r="E73" s="1003"/>
      <c r="F73" s="1003"/>
      <c r="G73" s="1004"/>
      <c r="H73" s="771"/>
      <c r="I73" s="771"/>
      <c r="J73" s="1002"/>
      <c r="K73" s="1003"/>
      <c r="L73" s="1003"/>
      <c r="M73" s="1004"/>
      <c r="N73" s="1002"/>
      <c r="O73" s="1003"/>
      <c r="P73" s="1003"/>
      <c r="Q73" s="1004"/>
      <c r="R73" s="616"/>
    </row>
    <row r="74" spans="1:18" ht="45.75" thickBot="1">
      <c r="A74" s="1014" t="s">
        <v>335</v>
      </c>
      <c r="B74" s="627"/>
      <c r="C74" s="574"/>
      <c r="D74" s="551" t="s">
        <v>176</v>
      </c>
      <c r="E74" s="551" t="s">
        <v>354</v>
      </c>
      <c r="F74" s="551"/>
      <c r="G74" s="628"/>
      <c r="H74" s="628"/>
      <c r="I74" s="628"/>
      <c r="J74" s="551" t="s">
        <v>176</v>
      </c>
      <c r="K74" s="551" t="s">
        <v>354</v>
      </c>
      <c r="L74" s="551"/>
      <c r="M74" s="628"/>
      <c r="N74" s="551" t="s">
        <v>176</v>
      </c>
      <c r="O74" s="551" t="s">
        <v>354</v>
      </c>
      <c r="P74" s="551"/>
      <c r="Q74" s="628"/>
      <c r="R74" s="526" t="s">
        <v>347</v>
      </c>
    </row>
    <row r="75" spans="1:18" ht="60">
      <c r="A75" s="1015"/>
      <c r="B75" s="124" t="s">
        <v>324</v>
      </c>
      <c r="C75" s="629" t="s">
        <v>664</v>
      </c>
      <c r="D75" s="595">
        <f>'Prescriptive Path'!$H$79</f>
        <v>0</v>
      </c>
      <c r="E75" s="630"/>
      <c r="F75" s="630"/>
      <c r="G75" s="630"/>
      <c r="H75" s="630"/>
      <c r="I75" s="630"/>
      <c r="J75" s="595">
        <f>'Prescriptive Path'!$H$79</f>
        <v>0</v>
      </c>
      <c r="K75" s="630"/>
      <c r="L75" s="630"/>
      <c r="M75" s="630"/>
      <c r="N75" s="595">
        <f>'Prescriptive Path'!$H$79</f>
        <v>0</v>
      </c>
      <c r="O75" s="630"/>
      <c r="P75" s="630"/>
      <c r="Q75" s="630"/>
      <c r="R75" s="631"/>
    </row>
    <row r="76" spans="1:18" ht="15.75" thickBot="1">
      <c r="A76" s="1016"/>
      <c r="B76" s="632" t="s">
        <v>352</v>
      </c>
      <c r="C76" s="633"/>
      <c r="D76" s="634"/>
      <c r="E76" s="635" t="b">
        <f>IF('Prescriptive Path'!$H$76="Bathroom and Utility Room Fans (10 - 89 CFM)",2.8*0.8,IF('Prescriptive Path'!$H$76="Bathroom and Utility Room Fans (90 - 200 CFM)",3.5*0.8,IF('Prescriptive Path'!$H$76="Bathroom and Utility Room Fans (201 - 500 CFM)",4*0.8,IF('Prescriptive Path'!$H$76="In-line Fans",3.8*0.8,IF('Prescriptive Path'!$H$76="Range Hoods (up to 75 W)",2.8*0.8,FALSE)))))</f>
        <v>0</v>
      </c>
      <c r="F76" s="636"/>
      <c r="G76" s="634"/>
      <c r="H76" s="634"/>
      <c r="I76" s="634"/>
      <c r="J76" s="634"/>
      <c r="K76" s="635" t="b">
        <f>IF('Prescriptive Path'!$H$76="Bathroom and Utility Room Fans (10 - 89 CFM)",2.8,IF('Prescriptive Path'!$H$76="Bathroom and Utility Room Fans (90 - 200 CFM)",3.5,IF('Prescriptive Path'!$H$76="Bathroom and Utility Room Fans (201 - 500 CFM)",4,IF('Prescriptive Path'!$H$76="In-line Fans",3.8,IF('Prescriptive Path'!$H$76="Range Hoods (up to 75 W)",2.8,FALSE)))))</f>
        <v>0</v>
      </c>
      <c r="L76" s="636"/>
      <c r="M76" s="634"/>
      <c r="N76" s="634"/>
      <c r="O76" s="635" t="b">
        <f>IF('Prescriptive Path'!$H$76="Bathroom and Utility Room Fans (10 - 89 CFM)",2.8,IF('Prescriptive Path'!$H$76="Bathroom and Utility Room Fans (90 - 200 CFM)",3.5,IF('Prescriptive Path'!$H$76="Bathroom and Utility Room Fans (201 - 500 CFM)",4,IF('Prescriptive Path'!$H$76="In-line Fans",3.8,IF('Prescriptive Path'!$H$76="Range Hoods (up to 75 W)",2.8,FALSE)))))</f>
        <v>0</v>
      </c>
      <c r="P76" s="636"/>
      <c r="Q76" s="634"/>
      <c r="R76" s="637"/>
    </row>
    <row r="78" spans="1:18" ht="15.75" thickBot="1">
      <c r="A78" s="79"/>
    </row>
    <row r="79" spans="1:18">
      <c r="A79" s="79"/>
      <c r="B79" s="639" t="s">
        <v>804</v>
      </c>
      <c r="C79" s="640"/>
      <c r="D79" s="806">
        <f>IF(Proposed!G87=0,11.1,SUM(H37:H56)/Proposed!G87)</f>
        <v>11.1</v>
      </c>
    </row>
    <row r="80" spans="1:18">
      <c r="A80" s="79"/>
      <c r="B80" s="641" t="s">
        <v>805</v>
      </c>
      <c r="C80" s="642"/>
      <c r="D80" s="798">
        <f>D79/0.875</f>
        <v>12.685714285714285</v>
      </c>
    </row>
    <row r="81" spans="1:4" ht="15.75" thickBot="1">
      <c r="A81" s="79"/>
      <c r="B81" s="643" t="s">
        <v>806</v>
      </c>
      <c r="C81" s="644"/>
      <c r="D81" s="645">
        <f>IF(Proposed!F87=0,0.78,SUM(I37:I56)/Proposed!F87)</f>
        <v>0.78</v>
      </c>
    </row>
  </sheetData>
  <sheetProtection algorithmName="SHA-512" hashValue="bWqjabRjbHbGHyaEFHAjQPU/v/9XTmH+saKNpBd2TTBM+lr/HNsH5FT2n58CctUFNdLsmPuAbct2hU/CNYbHjQ==" saltValue="vo+KbhPRl+DTxYtYY0jRmQ==" spinCount="100000" sheet="1" objects="1" scenarios="1"/>
  <mergeCells count="90">
    <mergeCell ref="N1:Q1"/>
    <mergeCell ref="A7:A12"/>
    <mergeCell ref="A14:A16"/>
    <mergeCell ref="N7:Q7"/>
    <mergeCell ref="N8:Q8"/>
    <mergeCell ref="N9:Q9"/>
    <mergeCell ref="N10:Q10"/>
    <mergeCell ref="J7:M7"/>
    <mergeCell ref="J8:M8"/>
    <mergeCell ref="J9:M9"/>
    <mergeCell ref="J10:M10"/>
    <mergeCell ref="D8:G8"/>
    <mergeCell ref="D7:G7"/>
    <mergeCell ref="N11:Q11"/>
    <mergeCell ref="N12:Q12"/>
    <mergeCell ref="A1:B1"/>
    <mergeCell ref="A2:A6"/>
    <mergeCell ref="D9:G9"/>
    <mergeCell ref="D10:G10"/>
    <mergeCell ref="D1:G1"/>
    <mergeCell ref="J1:M1"/>
    <mergeCell ref="N22:Q22"/>
    <mergeCell ref="A23:A25"/>
    <mergeCell ref="A26:A27"/>
    <mergeCell ref="D27:G27"/>
    <mergeCell ref="J27:M27"/>
    <mergeCell ref="N27:Q27"/>
    <mergeCell ref="A21:A22"/>
    <mergeCell ref="D26:G26"/>
    <mergeCell ref="J26:M26"/>
    <mergeCell ref="N26:Q26"/>
    <mergeCell ref="D22:G22"/>
    <mergeCell ref="J22:M22"/>
    <mergeCell ref="N58:Q58"/>
    <mergeCell ref="D66:G66"/>
    <mergeCell ref="D67:G67"/>
    <mergeCell ref="N59:Q59"/>
    <mergeCell ref="N60:Q60"/>
    <mergeCell ref="N61:Q61"/>
    <mergeCell ref="J61:M61"/>
    <mergeCell ref="J62:M62"/>
    <mergeCell ref="J63:M63"/>
    <mergeCell ref="J64:M64"/>
    <mergeCell ref="J65:M65"/>
    <mergeCell ref="J66:M66"/>
    <mergeCell ref="J67:M67"/>
    <mergeCell ref="N62:Q62"/>
    <mergeCell ref="N63:Q63"/>
    <mergeCell ref="N64:Q64"/>
    <mergeCell ref="A74:A76"/>
    <mergeCell ref="D11:G11"/>
    <mergeCell ref="J11:M11"/>
    <mergeCell ref="D12:G12"/>
    <mergeCell ref="J12:M12"/>
    <mergeCell ref="D58:G58"/>
    <mergeCell ref="J58:M58"/>
    <mergeCell ref="D59:G59"/>
    <mergeCell ref="D60:G60"/>
    <mergeCell ref="D61:G61"/>
    <mergeCell ref="D62:G62"/>
    <mergeCell ref="D63:G63"/>
    <mergeCell ref="D64:G64"/>
    <mergeCell ref="D65:G65"/>
    <mergeCell ref="A36:A56"/>
    <mergeCell ref="A58:A67"/>
    <mergeCell ref="A17:A20"/>
    <mergeCell ref="J73:M73"/>
    <mergeCell ref="D73:G73"/>
    <mergeCell ref="J59:M59"/>
    <mergeCell ref="J60:M60"/>
    <mergeCell ref="J68:M68"/>
    <mergeCell ref="D68:G68"/>
    <mergeCell ref="D69:G69"/>
    <mergeCell ref="D70:G70"/>
    <mergeCell ref="D71:G71"/>
    <mergeCell ref="D72:G72"/>
    <mergeCell ref="J72:M72"/>
    <mergeCell ref="A68:A73"/>
    <mergeCell ref="N65:Q65"/>
    <mergeCell ref="N66:Q66"/>
    <mergeCell ref="J69:M69"/>
    <mergeCell ref="J70:M70"/>
    <mergeCell ref="J71:M71"/>
    <mergeCell ref="N67:Q67"/>
    <mergeCell ref="N72:Q72"/>
    <mergeCell ref="N73:Q73"/>
    <mergeCell ref="N68:Q68"/>
    <mergeCell ref="N69:Q69"/>
    <mergeCell ref="N70:Q70"/>
    <mergeCell ref="N71:Q71"/>
  </mergeCells>
  <pageMargins left="0.7" right="0.7" top="0.75" bottom="0.75" header="0.3" footer="0.3"/>
  <pageSetup orientation="portrait" horizontalDpi="200" verticalDpi="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W91"/>
  <sheetViews>
    <sheetView workbookViewId="0">
      <selection activeCell="I56" sqref="I56"/>
    </sheetView>
  </sheetViews>
  <sheetFormatPr defaultRowHeight="15"/>
  <cols>
    <col min="1" max="1" width="17" style="753" customWidth="1"/>
    <col min="2" max="3" width="56.140625" style="79" customWidth="1"/>
    <col min="4" max="4" width="17.5703125" style="79" customWidth="1"/>
    <col min="5" max="7" width="14.85546875" style="79" customWidth="1"/>
    <col min="8" max="8" width="44" style="79" customWidth="1"/>
    <col min="9" max="10" width="21.140625" style="79" customWidth="1"/>
    <col min="11" max="11" width="17.42578125" style="79" customWidth="1"/>
    <col min="12" max="14" width="14.85546875" style="79" customWidth="1"/>
    <col min="15" max="15" width="42" style="79" customWidth="1"/>
    <col min="16" max="16" width="17.7109375" style="79" customWidth="1"/>
    <col min="17" max="19" width="14.85546875" style="79" customWidth="1"/>
    <col min="20" max="20" width="43" style="79" customWidth="1"/>
    <col min="21" max="21" width="13.5703125" style="79" customWidth="1"/>
    <col min="22" max="22" width="13.85546875" style="79" bestFit="1" customWidth="1"/>
    <col min="23" max="23" width="14" style="79" bestFit="1" customWidth="1"/>
    <col min="24" max="16384" width="9.140625" style="79"/>
  </cols>
  <sheetData>
    <row r="1" spans="1:23" s="648" customFormat="1" ht="45.75" thickBot="1">
      <c r="A1" s="1067" t="s">
        <v>348</v>
      </c>
      <c r="B1" s="1068"/>
      <c r="C1" s="525" t="s">
        <v>657</v>
      </c>
      <c r="D1" s="1106" t="s">
        <v>365</v>
      </c>
      <c r="E1" s="1106"/>
      <c r="F1" s="1106"/>
      <c r="G1" s="1106"/>
      <c r="H1" s="1106"/>
      <c r="I1" s="1106"/>
      <c r="J1" s="647"/>
      <c r="K1" s="1106" t="s">
        <v>366</v>
      </c>
      <c r="L1" s="1106"/>
      <c r="M1" s="1106"/>
      <c r="N1" s="1106"/>
      <c r="O1" s="1106"/>
      <c r="P1" s="1106" t="s">
        <v>367</v>
      </c>
      <c r="Q1" s="1106"/>
      <c r="R1" s="1106"/>
      <c r="S1" s="1106"/>
      <c r="T1" s="1106"/>
      <c r="U1" s="332" t="s">
        <v>347</v>
      </c>
    </row>
    <row r="2" spans="1:23">
      <c r="A2" s="1109" t="s">
        <v>196</v>
      </c>
      <c r="B2" s="140" t="s">
        <v>54</v>
      </c>
      <c r="C2" s="305" t="s">
        <v>658</v>
      </c>
      <c r="D2" s="1103"/>
      <c r="E2" s="1104"/>
      <c r="F2" s="1104"/>
      <c r="G2" s="1104"/>
      <c r="H2" s="1104"/>
      <c r="I2" s="1105"/>
      <c r="J2" s="533"/>
      <c r="K2" s="1103"/>
      <c r="L2" s="1104"/>
      <c r="M2" s="1104"/>
      <c r="N2" s="1104"/>
      <c r="O2" s="1105"/>
      <c r="P2" s="1103"/>
      <c r="Q2" s="1104"/>
      <c r="R2" s="1104"/>
      <c r="S2" s="1104"/>
      <c r="T2" s="1105"/>
      <c r="U2" s="649"/>
    </row>
    <row r="3" spans="1:23">
      <c r="A3" s="1110"/>
      <c r="B3" s="141" t="s">
        <v>55</v>
      </c>
      <c r="C3" s="306" t="s">
        <v>658</v>
      </c>
      <c r="D3" s="1096"/>
      <c r="E3" s="1097"/>
      <c r="F3" s="1097"/>
      <c r="G3" s="1097"/>
      <c r="H3" s="1097"/>
      <c r="I3" s="1098"/>
      <c r="J3" s="650"/>
      <c r="K3" s="1096"/>
      <c r="L3" s="1097"/>
      <c r="M3" s="1097"/>
      <c r="N3" s="1097"/>
      <c r="O3" s="1098"/>
      <c r="P3" s="1096"/>
      <c r="Q3" s="1097"/>
      <c r="R3" s="1097"/>
      <c r="S3" s="1097"/>
      <c r="T3" s="1098"/>
      <c r="U3" s="651"/>
    </row>
    <row r="4" spans="1:23">
      <c r="A4" s="1110"/>
      <c r="B4" s="141" t="s">
        <v>177</v>
      </c>
      <c r="C4" s="306" t="s">
        <v>658</v>
      </c>
      <c r="D4" s="1096"/>
      <c r="E4" s="1097"/>
      <c r="F4" s="1097"/>
      <c r="G4" s="1097"/>
      <c r="H4" s="1097"/>
      <c r="I4" s="1098"/>
      <c r="J4" s="650"/>
      <c r="K4" s="1096"/>
      <c r="L4" s="1097"/>
      <c r="M4" s="1097"/>
      <c r="N4" s="1097"/>
      <c r="O4" s="1098"/>
      <c r="P4" s="1096"/>
      <c r="Q4" s="1097"/>
      <c r="R4" s="1097"/>
      <c r="S4" s="1097"/>
      <c r="T4" s="1098"/>
      <c r="U4" s="651"/>
    </row>
    <row r="5" spans="1:23">
      <c r="A5" s="1110"/>
      <c r="B5" s="141" t="s">
        <v>178</v>
      </c>
      <c r="C5" s="306" t="s">
        <v>658</v>
      </c>
      <c r="D5" s="1096"/>
      <c r="E5" s="1097"/>
      <c r="F5" s="1097"/>
      <c r="G5" s="1097"/>
      <c r="H5" s="1097"/>
      <c r="I5" s="1098"/>
      <c r="J5" s="650"/>
      <c r="K5" s="1096"/>
      <c r="L5" s="1097"/>
      <c r="M5" s="1097"/>
      <c r="N5" s="1097"/>
      <c r="O5" s="1098"/>
      <c r="P5" s="1096"/>
      <c r="Q5" s="1097"/>
      <c r="R5" s="1097"/>
      <c r="S5" s="1097"/>
      <c r="T5" s="1098"/>
      <c r="U5" s="651"/>
    </row>
    <row r="6" spans="1:23" ht="15.75" thickBot="1">
      <c r="A6" s="1111"/>
      <c r="B6" s="142" t="s">
        <v>340</v>
      </c>
      <c r="C6" s="307" t="s">
        <v>658</v>
      </c>
      <c r="D6" s="1099"/>
      <c r="E6" s="1100"/>
      <c r="F6" s="1100"/>
      <c r="G6" s="1100"/>
      <c r="H6" s="1100"/>
      <c r="I6" s="1101"/>
      <c r="J6" s="652"/>
      <c r="K6" s="1099"/>
      <c r="L6" s="1100"/>
      <c r="M6" s="1100"/>
      <c r="N6" s="1100"/>
      <c r="O6" s="1101"/>
      <c r="P6" s="1099"/>
      <c r="Q6" s="1100"/>
      <c r="R6" s="1100"/>
      <c r="S6" s="1100"/>
      <c r="T6" s="1101"/>
      <c r="U6" s="653"/>
    </row>
    <row r="7" spans="1:23" ht="44.25" customHeight="1" thickBot="1">
      <c r="A7" s="1039" t="s">
        <v>37</v>
      </c>
      <c r="B7" s="654"/>
      <c r="C7" s="654"/>
      <c r="D7" s="1108" t="s">
        <v>356</v>
      </c>
      <c r="E7" s="1108"/>
      <c r="F7" s="1108"/>
      <c r="G7" s="1108"/>
      <c r="H7" s="1108"/>
      <c r="I7" s="1108"/>
      <c r="J7" s="551"/>
      <c r="K7" s="1108" t="s">
        <v>356</v>
      </c>
      <c r="L7" s="1108"/>
      <c r="M7" s="1108"/>
      <c r="N7" s="1108"/>
      <c r="O7" s="1108"/>
      <c r="P7" s="1108" t="s">
        <v>356</v>
      </c>
      <c r="Q7" s="1108"/>
      <c r="R7" s="1108"/>
      <c r="S7" s="1108"/>
      <c r="T7" s="1108"/>
      <c r="U7" s="332" t="s">
        <v>347</v>
      </c>
    </row>
    <row r="8" spans="1:23">
      <c r="A8" s="1040"/>
      <c r="B8" s="655" t="s">
        <v>62</v>
      </c>
      <c r="C8" s="656" t="s">
        <v>740</v>
      </c>
      <c r="D8" s="1075">
        <v>0.93</v>
      </c>
      <c r="E8" s="1092"/>
      <c r="F8" s="1092"/>
      <c r="G8" s="1092"/>
      <c r="H8" s="1092"/>
      <c r="I8" s="1076"/>
      <c r="J8" s="657"/>
      <c r="K8" s="1075">
        <v>0.93</v>
      </c>
      <c r="L8" s="1092"/>
      <c r="M8" s="1092"/>
      <c r="N8" s="1092"/>
      <c r="O8" s="1076"/>
      <c r="P8" s="1075">
        <v>0.93</v>
      </c>
      <c r="Q8" s="1092"/>
      <c r="R8" s="1092"/>
      <c r="S8" s="1092"/>
      <c r="T8" s="1076"/>
      <c r="U8" s="649"/>
      <c r="V8" s="79" t="s">
        <v>774</v>
      </c>
      <c r="W8" s="79" t="s">
        <v>775</v>
      </c>
    </row>
    <row r="9" spans="1:23">
      <c r="A9" s="1040"/>
      <c r="B9" s="658" t="s">
        <v>63</v>
      </c>
      <c r="C9" s="656" t="s">
        <v>740</v>
      </c>
      <c r="D9" s="1093">
        <f>0.97-'Prescriptive Path'!$H$37*0.001</f>
        <v>0.97</v>
      </c>
      <c r="E9" s="1094"/>
      <c r="F9" s="1094"/>
      <c r="G9" s="1094"/>
      <c r="H9" s="1094"/>
      <c r="I9" s="1095"/>
      <c r="J9" s="659"/>
      <c r="K9" s="1031">
        <f>0.97-'Prescriptive Path'!$H$37*0.001</f>
        <v>0.97</v>
      </c>
      <c r="L9" s="1032"/>
      <c r="M9" s="1032"/>
      <c r="N9" s="1032"/>
      <c r="O9" s="1033"/>
      <c r="P9" s="1031">
        <f>0.97-'Prescriptive Path'!$H$37*0.001</f>
        <v>0.97</v>
      </c>
      <c r="Q9" s="1032"/>
      <c r="R9" s="1032"/>
      <c r="S9" s="1032"/>
      <c r="T9" s="1033"/>
      <c r="U9" s="651"/>
    </row>
    <row r="10" spans="1:23">
      <c r="A10" s="1040"/>
      <c r="B10" s="658" t="s">
        <v>64</v>
      </c>
      <c r="C10" s="660" t="s">
        <v>667</v>
      </c>
      <c r="D10" s="1031">
        <v>0.85</v>
      </c>
      <c r="E10" s="1032"/>
      <c r="F10" s="1032"/>
      <c r="G10" s="1032"/>
      <c r="H10" s="1032"/>
      <c r="I10" s="1033"/>
      <c r="J10" s="661"/>
      <c r="K10" s="1031">
        <v>0.85</v>
      </c>
      <c r="L10" s="1032"/>
      <c r="M10" s="1032"/>
      <c r="N10" s="1032"/>
      <c r="O10" s="1033"/>
      <c r="P10" s="1031">
        <v>0.85</v>
      </c>
      <c r="Q10" s="1032"/>
      <c r="R10" s="1032"/>
      <c r="S10" s="1032"/>
      <c r="T10" s="1033"/>
      <c r="U10" s="651"/>
    </row>
    <row r="11" spans="1:23">
      <c r="A11" s="1040"/>
      <c r="B11" s="658" t="s">
        <v>355</v>
      </c>
      <c r="C11" s="660" t="s">
        <v>743</v>
      </c>
      <c r="D11" s="1031">
        <v>1.75</v>
      </c>
      <c r="E11" s="1032"/>
      <c r="F11" s="1032"/>
      <c r="G11" s="1032"/>
      <c r="H11" s="1032"/>
      <c r="I11" s="1033"/>
      <c r="J11" s="661"/>
      <c r="K11" s="1031">
        <v>1.75</v>
      </c>
      <c r="L11" s="1032"/>
      <c r="M11" s="1032"/>
      <c r="N11" s="1032"/>
      <c r="O11" s="1033"/>
      <c r="P11" s="1031">
        <v>1.75</v>
      </c>
      <c r="Q11" s="1032"/>
      <c r="R11" s="1032"/>
      <c r="S11" s="1032"/>
      <c r="T11" s="1033"/>
      <c r="U11" s="651"/>
      <c r="V11" s="662">
        <f>IF(('Prescriptive Path'!H36*'Prescriptive Path'!H38)&gt;('Prescriptive Path'!H33*'Prescriptive Path'!H35+'Prescriptive Path'!H39),(Baseline!$D$11-$D$11)*0.9*8.2*(D83*0.75)*365*(105-VLOOKUP('Prescriptive Path'!$D$4,ClimateZoneLookup!$A$1:$J$65,10))*8.33/3412*(1/$D$9),0)</f>
        <v>0</v>
      </c>
      <c r="W11" s="662">
        <f>IF(('Prescriptive Path'!H36*'Prescriptive Path'!H38)&lt;('Prescriptive Path'!H33*'Prescriptive Path'!H35+'Prescriptive Path'!H39),(Baseline!$D$11-$D$11)*0.9*8.2*(D83*0.75)*365*(105-VLOOKUP('Prescriptive Path'!$D$4,ClimateZoneLookup!$A$1:$J$65,10))*8.33/100000*IF('Prescriptive Path'!H35*'Prescriptive Path'!H33&gt;'Prescriptive Path'!H38,(1/$D$8),(1/$D$10)),0)</f>
        <v>0</v>
      </c>
    </row>
    <row r="12" spans="1:23" ht="15.75" thickBot="1">
      <c r="A12" s="1041"/>
      <c r="B12" s="663" t="s">
        <v>363</v>
      </c>
      <c r="C12" s="664" t="s">
        <v>743</v>
      </c>
      <c r="D12" s="1085">
        <v>2</v>
      </c>
      <c r="E12" s="1086"/>
      <c r="F12" s="1086"/>
      <c r="G12" s="1086"/>
      <c r="H12" s="1086"/>
      <c r="I12" s="1087"/>
      <c r="J12" s="665"/>
      <c r="K12" s="1085">
        <v>2</v>
      </c>
      <c r="L12" s="1086"/>
      <c r="M12" s="1086"/>
      <c r="N12" s="1086"/>
      <c r="O12" s="1087"/>
      <c r="P12" s="1085">
        <v>2</v>
      </c>
      <c r="Q12" s="1086"/>
      <c r="R12" s="1086"/>
      <c r="S12" s="1086"/>
      <c r="T12" s="1087"/>
      <c r="U12" s="653"/>
      <c r="V12" s="662">
        <f>IF(('Prescriptive Path'!H36*'Prescriptive Path'!H38)&gt;('Prescriptive Path'!H33*'Prescriptive Path'!H35+'Prescriptive Path'!H39),(((Baseline!$D$12-Proposed!$D$12)*('Prescriptive Path'!H41+'Prescriptive Path'!H40))*0.75*0.5*17*365)*(80-VLOOKUP('Prescriptive Path'!$D$4,ClimateZoneLookup!$A$1:$J$65,10))*8.33/3412*(1/Proposed!$D$8),0)</f>
        <v>0</v>
      </c>
      <c r="W12" s="662">
        <f>IF(('Prescriptive Path'!H36*'Prescriptive Path'!H38)&lt;('Prescriptive Path'!H33*'Prescriptive Path'!H35+'Prescriptive Path'!H39),(((Baseline!$D$12-Proposed!$D$12)*('Prescriptive Path'!H41+'Prescriptive Path'!H40))*0.75*0.5*17*365)*(80-VLOOKUP('Prescriptive Path'!$D$4,ClimateZoneLookup!$A$1:$J$65,10))*8.33/100000*IF('Prescriptive Path'!H33*'Prescriptive Path'!H35&gt;'Prescriptive Path'!H39,1/Proposed!$D$8,(1/Proposed!$D$10)),0)</f>
        <v>0</v>
      </c>
    </row>
    <row r="13" spans="1:23" ht="45.75" thickBot="1">
      <c r="A13" s="666" t="s">
        <v>42</v>
      </c>
      <c r="B13" s="667"/>
      <c r="C13" s="668"/>
      <c r="D13" s="1088" t="s">
        <v>65</v>
      </c>
      <c r="E13" s="1022"/>
      <c r="F13" s="1089" t="s">
        <v>66</v>
      </c>
      <c r="G13" s="1090"/>
      <c r="H13" s="669" t="s">
        <v>67</v>
      </c>
      <c r="I13" s="670" t="s">
        <v>303</v>
      </c>
      <c r="J13" s="670"/>
      <c r="K13" s="1020" t="s">
        <v>65</v>
      </c>
      <c r="L13" s="1022"/>
      <c r="M13" s="1020" t="s">
        <v>66</v>
      </c>
      <c r="N13" s="1022"/>
      <c r="O13" s="551" t="s">
        <v>67</v>
      </c>
      <c r="P13" s="1020" t="s">
        <v>65</v>
      </c>
      <c r="Q13" s="1022"/>
      <c r="R13" s="1020" t="s">
        <v>66</v>
      </c>
      <c r="S13" s="1022"/>
      <c r="T13" s="551" t="s">
        <v>67</v>
      </c>
      <c r="U13" s="332" t="s">
        <v>347</v>
      </c>
    </row>
    <row r="14" spans="1:23">
      <c r="A14" s="1107" t="s">
        <v>26</v>
      </c>
      <c r="B14" s="655" t="s">
        <v>89</v>
      </c>
      <c r="C14" s="656" t="s">
        <v>739</v>
      </c>
      <c r="D14" s="1091" t="s">
        <v>738</v>
      </c>
      <c r="E14" s="1091"/>
      <c r="F14" s="1091">
        <v>2.9000000000000001E-2</v>
      </c>
      <c r="G14" s="1091"/>
      <c r="H14" s="671" t="str">
        <f t="shared" ref="H14:H20" si="0">"U-"&amp;$F14</f>
        <v>U-0.029</v>
      </c>
      <c r="I14" s="672">
        <f t="shared" ref="I14:I19" si="1">1/F14</f>
        <v>34.482758620689651</v>
      </c>
      <c r="J14" s="672"/>
      <c r="K14" s="1079" t="str">
        <f>D14</f>
        <v>R-35 ci</v>
      </c>
      <c r="L14" s="1080"/>
      <c r="M14" s="1079">
        <f>F14</f>
        <v>2.9000000000000001E-2</v>
      </c>
      <c r="N14" s="1080"/>
      <c r="O14" s="554" t="str">
        <f t="shared" ref="O14:O20" si="2">"U-"&amp;$M14</f>
        <v>U-0.029</v>
      </c>
      <c r="P14" s="1075" t="str">
        <f>K14</f>
        <v>R-35 ci</v>
      </c>
      <c r="Q14" s="1076"/>
      <c r="R14" s="1079">
        <f>M14</f>
        <v>2.9000000000000001E-2</v>
      </c>
      <c r="S14" s="1080"/>
      <c r="T14" s="554" t="str">
        <f t="shared" ref="T14:T20" si="3">"U-"&amp;$R14</f>
        <v>U-0.029</v>
      </c>
      <c r="U14" s="673">
        <f>IF('Prescriptive Path'!$K$1=4,Proposed!F14,IF('Prescriptive Path'!$K$1=5,Proposed!M14,Proposed!R14))</f>
        <v>2.9000000000000001E-2</v>
      </c>
    </row>
    <row r="15" spans="1:23">
      <c r="A15" s="1008"/>
      <c r="B15" s="674" t="s">
        <v>48</v>
      </c>
      <c r="C15" s="656" t="s">
        <v>739</v>
      </c>
      <c r="D15" s="1030" t="s">
        <v>744</v>
      </c>
      <c r="E15" s="1030"/>
      <c r="F15" s="1030">
        <v>3.3000000000000002E-2</v>
      </c>
      <c r="G15" s="1030"/>
      <c r="H15" s="560" t="str">
        <f t="shared" si="0"/>
        <v>U-0.033</v>
      </c>
      <c r="I15" s="675">
        <f t="shared" si="1"/>
        <v>30.303030303030301</v>
      </c>
      <c r="J15" s="675"/>
      <c r="K15" s="1030" t="s">
        <v>744</v>
      </c>
      <c r="L15" s="1030"/>
      <c r="M15" s="1030">
        <v>3.3000000000000002E-2</v>
      </c>
      <c r="N15" s="1030"/>
      <c r="O15" s="560" t="str">
        <f t="shared" si="2"/>
        <v>U-0.033</v>
      </c>
      <c r="P15" s="1075" t="s">
        <v>757</v>
      </c>
      <c r="Q15" s="1076"/>
      <c r="R15" s="1005">
        <v>2.5999999999999999E-2</v>
      </c>
      <c r="S15" s="1007"/>
      <c r="T15" s="559" t="str">
        <f t="shared" si="3"/>
        <v>U-0.026</v>
      </c>
      <c r="U15" s="676">
        <f>IF('Prescriptive Path'!$K$1=4,Proposed!F15,IF('Prescriptive Path'!$K$1=5,Proposed!M15,Proposed!R15))</f>
        <v>3.3000000000000002E-2</v>
      </c>
    </row>
    <row r="16" spans="1:23">
      <c r="A16" s="1008"/>
      <c r="B16" s="674" t="s">
        <v>50</v>
      </c>
      <c r="C16" s="656" t="s">
        <v>739</v>
      </c>
      <c r="D16" s="1030" t="s">
        <v>745</v>
      </c>
      <c r="E16" s="1030"/>
      <c r="F16" s="1030">
        <v>1.9E-2</v>
      </c>
      <c r="G16" s="1030"/>
      <c r="H16" s="560" t="str">
        <f t="shared" si="0"/>
        <v>U-0.019</v>
      </c>
      <c r="I16" s="675">
        <f t="shared" si="1"/>
        <v>52.631578947368425</v>
      </c>
      <c r="J16" s="675"/>
      <c r="K16" s="1030" t="s">
        <v>745</v>
      </c>
      <c r="L16" s="1030"/>
      <c r="M16" s="1030">
        <v>1.9E-2</v>
      </c>
      <c r="N16" s="1030"/>
      <c r="O16" s="560" t="str">
        <f t="shared" si="2"/>
        <v>U-0.019</v>
      </c>
      <c r="P16" s="1030" t="s">
        <v>745</v>
      </c>
      <c r="Q16" s="1030"/>
      <c r="R16" s="1030">
        <v>1.9E-2</v>
      </c>
      <c r="S16" s="1030"/>
      <c r="T16" s="559" t="str">
        <f t="shared" si="3"/>
        <v>U-0.019</v>
      </c>
      <c r="U16" s="676">
        <f>IF('Prescriptive Path'!$K$1=4,Proposed!F16,IF('Prescriptive Path'!$K$1=5,Proposed!M16,Proposed!R16))</f>
        <v>1.9E-2</v>
      </c>
    </row>
    <row r="17" spans="1:21">
      <c r="A17" s="1008" t="s">
        <v>68</v>
      </c>
      <c r="B17" s="674" t="s">
        <v>87</v>
      </c>
      <c r="C17" s="656" t="s">
        <v>739</v>
      </c>
      <c r="D17" s="1030" t="s">
        <v>746</v>
      </c>
      <c r="E17" s="1030"/>
      <c r="F17" s="1030">
        <v>8.1000000000000003E-2</v>
      </c>
      <c r="G17" s="1030"/>
      <c r="H17" s="560" t="str">
        <f t="shared" si="0"/>
        <v>U-0.081</v>
      </c>
      <c r="I17" s="675">
        <f t="shared" si="1"/>
        <v>12.345679012345679</v>
      </c>
      <c r="J17" s="675"/>
      <c r="K17" s="1031" t="s">
        <v>228</v>
      </c>
      <c r="L17" s="1033"/>
      <c r="M17" s="1031">
        <v>7.1999999999999995E-2</v>
      </c>
      <c r="N17" s="1033"/>
      <c r="O17" s="560" t="str">
        <f t="shared" si="2"/>
        <v>U-0.072</v>
      </c>
      <c r="P17" s="1075" t="s">
        <v>758</v>
      </c>
      <c r="Q17" s="1076"/>
      <c r="R17" s="1005">
        <v>6.4000000000000001E-2</v>
      </c>
      <c r="S17" s="1007"/>
      <c r="T17" s="559" t="str">
        <f t="shared" si="3"/>
        <v>U-0.064</v>
      </c>
      <c r="U17" s="676">
        <f>IF('Prescriptive Path'!$K$1=4,Proposed!F17,IF('Prescriptive Path'!$K$1=5,Proposed!M17,Proposed!R17))</f>
        <v>7.1999999999999995E-2</v>
      </c>
    </row>
    <row r="18" spans="1:21">
      <c r="A18" s="1008"/>
      <c r="B18" s="674" t="s">
        <v>90</v>
      </c>
      <c r="C18" s="656" t="s">
        <v>739</v>
      </c>
      <c r="D18" s="1030" t="s">
        <v>748</v>
      </c>
      <c r="E18" s="1030"/>
      <c r="F18" s="1030">
        <v>0.05</v>
      </c>
      <c r="G18" s="1030"/>
      <c r="H18" s="560" t="str">
        <f t="shared" si="0"/>
        <v>U-0.05</v>
      </c>
      <c r="I18" s="675">
        <f t="shared" si="1"/>
        <v>20</v>
      </c>
      <c r="J18" s="675"/>
      <c r="K18" s="1031" t="s">
        <v>756</v>
      </c>
      <c r="L18" s="1033"/>
      <c r="M18" s="1031">
        <v>0.05</v>
      </c>
      <c r="N18" s="1033"/>
      <c r="O18" s="560" t="str">
        <f t="shared" si="2"/>
        <v>U-0.05</v>
      </c>
      <c r="P18" s="1075" t="s">
        <v>759</v>
      </c>
      <c r="Q18" s="1076"/>
      <c r="R18" s="1005">
        <v>4.3999999999999997E-2</v>
      </c>
      <c r="S18" s="1007"/>
      <c r="T18" s="559" t="str">
        <f t="shared" si="3"/>
        <v>U-0.044</v>
      </c>
      <c r="U18" s="676">
        <f>IF('Prescriptive Path'!$K$1=4,Proposed!F18,IF('Prescriptive Path'!$K$1=5,Proposed!M18,Proposed!R18))</f>
        <v>0.05</v>
      </c>
    </row>
    <row r="19" spans="1:21">
      <c r="A19" s="1008"/>
      <c r="B19" s="674" t="s">
        <v>210</v>
      </c>
      <c r="C19" s="656" t="s">
        <v>739</v>
      </c>
      <c r="D19" s="1030" t="s">
        <v>747</v>
      </c>
      <c r="E19" s="1030"/>
      <c r="F19" s="1030">
        <v>4.4999999999999998E-2</v>
      </c>
      <c r="G19" s="1030"/>
      <c r="H19" s="560" t="str">
        <f t="shared" si="0"/>
        <v>U-0.045</v>
      </c>
      <c r="I19" s="675">
        <f t="shared" si="1"/>
        <v>22.222222222222221</v>
      </c>
      <c r="J19" s="675"/>
      <c r="K19" s="1030" t="s">
        <v>747</v>
      </c>
      <c r="L19" s="1030"/>
      <c r="M19" s="1030">
        <v>4.4999999999999998E-2</v>
      </c>
      <c r="N19" s="1030"/>
      <c r="O19" s="560" t="str">
        <f t="shared" si="2"/>
        <v>U-0.045</v>
      </c>
      <c r="P19" s="1030" t="s">
        <v>747</v>
      </c>
      <c r="Q19" s="1030"/>
      <c r="R19" s="1030">
        <v>4.4999999999999998E-2</v>
      </c>
      <c r="S19" s="1030"/>
      <c r="T19" s="559" t="str">
        <f t="shared" si="3"/>
        <v>U-0.045</v>
      </c>
      <c r="U19" s="676">
        <f>IF('Prescriptive Path'!$K$1=4,Proposed!F19,IF('Prescriptive Path'!$K$1=5,Proposed!M19,Proposed!R19))</f>
        <v>4.4999999999999998E-2</v>
      </c>
    </row>
    <row r="20" spans="1:21">
      <c r="A20" s="1008"/>
      <c r="B20" s="674" t="s">
        <v>227</v>
      </c>
      <c r="C20" s="656" t="s">
        <v>739</v>
      </c>
      <c r="D20" s="1030" t="s">
        <v>229</v>
      </c>
      <c r="E20" s="1030"/>
      <c r="F20" s="1030">
        <v>5.8000000000000003E-2</v>
      </c>
      <c r="G20" s="1030"/>
      <c r="H20" s="560" t="str">
        <f t="shared" si="0"/>
        <v>U-0.058</v>
      </c>
      <c r="I20" s="675">
        <v>21</v>
      </c>
      <c r="J20" s="675"/>
      <c r="K20" s="1031" t="s">
        <v>756</v>
      </c>
      <c r="L20" s="1033"/>
      <c r="M20" s="1031">
        <v>4.5999999999999999E-2</v>
      </c>
      <c r="N20" s="1033"/>
      <c r="O20" s="560" t="str">
        <f t="shared" si="2"/>
        <v>U-0.046</v>
      </c>
      <c r="P20" s="1075" t="s">
        <v>756</v>
      </c>
      <c r="Q20" s="1076"/>
      <c r="R20" s="1005">
        <v>4.5999999999999999E-2</v>
      </c>
      <c r="S20" s="1007"/>
      <c r="T20" s="559" t="str">
        <f t="shared" si="3"/>
        <v>U-0.046</v>
      </c>
      <c r="U20" s="676">
        <f>IF('Prescriptive Path'!$K$1=4,Proposed!F20,IF('Prescriptive Path'!$K$1=5,Proposed!M20,Proposed!R20))</f>
        <v>4.5999999999999999E-2</v>
      </c>
    </row>
    <row r="21" spans="1:21">
      <c r="A21" s="1008" t="s">
        <v>69</v>
      </c>
      <c r="B21" s="674" t="s">
        <v>3</v>
      </c>
      <c r="C21" s="656" t="s">
        <v>739</v>
      </c>
      <c r="D21" s="1030" t="s">
        <v>230</v>
      </c>
      <c r="E21" s="1030"/>
      <c r="F21" s="1030">
        <v>8.3000000000000004E-2</v>
      </c>
      <c r="G21" s="1030"/>
      <c r="H21" s="560" t="str">
        <f>"C-"&amp;$F21</f>
        <v>C-0.083</v>
      </c>
      <c r="I21" s="675">
        <f>1/F21</f>
        <v>12.048192771084336</v>
      </c>
      <c r="J21" s="675"/>
      <c r="K21" s="1030" t="s">
        <v>230</v>
      </c>
      <c r="L21" s="1030"/>
      <c r="M21" s="1030">
        <v>8.3000000000000004E-2</v>
      </c>
      <c r="N21" s="1030"/>
      <c r="O21" s="560" t="str">
        <f>"C-"&amp;$F21</f>
        <v>C-0.083</v>
      </c>
      <c r="P21" s="1075" t="s">
        <v>760</v>
      </c>
      <c r="Q21" s="1076"/>
      <c r="R21" s="1005">
        <v>5.7000000000000002E-2</v>
      </c>
      <c r="S21" s="1007"/>
      <c r="T21" s="559" t="str">
        <f>"C-"&amp;$F21</f>
        <v>C-0.083</v>
      </c>
      <c r="U21" s="676">
        <f>IF('Prescriptive Path'!$K$1=4,Proposed!F21,IF('Prescriptive Path'!$K$1=5,Proposed!M21,Proposed!R21))</f>
        <v>8.3000000000000004E-2</v>
      </c>
    </row>
    <row r="22" spans="1:21">
      <c r="A22" s="1008"/>
      <c r="B22" s="674" t="s">
        <v>70</v>
      </c>
      <c r="C22" s="656" t="s">
        <v>739</v>
      </c>
      <c r="D22" s="1031" t="s">
        <v>5</v>
      </c>
      <c r="E22" s="1032"/>
      <c r="F22" s="1032"/>
      <c r="G22" s="1032"/>
      <c r="H22" s="1032"/>
      <c r="I22" s="1033"/>
      <c r="J22" s="677"/>
      <c r="K22" s="1030" t="s">
        <v>5</v>
      </c>
      <c r="L22" s="1030"/>
      <c r="M22" s="1030"/>
      <c r="N22" s="1030"/>
      <c r="O22" s="1030"/>
      <c r="P22" s="1102" t="s">
        <v>5</v>
      </c>
      <c r="Q22" s="1102"/>
      <c r="R22" s="1102"/>
      <c r="S22" s="1102"/>
      <c r="T22" s="1102"/>
      <c r="U22" s="651"/>
    </row>
    <row r="23" spans="1:21">
      <c r="A23" s="1008" t="s">
        <v>58</v>
      </c>
      <c r="B23" s="674" t="s">
        <v>88</v>
      </c>
      <c r="C23" s="656" t="s">
        <v>739</v>
      </c>
      <c r="D23" s="1030" t="s">
        <v>749</v>
      </c>
      <c r="E23" s="1030"/>
      <c r="F23" s="1030">
        <v>4.5999999999999999E-2</v>
      </c>
      <c r="G23" s="1030"/>
      <c r="H23" s="560" t="str">
        <f>"U-"&amp;$F23</f>
        <v>U-0.046</v>
      </c>
      <c r="I23" s="675">
        <f>1/F23</f>
        <v>21.739130434782609</v>
      </c>
      <c r="J23" s="675"/>
      <c r="K23" s="1030" t="s">
        <v>749</v>
      </c>
      <c r="L23" s="1030"/>
      <c r="M23" s="1030">
        <v>4.5999999999999999E-2</v>
      </c>
      <c r="N23" s="1030"/>
      <c r="O23" s="560" t="str">
        <f>"U-"&amp;$M23</f>
        <v>U-0.046</v>
      </c>
      <c r="P23" s="1030" t="s">
        <v>749</v>
      </c>
      <c r="Q23" s="1030"/>
      <c r="R23" s="1030">
        <v>4.5999999999999999E-2</v>
      </c>
      <c r="S23" s="1030"/>
      <c r="T23" s="559" t="str">
        <f>"U-"&amp;$R23</f>
        <v>U-0.046</v>
      </c>
      <c r="U23" s="676">
        <f>IF('Prescriptive Path'!$K$1=4,Proposed!F23,IF('Prescriptive Path'!$K$1=5,Proposed!M23,Proposed!R23))</f>
        <v>4.5999999999999999E-2</v>
      </c>
    </row>
    <row r="24" spans="1:21">
      <c r="A24" s="1008"/>
      <c r="B24" s="674" t="s">
        <v>60</v>
      </c>
      <c r="C24" s="656" t="s">
        <v>739</v>
      </c>
      <c r="D24" s="1030" t="s">
        <v>49</v>
      </c>
      <c r="E24" s="1030"/>
      <c r="F24" s="1030">
        <v>3.4000000000000002E-2</v>
      </c>
      <c r="G24" s="1030"/>
      <c r="H24" s="560" t="str">
        <f>"U-"&amp;$F24</f>
        <v>U-0.034</v>
      </c>
      <c r="I24" s="675">
        <f>1/F24</f>
        <v>29.411764705882351</v>
      </c>
      <c r="J24" s="675"/>
      <c r="K24" s="1030" t="s">
        <v>49</v>
      </c>
      <c r="L24" s="1030"/>
      <c r="M24" s="1030">
        <v>3.4000000000000002E-2</v>
      </c>
      <c r="N24" s="1030"/>
      <c r="O24" s="560" t="str">
        <f>"U-"&amp;$M24</f>
        <v>U-0.034</v>
      </c>
      <c r="P24" s="1075" t="s">
        <v>51</v>
      </c>
      <c r="Q24" s="1076"/>
      <c r="R24" s="1005">
        <v>2.9000000000000001E-2</v>
      </c>
      <c r="S24" s="1007"/>
      <c r="T24" s="559" t="str">
        <f>"U-"&amp;$R24</f>
        <v>U-0.029</v>
      </c>
      <c r="U24" s="676">
        <f>IF('Prescriptive Path'!$K$1=4,Proposed!F24,IF('Prescriptive Path'!$K$1=5,Proposed!M24,Proposed!R24))</f>
        <v>3.4000000000000002E-2</v>
      </c>
    </row>
    <row r="25" spans="1:21">
      <c r="A25" s="1008"/>
      <c r="B25" s="674" t="s">
        <v>71</v>
      </c>
      <c r="C25" s="656" t="s">
        <v>739</v>
      </c>
      <c r="D25" s="1030" t="s">
        <v>49</v>
      </c>
      <c r="E25" s="1030"/>
      <c r="F25" s="1030">
        <v>0.03</v>
      </c>
      <c r="G25" s="1030"/>
      <c r="H25" s="560" t="str">
        <f>"U-"&amp;$F25</f>
        <v>U-0.03</v>
      </c>
      <c r="I25" s="675">
        <f>1/F25</f>
        <v>33.333333333333336</v>
      </c>
      <c r="J25" s="675"/>
      <c r="K25" s="1030" t="s">
        <v>49</v>
      </c>
      <c r="L25" s="1030"/>
      <c r="M25" s="1030">
        <v>0.03</v>
      </c>
      <c r="N25" s="1030"/>
      <c r="O25" s="560" t="str">
        <f>"U-"&amp;$M25</f>
        <v>U-0.03</v>
      </c>
      <c r="P25" s="1075" t="s">
        <v>761</v>
      </c>
      <c r="Q25" s="1076"/>
      <c r="R25" s="1005">
        <v>2.4E-2</v>
      </c>
      <c r="S25" s="1007"/>
      <c r="T25" s="560" t="str">
        <f>"U-"&amp;$R25</f>
        <v>U-0.024</v>
      </c>
      <c r="U25" s="676">
        <f>IF('Prescriptive Path'!$K$1=4,Proposed!F25,IF('Prescriptive Path'!$K$1=5,Proposed!M25,Proposed!R25))</f>
        <v>0.03</v>
      </c>
    </row>
    <row r="26" spans="1:21">
      <c r="A26" s="1008" t="s">
        <v>59</v>
      </c>
      <c r="B26" s="678" t="s">
        <v>30</v>
      </c>
      <c r="C26" s="656" t="s">
        <v>739</v>
      </c>
      <c r="D26" s="1031" t="s">
        <v>750</v>
      </c>
      <c r="E26" s="1032"/>
      <c r="F26" s="1032"/>
      <c r="G26" s="1032"/>
      <c r="H26" s="1032"/>
      <c r="I26" s="1033"/>
      <c r="J26" s="677"/>
      <c r="K26" s="1030" t="s">
        <v>750</v>
      </c>
      <c r="L26" s="1030"/>
      <c r="M26" s="1030"/>
      <c r="N26" s="1030"/>
      <c r="O26" s="1030"/>
      <c r="P26" s="1030" t="s">
        <v>751</v>
      </c>
      <c r="Q26" s="1030"/>
      <c r="R26" s="1030"/>
      <c r="S26" s="1030"/>
      <c r="T26" s="1030"/>
      <c r="U26" s="651"/>
    </row>
    <row r="27" spans="1:21">
      <c r="A27" s="1008"/>
      <c r="B27" s="674" t="s">
        <v>24</v>
      </c>
      <c r="C27" s="656" t="s">
        <v>739</v>
      </c>
      <c r="D27" s="1005" t="s">
        <v>751</v>
      </c>
      <c r="E27" s="1006"/>
      <c r="F27" s="1006"/>
      <c r="G27" s="1006"/>
      <c r="H27" s="1006"/>
      <c r="I27" s="1007"/>
      <c r="J27" s="679"/>
      <c r="K27" s="1030" t="s">
        <v>751</v>
      </c>
      <c r="L27" s="1030"/>
      <c r="M27" s="1030"/>
      <c r="N27" s="1030"/>
      <c r="O27" s="1030"/>
      <c r="P27" s="1030" t="s">
        <v>751</v>
      </c>
      <c r="Q27" s="1030"/>
      <c r="R27" s="1030"/>
      <c r="S27" s="1030"/>
      <c r="T27" s="1030"/>
      <c r="U27" s="651"/>
    </row>
    <row r="28" spans="1:21">
      <c r="A28" s="567" t="s">
        <v>11</v>
      </c>
      <c r="B28" s="674" t="s">
        <v>6</v>
      </c>
      <c r="C28" s="656" t="s">
        <v>739</v>
      </c>
      <c r="D28" s="1083"/>
      <c r="E28" s="1084"/>
      <c r="F28" s="1031">
        <v>4.4999999999999998E-2</v>
      </c>
      <c r="G28" s="1033"/>
      <c r="H28" s="560" t="str">
        <f>"U-"&amp;$F28</f>
        <v>U-0.045</v>
      </c>
      <c r="I28" s="680"/>
      <c r="J28" s="681"/>
      <c r="K28" s="1002"/>
      <c r="L28" s="1004"/>
      <c r="M28" s="1031">
        <v>0.45</v>
      </c>
      <c r="N28" s="1033"/>
      <c r="O28" s="560" t="str">
        <f>"U-"&amp;$M28</f>
        <v>U-0.45</v>
      </c>
      <c r="P28" s="1083"/>
      <c r="Q28" s="1084"/>
      <c r="R28" s="1031">
        <v>0.45</v>
      </c>
      <c r="S28" s="1033"/>
      <c r="T28" s="560" t="str">
        <f>"U-"&amp;$R28</f>
        <v>U-0.45</v>
      </c>
      <c r="U28" s="676">
        <f>IF('Prescriptive Path'!$K$1=4,Proposed!F28,(IF('Prescriptive Path'!$K$1=5,Proposed!M28,Proposed!R28)))</f>
        <v>0.45</v>
      </c>
    </row>
    <row r="29" spans="1:21" ht="15" customHeight="1" thickBot="1">
      <c r="A29" s="682" t="s">
        <v>72</v>
      </c>
      <c r="B29" s="683" t="s">
        <v>7</v>
      </c>
      <c r="C29" s="570" t="s">
        <v>659</v>
      </c>
      <c r="D29" s="1081"/>
      <c r="E29" s="1082"/>
      <c r="F29" s="1081"/>
      <c r="G29" s="1082"/>
      <c r="H29" s="577" t="s">
        <v>755</v>
      </c>
      <c r="I29" s="684"/>
      <c r="J29" s="685"/>
      <c r="K29" s="1081"/>
      <c r="L29" s="1082"/>
      <c r="M29" s="1081"/>
      <c r="N29" s="1082"/>
      <c r="O29" s="577" t="s">
        <v>755</v>
      </c>
      <c r="P29" s="1081"/>
      <c r="Q29" s="1082"/>
      <c r="R29" s="1081"/>
      <c r="S29" s="1082"/>
      <c r="T29" s="577" t="s">
        <v>755</v>
      </c>
      <c r="U29" s="619"/>
    </row>
    <row r="30" spans="1:21" ht="45.75" thickBot="1">
      <c r="A30" s="686"/>
      <c r="B30" s="687"/>
      <c r="C30" s="688"/>
      <c r="D30" s="1020" t="s">
        <v>74</v>
      </c>
      <c r="E30" s="1022"/>
      <c r="F30" s="1020" t="s">
        <v>66</v>
      </c>
      <c r="G30" s="1022"/>
      <c r="H30" s="1020" t="s">
        <v>67</v>
      </c>
      <c r="I30" s="1022"/>
      <c r="J30" s="689"/>
      <c r="K30" s="1020" t="s">
        <v>74</v>
      </c>
      <c r="L30" s="1022"/>
      <c r="M30" s="1020" t="s">
        <v>66</v>
      </c>
      <c r="N30" s="1022"/>
      <c r="O30" s="551" t="s">
        <v>67</v>
      </c>
      <c r="P30" s="1020" t="s">
        <v>74</v>
      </c>
      <c r="Q30" s="1022"/>
      <c r="R30" s="1020" t="s">
        <v>66</v>
      </c>
      <c r="S30" s="1022"/>
      <c r="T30" s="551" t="s">
        <v>67</v>
      </c>
      <c r="U30" s="332" t="s">
        <v>347</v>
      </c>
    </row>
    <row r="31" spans="1:21" ht="60">
      <c r="A31" s="686"/>
      <c r="B31" s="690" t="s">
        <v>8</v>
      </c>
      <c r="C31" s="691" t="s">
        <v>674</v>
      </c>
      <c r="D31" s="1075">
        <v>0.4</v>
      </c>
      <c r="E31" s="1076"/>
      <c r="F31" s="1077">
        <v>0.27</v>
      </c>
      <c r="G31" s="1078"/>
      <c r="H31" s="1075" t="s">
        <v>73</v>
      </c>
      <c r="I31" s="1076"/>
      <c r="J31" s="657"/>
      <c r="K31" s="1075">
        <v>0.4</v>
      </c>
      <c r="L31" s="1076"/>
      <c r="M31" s="1077">
        <v>0.27</v>
      </c>
      <c r="N31" s="1078"/>
      <c r="O31" s="554" t="s">
        <v>73</v>
      </c>
      <c r="P31" s="1075">
        <v>0.4</v>
      </c>
      <c r="Q31" s="1076"/>
      <c r="R31" s="1077">
        <v>0.27</v>
      </c>
      <c r="S31" s="1078"/>
      <c r="T31" s="554" t="s">
        <v>73</v>
      </c>
      <c r="U31" s="673">
        <f>IF('Prescriptive Path'!$K$1=4,Proposed!F31,(IF('Prescriptive Path'!$K$1=5,Proposed!M31,Proposed!R31)))</f>
        <v>0.27</v>
      </c>
    </row>
    <row r="32" spans="1:21">
      <c r="A32" s="686"/>
      <c r="B32" s="674" t="s">
        <v>714</v>
      </c>
      <c r="C32" s="656" t="s">
        <v>739</v>
      </c>
      <c r="D32" s="1031">
        <v>0.4</v>
      </c>
      <c r="E32" s="1033"/>
      <c r="F32" s="1031">
        <v>0.38</v>
      </c>
      <c r="G32" s="1033"/>
      <c r="H32" s="1031" t="s">
        <v>752</v>
      </c>
      <c r="I32" s="1033"/>
      <c r="J32" s="661"/>
      <c r="K32" s="1031">
        <v>0.4</v>
      </c>
      <c r="L32" s="1033"/>
      <c r="M32" s="1031">
        <v>0.38</v>
      </c>
      <c r="N32" s="1033"/>
      <c r="O32" s="560" t="s">
        <v>752</v>
      </c>
      <c r="P32" s="1031">
        <v>0.4</v>
      </c>
      <c r="Q32" s="1033"/>
      <c r="R32" s="1031">
        <v>0.38</v>
      </c>
      <c r="S32" s="1033"/>
      <c r="T32" s="560" t="s">
        <v>752</v>
      </c>
      <c r="U32" s="676">
        <f>IF('Prescriptive Path'!$K$1=4,Proposed!F32,(IF('Prescriptive Path'!$K$1=5,Proposed!M32,Proposed!R32)))</f>
        <v>0.38</v>
      </c>
    </row>
    <row r="33" spans="1:21">
      <c r="A33" s="686"/>
      <c r="B33" s="674" t="s">
        <v>9</v>
      </c>
      <c r="C33" s="656" t="s">
        <v>739</v>
      </c>
      <c r="D33" s="1031">
        <v>0.4</v>
      </c>
      <c r="E33" s="1033"/>
      <c r="F33" s="1031">
        <v>0.61</v>
      </c>
      <c r="G33" s="1033"/>
      <c r="H33" s="1031" t="s">
        <v>753</v>
      </c>
      <c r="I33" s="1033"/>
      <c r="J33" s="661"/>
      <c r="K33" s="1031">
        <v>0.4</v>
      </c>
      <c r="L33" s="1033"/>
      <c r="M33" s="1031">
        <v>0.61</v>
      </c>
      <c r="N33" s="1033"/>
      <c r="O33" s="560" t="s">
        <v>753</v>
      </c>
      <c r="P33" s="1031">
        <v>0.4</v>
      </c>
      <c r="Q33" s="1033"/>
      <c r="R33" s="1031">
        <v>0.61</v>
      </c>
      <c r="S33" s="1033"/>
      <c r="T33" s="560" t="s">
        <v>753</v>
      </c>
      <c r="U33" s="676">
        <f>IF('Prescriptive Path'!$K$1=4,Proposed!F33,(IF('Prescriptive Path'!$K$1=5,Proposed!M33,Proposed!R33)))</f>
        <v>0.61</v>
      </c>
    </row>
    <row r="34" spans="1:21" ht="15.75" thickBot="1">
      <c r="A34" s="692"/>
      <c r="B34" s="683" t="s">
        <v>10</v>
      </c>
      <c r="C34" s="656" t="s">
        <v>739</v>
      </c>
      <c r="D34" s="1017">
        <v>0.4</v>
      </c>
      <c r="E34" s="1019"/>
      <c r="F34" s="1017">
        <v>0.45</v>
      </c>
      <c r="G34" s="1019"/>
      <c r="H34" s="1017" t="s">
        <v>754</v>
      </c>
      <c r="I34" s="1019"/>
      <c r="J34" s="665"/>
      <c r="K34" s="1017">
        <v>0.4</v>
      </c>
      <c r="L34" s="1019"/>
      <c r="M34" s="1017">
        <v>0.45</v>
      </c>
      <c r="N34" s="1019"/>
      <c r="O34" s="577" t="s">
        <v>754</v>
      </c>
      <c r="P34" s="1017">
        <v>0.4</v>
      </c>
      <c r="Q34" s="1019"/>
      <c r="R34" s="1017">
        <v>0.45</v>
      </c>
      <c r="S34" s="1019"/>
      <c r="T34" s="577" t="s">
        <v>754</v>
      </c>
      <c r="U34" s="693">
        <f>IF('Prescriptive Path'!$K$1=4,Proposed!F34,(IF('Prescriptive Path'!$K$1=5,Proposed!M34,Proposed!R34)))</f>
        <v>0.45</v>
      </c>
    </row>
    <row r="35" spans="1:21" ht="15.75" thickBot="1">
      <c r="A35" s="694" t="s">
        <v>364</v>
      </c>
      <c r="B35" s="695" t="s">
        <v>362</v>
      </c>
      <c r="C35" s="696"/>
      <c r="D35" s="1071"/>
      <c r="E35" s="1072"/>
      <c r="F35" s="1071"/>
      <c r="G35" s="1072"/>
      <c r="H35" s="1073"/>
      <c r="I35" s="1074"/>
      <c r="J35" s="697"/>
      <c r="K35" s="1071"/>
      <c r="L35" s="1072"/>
      <c r="M35" s="1071"/>
      <c r="N35" s="1072"/>
      <c r="O35" s="589"/>
      <c r="P35" s="1071"/>
      <c r="Q35" s="1072"/>
      <c r="R35" s="1071"/>
      <c r="S35" s="1072"/>
      <c r="T35" s="589"/>
      <c r="U35" s="698"/>
    </row>
    <row r="36" spans="1:21" ht="45.75" customHeight="1" thickBot="1">
      <c r="A36" s="1069" t="s">
        <v>61</v>
      </c>
      <c r="B36" s="699"/>
      <c r="C36" s="699"/>
      <c r="D36" s="551" t="s">
        <v>292</v>
      </c>
      <c r="E36" s="551" t="s">
        <v>179</v>
      </c>
      <c r="F36" s="551" t="s">
        <v>76</v>
      </c>
      <c r="G36" s="551" t="s">
        <v>172</v>
      </c>
      <c r="H36" s="551" t="s">
        <v>67</v>
      </c>
      <c r="I36" s="700" t="s">
        <v>799</v>
      </c>
      <c r="J36" s="700" t="s">
        <v>800</v>
      </c>
      <c r="K36" s="551" t="s">
        <v>292</v>
      </c>
      <c r="L36" s="551" t="s">
        <v>179</v>
      </c>
      <c r="M36" s="551" t="s">
        <v>76</v>
      </c>
      <c r="N36" s="551" t="s">
        <v>172</v>
      </c>
      <c r="O36" s="551" t="s">
        <v>67</v>
      </c>
      <c r="P36" s="551" t="s">
        <v>292</v>
      </c>
      <c r="Q36" s="551" t="s">
        <v>179</v>
      </c>
      <c r="R36" s="551" t="s">
        <v>76</v>
      </c>
      <c r="S36" s="551" t="s">
        <v>172</v>
      </c>
      <c r="T36" s="551" t="s">
        <v>67</v>
      </c>
      <c r="U36" s="332" t="s">
        <v>347</v>
      </c>
    </row>
    <row r="37" spans="1:21" ht="30">
      <c r="A37" s="1070"/>
      <c r="B37" s="592" t="s">
        <v>676</v>
      </c>
      <c r="C37" s="701" t="s">
        <v>679</v>
      </c>
      <c r="D37" s="702"/>
      <c r="E37" s="595">
        <f>IF('Prescriptive Path'!H43*12000&lt;8000,12.1,IF('Prescriptive Path'!H43*12000&lt;14000,12,IF('Prescriptive Path'!H43*12000&lt;20000,11.8,IF('Prescriptive Path'!H43*12000&lt;28000,10.3,9.9))))</f>
        <v>12.1</v>
      </c>
      <c r="F37" s="703"/>
      <c r="G37" s="703"/>
      <c r="H37" s="595" t="s">
        <v>211</v>
      </c>
      <c r="I37" s="704">
        <f>E37*'Prescriptive Path'!H42*'Prescriptive Path'!H43*12000/1000000</f>
        <v>0</v>
      </c>
      <c r="J37" s="702"/>
      <c r="K37" s="702"/>
      <c r="L37" s="595">
        <f>E37</f>
        <v>12.1</v>
      </c>
      <c r="M37" s="703"/>
      <c r="N37" s="703"/>
      <c r="O37" s="595" t="s">
        <v>211</v>
      </c>
      <c r="P37" s="702"/>
      <c r="Q37" s="595">
        <f>L37</f>
        <v>12.1</v>
      </c>
      <c r="R37" s="703"/>
      <c r="S37" s="703"/>
      <c r="T37" s="595" t="s">
        <v>211</v>
      </c>
      <c r="U37" s="705"/>
    </row>
    <row r="38" spans="1:21" ht="30">
      <c r="A38" s="706"/>
      <c r="B38" s="598" t="s">
        <v>677</v>
      </c>
      <c r="C38" s="701" t="s">
        <v>679</v>
      </c>
      <c r="D38" s="702"/>
      <c r="E38" s="599">
        <f>IF('Prescriptive Path'!H45*12000&lt;8000,11,IF('Prescriptive Path'!H45*12000&lt;11000,10.6,IF('Prescriptive Path'!H45*12000&lt;14000,10.5,IF('Prescriptive Path'!H45*12000&lt;20000,10.2,10.3))))</f>
        <v>11</v>
      </c>
      <c r="F38" s="703"/>
      <c r="G38" s="703"/>
      <c r="H38" s="595" t="s">
        <v>211</v>
      </c>
      <c r="I38" s="704">
        <f>E38*'Prescriptive Path'!H44*'Prescriptive Path'!H45*12000/1000000</f>
        <v>0</v>
      </c>
      <c r="J38" s="702"/>
      <c r="K38" s="702"/>
      <c r="L38" s="595">
        <f>E38</f>
        <v>11</v>
      </c>
      <c r="M38" s="703"/>
      <c r="N38" s="703"/>
      <c r="O38" s="595" t="s">
        <v>211</v>
      </c>
      <c r="P38" s="702"/>
      <c r="Q38" s="595">
        <f>L38</f>
        <v>11</v>
      </c>
      <c r="R38" s="703"/>
      <c r="S38" s="703"/>
      <c r="T38" s="595" t="s">
        <v>211</v>
      </c>
      <c r="U38" s="705"/>
    </row>
    <row r="39" spans="1:21" ht="45">
      <c r="A39" s="707"/>
      <c r="B39" s="708" t="s">
        <v>248</v>
      </c>
      <c r="C39" s="709" t="s">
        <v>666</v>
      </c>
      <c r="D39" s="710"/>
      <c r="E39" s="604">
        <f>15*0.875</f>
        <v>13.125</v>
      </c>
      <c r="F39" s="555"/>
      <c r="G39" s="555"/>
      <c r="H39" s="559" t="s">
        <v>211</v>
      </c>
      <c r="I39" s="711">
        <f>E39*'Prescriptive Path'!H46*12000/1000000</f>
        <v>0</v>
      </c>
      <c r="J39" s="710"/>
      <c r="K39" s="710"/>
      <c r="L39" s="599">
        <f t="shared" ref="L39:L43" si="4">E39</f>
        <v>13.125</v>
      </c>
      <c r="M39" s="555"/>
      <c r="N39" s="555"/>
      <c r="O39" s="559" t="s">
        <v>211</v>
      </c>
      <c r="P39" s="710"/>
      <c r="Q39" s="599">
        <f t="shared" ref="Q39:Q43" si="5">L39</f>
        <v>13.125</v>
      </c>
      <c r="R39" s="555"/>
      <c r="S39" s="555"/>
      <c r="T39" s="559" t="s">
        <v>211</v>
      </c>
      <c r="U39" s="712"/>
    </row>
    <row r="40" spans="1:21" ht="45">
      <c r="A40" s="707"/>
      <c r="B40" s="137" t="s">
        <v>249</v>
      </c>
      <c r="C40" s="709" t="s">
        <v>666</v>
      </c>
      <c r="D40" s="555"/>
      <c r="E40" s="604">
        <f>E39</f>
        <v>13.125</v>
      </c>
      <c r="F40" s="555"/>
      <c r="G40" s="555"/>
      <c r="H40" s="559" t="s">
        <v>211</v>
      </c>
      <c r="I40" s="711">
        <f>E40*'Prescriptive Path'!H47*12000/1000000</f>
        <v>0</v>
      </c>
      <c r="J40" s="555"/>
      <c r="K40" s="555"/>
      <c r="L40" s="599">
        <f t="shared" si="4"/>
        <v>13.125</v>
      </c>
      <c r="M40" s="555"/>
      <c r="N40" s="555"/>
      <c r="O40" s="559" t="s">
        <v>211</v>
      </c>
      <c r="P40" s="555"/>
      <c r="Q40" s="599">
        <f t="shared" si="5"/>
        <v>13.125</v>
      </c>
      <c r="R40" s="555"/>
      <c r="S40" s="555"/>
      <c r="T40" s="559" t="s">
        <v>211</v>
      </c>
      <c r="U40" s="712"/>
    </row>
    <row r="41" spans="1:21" ht="30.75" customHeight="1">
      <c r="A41" s="707"/>
      <c r="B41" s="137" t="s">
        <v>250</v>
      </c>
      <c r="C41" s="137" t="s">
        <v>762</v>
      </c>
      <c r="D41" s="555"/>
      <c r="E41" s="559">
        <v>11.7</v>
      </c>
      <c r="F41" s="555"/>
      <c r="G41" s="555"/>
      <c r="H41" s="559" t="s">
        <v>764</v>
      </c>
      <c r="I41" s="711">
        <f>E41*'Prescriptive Path'!H48*12000/1000000</f>
        <v>0</v>
      </c>
      <c r="J41" s="555"/>
      <c r="K41" s="555"/>
      <c r="L41" s="595">
        <f t="shared" si="4"/>
        <v>11.7</v>
      </c>
      <c r="M41" s="555"/>
      <c r="N41" s="555"/>
      <c r="O41" s="559" t="str">
        <f>H41</f>
        <v>11.7 EER/13.0 IEER</v>
      </c>
      <c r="P41" s="555"/>
      <c r="Q41" s="595">
        <f t="shared" si="5"/>
        <v>11.7</v>
      </c>
      <c r="R41" s="555"/>
      <c r="S41" s="555"/>
      <c r="T41" s="559" t="str">
        <f>O41</f>
        <v>11.7 EER/13.0 IEER</v>
      </c>
      <c r="U41" s="712"/>
    </row>
    <row r="42" spans="1:21" ht="30.75" customHeight="1">
      <c r="A42" s="707"/>
      <c r="B42" s="137" t="s">
        <v>251</v>
      </c>
      <c r="C42" s="137" t="s">
        <v>762</v>
      </c>
      <c r="D42" s="555"/>
      <c r="E42" s="559">
        <v>11.7</v>
      </c>
      <c r="F42" s="555"/>
      <c r="G42" s="555"/>
      <c r="H42" s="559" t="s">
        <v>765</v>
      </c>
      <c r="I42" s="711">
        <f>E42*'Prescriptive Path'!H49*12000/1000000</f>
        <v>0</v>
      </c>
      <c r="J42" s="555"/>
      <c r="K42" s="555"/>
      <c r="L42" s="595">
        <f t="shared" si="4"/>
        <v>11.7</v>
      </c>
      <c r="M42" s="555"/>
      <c r="N42" s="555"/>
      <c r="O42" s="559" t="str">
        <f t="shared" ref="O42:O43" si="6">H42</f>
        <v>11.7 EER/12.5 IEER</v>
      </c>
      <c r="P42" s="555"/>
      <c r="Q42" s="595">
        <f t="shared" si="5"/>
        <v>11.7</v>
      </c>
      <c r="R42" s="555"/>
      <c r="S42" s="555"/>
      <c r="T42" s="559" t="str">
        <f t="shared" ref="T42:T43" si="7">O42</f>
        <v>11.7 EER/12.5 IEER</v>
      </c>
      <c r="U42" s="712"/>
    </row>
    <row r="43" spans="1:21" ht="30.75" customHeight="1">
      <c r="A43" s="707"/>
      <c r="B43" s="137" t="s">
        <v>252</v>
      </c>
      <c r="C43" s="137" t="s">
        <v>762</v>
      </c>
      <c r="D43" s="555"/>
      <c r="E43" s="559">
        <v>10.5</v>
      </c>
      <c r="F43" s="555"/>
      <c r="G43" s="555"/>
      <c r="H43" s="559" t="s">
        <v>766</v>
      </c>
      <c r="I43" s="711">
        <f>E43*'Prescriptive Path'!H50*12000/1000000</f>
        <v>0</v>
      </c>
      <c r="J43" s="555"/>
      <c r="K43" s="555"/>
      <c r="L43" s="595">
        <f t="shared" si="4"/>
        <v>10.5</v>
      </c>
      <c r="M43" s="555"/>
      <c r="N43" s="555"/>
      <c r="O43" s="559" t="str">
        <f t="shared" si="6"/>
        <v>10.5 EER/11.3 IEER</v>
      </c>
      <c r="P43" s="555"/>
      <c r="Q43" s="595">
        <f t="shared" si="5"/>
        <v>10.5</v>
      </c>
      <c r="R43" s="555"/>
      <c r="S43" s="555"/>
      <c r="T43" s="559" t="str">
        <f t="shared" si="7"/>
        <v>10.5 EER/11.3 IEER</v>
      </c>
      <c r="U43" s="712"/>
    </row>
    <row r="44" spans="1:21" ht="30.75" customHeight="1">
      <c r="A44" s="707"/>
      <c r="B44" s="708" t="s">
        <v>31</v>
      </c>
      <c r="C44" s="708"/>
      <c r="D44" s="555"/>
      <c r="E44" s="555"/>
      <c r="F44" s="555"/>
      <c r="G44" s="555"/>
      <c r="H44" s="605" t="s">
        <v>368</v>
      </c>
      <c r="I44" s="555"/>
      <c r="J44" s="555"/>
      <c r="K44" s="555"/>
      <c r="L44" s="555"/>
      <c r="M44" s="555"/>
      <c r="N44" s="555"/>
      <c r="O44" s="605" t="s">
        <v>368</v>
      </c>
      <c r="P44" s="555"/>
      <c r="Q44" s="555"/>
      <c r="R44" s="555"/>
      <c r="S44" s="555"/>
      <c r="T44" s="605" t="s">
        <v>368</v>
      </c>
      <c r="U44" s="712"/>
    </row>
    <row r="45" spans="1:21" ht="45">
      <c r="A45" s="707"/>
      <c r="B45" s="137" t="s">
        <v>239</v>
      </c>
      <c r="C45" s="137" t="s">
        <v>660</v>
      </c>
      <c r="D45" s="559">
        <v>0.95</v>
      </c>
      <c r="E45" s="555"/>
      <c r="F45" s="555"/>
      <c r="G45" s="555"/>
      <c r="H45" s="559" t="s">
        <v>211</v>
      </c>
      <c r="I45" s="555"/>
      <c r="J45" s="711">
        <f>D45*'Prescriptive Path'!H51</f>
        <v>0</v>
      </c>
      <c r="K45" s="559">
        <f>D45</f>
        <v>0.95</v>
      </c>
      <c r="L45" s="555"/>
      <c r="M45" s="555"/>
      <c r="N45" s="555"/>
      <c r="O45" s="559" t="s">
        <v>211</v>
      </c>
      <c r="P45" s="559">
        <f>K45</f>
        <v>0.95</v>
      </c>
      <c r="Q45" s="555"/>
      <c r="R45" s="555"/>
      <c r="S45" s="555"/>
      <c r="T45" s="559" t="s">
        <v>211</v>
      </c>
      <c r="U45" s="712"/>
    </row>
    <row r="46" spans="1:21" ht="45">
      <c r="A46" s="707"/>
      <c r="B46" s="137" t="s">
        <v>240</v>
      </c>
      <c r="C46" s="137" t="s">
        <v>660</v>
      </c>
      <c r="D46" s="559">
        <v>0.95</v>
      </c>
      <c r="E46" s="555"/>
      <c r="F46" s="555"/>
      <c r="G46" s="555"/>
      <c r="H46" s="559" t="s">
        <v>211</v>
      </c>
      <c r="I46" s="555"/>
      <c r="J46" s="711">
        <f>D46*'Prescriptive Path'!H52</f>
        <v>0</v>
      </c>
      <c r="K46" s="559">
        <f t="shared" ref="K46:K47" si="8">D46</f>
        <v>0.95</v>
      </c>
      <c r="L46" s="555"/>
      <c r="M46" s="555"/>
      <c r="N46" s="555"/>
      <c r="O46" s="559" t="s">
        <v>211</v>
      </c>
      <c r="P46" s="559">
        <f t="shared" ref="P46:P47" si="9">K46</f>
        <v>0.95</v>
      </c>
      <c r="Q46" s="555"/>
      <c r="R46" s="555"/>
      <c r="S46" s="555"/>
      <c r="T46" s="559" t="str">
        <f>O46</f>
        <v>ENERGY STAR Qualified</v>
      </c>
      <c r="U46" s="712"/>
    </row>
    <row r="47" spans="1:21" ht="30.75" customHeight="1">
      <c r="A47" s="707"/>
      <c r="B47" s="137" t="s">
        <v>801</v>
      </c>
      <c r="C47" s="137" t="s">
        <v>768</v>
      </c>
      <c r="D47" s="559">
        <v>0.8</v>
      </c>
      <c r="E47" s="555"/>
      <c r="F47" s="555"/>
      <c r="G47" s="555"/>
      <c r="H47" s="559" t="s">
        <v>767</v>
      </c>
      <c r="I47" s="555"/>
      <c r="J47" s="711">
        <f>D47*'Prescriptive Path'!H53</f>
        <v>0</v>
      </c>
      <c r="K47" s="559">
        <f t="shared" si="8"/>
        <v>0.8</v>
      </c>
      <c r="L47" s="555"/>
      <c r="M47" s="555"/>
      <c r="N47" s="555"/>
      <c r="O47" s="559" t="str">
        <f>H47</f>
        <v>80% Ec</v>
      </c>
      <c r="P47" s="559">
        <f t="shared" si="9"/>
        <v>0.8</v>
      </c>
      <c r="Q47" s="555"/>
      <c r="R47" s="555"/>
      <c r="S47" s="555"/>
      <c r="T47" s="559" t="str">
        <f>O47</f>
        <v>80% Ec</v>
      </c>
      <c r="U47" s="712"/>
    </row>
    <row r="48" spans="1:21" ht="30.75" customHeight="1">
      <c r="A48" s="707"/>
      <c r="B48" s="137" t="s">
        <v>802</v>
      </c>
      <c r="C48" s="137" t="s">
        <v>768</v>
      </c>
      <c r="D48" s="778">
        <v>0.92</v>
      </c>
      <c r="E48" s="555"/>
      <c r="F48" s="555"/>
      <c r="G48" s="555"/>
      <c r="H48" s="778" t="s">
        <v>803</v>
      </c>
      <c r="I48" s="703"/>
      <c r="J48" s="711">
        <f>D48*'Prescriptive Path'!H54</f>
        <v>0</v>
      </c>
      <c r="K48" s="778"/>
      <c r="L48" s="555"/>
      <c r="M48" s="555"/>
      <c r="N48" s="555"/>
      <c r="O48" s="778"/>
      <c r="P48" s="778"/>
      <c r="Q48" s="555"/>
      <c r="R48" s="555"/>
      <c r="S48" s="555"/>
      <c r="T48" s="778"/>
      <c r="U48" s="712"/>
    </row>
    <row r="49" spans="1:21" ht="35.25" customHeight="1">
      <c r="A49" s="707"/>
      <c r="B49" s="137" t="s">
        <v>242</v>
      </c>
      <c r="C49" s="137" t="s">
        <v>768</v>
      </c>
      <c r="D49" s="555"/>
      <c r="E49" s="802">
        <f>ROUND(IF('Prescriptive Path'!H55*12000&lt;7000,11.9,IF('Prescriptive Path'!H55*12000&lt;10000,11.3,IF('Prescriptive Path'!H55*12000&lt;13000,10.7,9.5))),1)</f>
        <v>11.9</v>
      </c>
      <c r="F49" s="713"/>
      <c r="G49" s="555"/>
      <c r="H49" s="559" t="s">
        <v>678</v>
      </c>
      <c r="I49" s="704">
        <f>E49*'Prescriptive Path'!H55*'Prescriptive Path'!H56*12000/1000000</f>
        <v>0</v>
      </c>
      <c r="J49" s="713"/>
      <c r="K49" s="555"/>
      <c r="L49" s="604">
        <f>E49</f>
        <v>11.9</v>
      </c>
      <c r="M49" s="713"/>
      <c r="N49" s="555"/>
      <c r="O49" s="610" t="str">
        <f>H49</f>
        <v>14 – (0.300 X (Cap/1000) EER</v>
      </c>
      <c r="P49" s="555"/>
      <c r="Q49" s="604">
        <f>L49</f>
        <v>11.9</v>
      </c>
      <c r="R49" s="713"/>
      <c r="S49" s="555"/>
      <c r="T49" s="610" t="str">
        <f>O49</f>
        <v>14 – (0.300 X (Cap/1000) EER</v>
      </c>
      <c r="U49" s="712"/>
    </row>
    <row r="50" spans="1:21">
      <c r="A50" s="707"/>
      <c r="B50" s="139" t="s">
        <v>243</v>
      </c>
      <c r="C50" s="137" t="s">
        <v>762</v>
      </c>
      <c r="D50" s="714"/>
      <c r="E50" s="803">
        <f>14*0.875</f>
        <v>12.25</v>
      </c>
      <c r="F50" s="599">
        <v>8.5</v>
      </c>
      <c r="G50" s="715"/>
      <c r="H50" s="716" t="s">
        <v>769</v>
      </c>
      <c r="I50" s="719">
        <f>E50*'Prescriptive Path'!H57*12000/1000000</f>
        <v>0</v>
      </c>
      <c r="J50" s="711">
        <f>D50*'Prescriptive Path'!H57*12000/1000000</f>
        <v>0</v>
      </c>
      <c r="K50" s="599"/>
      <c r="L50" s="604">
        <f t="shared" ref="L50:L53" si="10">E50</f>
        <v>12.25</v>
      </c>
      <c r="M50" s="599">
        <v>9.25</v>
      </c>
      <c r="N50" s="703"/>
      <c r="O50" s="717" t="s">
        <v>372</v>
      </c>
      <c r="P50" s="599"/>
      <c r="Q50" s="604">
        <f t="shared" ref="Q50:Q53" si="11">L50</f>
        <v>12.25</v>
      </c>
      <c r="R50" s="599">
        <v>9.5</v>
      </c>
      <c r="S50" s="703"/>
      <c r="T50" s="717" t="s">
        <v>373</v>
      </c>
      <c r="U50" s="705">
        <f>IF('Prescriptive Path'!K1=4,Proposed!F50,IF('Prescriptive Path'!K1=5,Proposed!M50,Proposed!R50))</f>
        <v>9.25</v>
      </c>
    </row>
    <row r="51" spans="1:21" ht="30.75" customHeight="1">
      <c r="A51" s="707"/>
      <c r="B51" s="137" t="s">
        <v>253</v>
      </c>
      <c r="C51" s="137" t="s">
        <v>763</v>
      </c>
      <c r="D51" s="563"/>
      <c r="E51" s="559">
        <v>11.1</v>
      </c>
      <c r="F51" s="559">
        <v>3.3</v>
      </c>
      <c r="G51" s="555"/>
      <c r="H51" s="718" t="s">
        <v>770</v>
      </c>
      <c r="I51" s="719">
        <f>E51*'Prescriptive Path'!H58*12000/1000000</f>
        <v>0</v>
      </c>
      <c r="J51" s="711">
        <f>D51*'Prescriptive Path'!H58*12000/1000000</f>
        <v>0</v>
      </c>
      <c r="K51" s="599"/>
      <c r="L51" s="604">
        <f t="shared" si="10"/>
        <v>11.1</v>
      </c>
      <c r="M51" s="720">
        <f t="shared" ref="M51:M53" si="12">F51</f>
        <v>3.3</v>
      </c>
      <c r="N51" s="555"/>
      <c r="O51" s="718" t="s">
        <v>770</v>
      </c>
      <c r="P51" s="599"/>
      <c r="Q51" s="604">
        <f t="shared" si="11"/>
        <v>11.1</v>
      </c>
      <c r="R51" s="720">
        <f t="shared" ref="R51:R53" si="13">M51</f>
        <v>3.3</v>
      </c>
      <c r="S51" s="555"/>
      <c r="T51" s="718" t="s">
        <v>770</v>
      </c>
      <c r="U51" s="712"/>
    </row>
    <row r="52" spans="1:21" ht="30.75" customHeight="1">
      <c r="A52" s="707"/>
      <c r="B52" s="137" t="s">
        <v>254</v>
      </c>
      <c r="C52" s="137" t="s">
        <v>763</v>
      </c>
      <c r="D52" s="563"/>
      <c r="E52" s="560">
        <v>10.7</v>
      </c>
      <c r="F52" s="559">
        <v>3.2</v>
      </c>
      <c r="G52" s="555"/>
      <c r="H52" s="718" t="s">
        <v>771</v>
      </c>
      <c r="I52" s="719">
        <f>E52*'Prescriptive Path'!H59*12000/1000000</f>
        <v>0</v>
      </c>
      <c r="J52" s="711">
        <f>D52*'Prescriptive Path'!H59*12000/1000000</f>
        <v>0</v>
      </c>
      <c r="K52" s="599"/>
      <c r="L52" s="604">
        <f t="shared" si="10"/>
        <v>10.7</v>
      </c>
      <c r="M52" s="720">
        <f t="shared" si="12"/>
        <v>3.2</v>
      </c>
      <c r="N52" s="555"/>
      <c r="O52" s="718" t="s">
        <v>771</v>
      </c>
      <c r="P52" s="599"/>
      <c r="Q52" s="604">
        <f t="shared" si="11"/>
        <v>10.7</v>
      </c>
      <c r="R52" s="720">
        <f t="shared" si="13"/>
        <v>3.2</v>
      </c>
      <c r="S52" s="555"/>
      <c r="T52" s="718" t="s">
        <v>771</v>
      </c>
      <c r="U52" s="651"/>
    </row>
    <row r="53" spans="1:21" ht="30.75" customHeight="1">
      <c r="A53" s="707"/>
      <c r="B53" s="137" t="s">
        <v>244</v>
      </c>
      <c r="C53" s="137" t="s">
        <v>763</v>
      </c>
      <c r="D53" s="563"/>
      <c r="E53" s="559">
        <v>10.1</v>
      </c>
      <c r="F53" s="559">
        <v>3.2</v>
      </c>
      <c r="G53" s="555"/>
      <c r="H53" s="718" t="s">
        <v>772</v>
      </c>
      <c r="I53" s="719">
        <f>E53*'Prescriptive Path'!H60*12000/1000000</f>
        <v>0</v>
      </c>
      <c r="J53" s="711">
        <f>D53*'Prescriptive Path'!H60*12000/1000000</f>
        <v>0</v>
      </c>
      <c r="K53" s="599"/>
      <c r="L53" s="559">
        <f t="shared" si="10"/>
        <v>10.1</v>
      </c>
      <c r="M53" s="559">
        <f t="shared" si="12"/>
        <v>3.2</v>
      </c>
      <c r="N53" s="555"/>
      <c r="O53" s="718" t="s">
        <v>772</v>
      </c>
      <c r="P53" s="599"/>
      <c r="Q53" s="559">
        <f t="shared" si="11"/>
        <v>10.1</v>
      </c>
      <c r="R53" s="559">
        <f t="shared" si="13"/>
        <v>3.2</v>
      </c>
      <c r="S53" s="555"/>
      <c r="T53" s="718" t="s">
        <v>772</v>
      </c>
      <c r="U53" s="651"/>
    </row>
    <row r="54" spans="1:21" ht="45">
      <c r="A54" s="707"/>
      <c r="B54" s="147" t="s">
        <v>245</v>
      </c>
      <c r="C54" s="147" t="s">
        <v>661</v>
      </c>
      <c r="D54" s="559">
        <v>0.9</v>
      </c>
      <c r="E54" s="555"/>
      <c r="F54" s="555"/>
      <c r="G54" s="555"/>
      <c r="H54" s="629" t="s">
        <v>211</v>
      </c>
      <c r="I54" s="555"/>
      <c r="J54" s="711">
        <f>D54*'Prescriptive Path'!H61</f>
        <v>0</v>
      </c>
      <c r="K54" s="599">
        <f t="shared" ref="K54:K56" si="14">D54</f>
        <v>0.9</v>
      </c>
      <c r="L54" s="555"/>
      <c r="M54" s="555"/>
      <c r="N54" s="555"/>
      <c r="O54" s="629" t="s">
        <v>211</v>
      </c>
      <c r="P54" s="599">
        <f t="shared" ref="P54:P56" si="15">K54</f>
        <v>0.9</v>
      </c>
      <c r="Q54" s="555"/>
      <c r="R54" s="555"/>
      <c r="S54" s="555"/>
      <c r="T54" s="629" t="s">
        <v>374</v>
      </c>
      <c r="U54" s="651"/>
    </row>
    <row r="55" spans="1:21" ht="30.75" customHeight="1">
      <c r="A55" s="707"/>
      <c r="B55" s="147" t="s">
        <v>246</v>
      </c>
      <c r="C55" s="147" t="s">
        <v>663</v>
      </c>
      <c r="D55" s="559">
        <v>0.86</v>
      </c>
      <c r="E55" s="555"/>
      <c r="F55" s="555"/>
      <c r="G55" s="555"/>
      <c r="H55" s="629" t="s">
        <v>524</v>
      </c>
      <c r="I55" s="555"/>
      <c r="J55" s="711">
        <f>D55*'Prescriptive Path'!H62</f>
        <v>0</v>
      </c>
      <c r="K55" s="720">
        <f t="shared" si="14"/>
        <v>0.86</v>
      </c>
      <c r="L55" s="555"/>
      <c r="M55" s="555"/>
      <c r="N55" s="555"/>
      <c r="O55" s="629" t="s">
        <v>524</v>
      </c>
      <c r="P55" s="720">
        <f t="shared" si="15"/>
        <v>0.86</v>
      </c>
      <c r="Q55" s="555"/>
      <c r="R55" s="555"/>
      <c r="S55" s="555"/>
      <c r="T55" s="629" t="s">
        <v>524</v>
      </c>
      <c r="U55" s="651"/>
    </row>
    <row r="56" spans="1:21" ht="30.75" customHeight="1" thickBot="1">
      <c r="A56" s="707"/>
      <c r="B56" s="148" t="s">
        <v>247</v>
      </c>
      <c r="C56" s="148" t="s">
        <v>773</v>
      </c>
      <c r="D56" s="721">
        <f>IF('Prescriptive Path'!H64&lt;65000,ROUND(8.5,2),IF('Prescriptive Path'!H64&lt;135000,2.4,2.1))</f>
        <v>8.5</v>
      </c>
      <c r="E56" s="722">
        <f>IF('Prescriptive Path'!H64&lt;65000,14*0.875,IF('Prescriptive Path'!D65="No",IF('Prescriptive Path'!H64&lt;135000,11.3,IF('Prescriptive Path'!H64&lt;240000,10.9,10.3)),IF('Prescriptive Path'!H64&lt;135000,11.1,IF('Prescriptive Path'!H64&lt;240000,10.7,10.1))))</f>
        <v>12.25</v>
      </c>
      <c r="F56" s="721">
        <f>IF('Prescriptive Path'!H64&lt;65000,ROUND(8.5,2),IF('Prescriptive Path'!H64&lt;135000,3.4,3.2))</f>
        <v>8.5</v>
      </c>
      <c r="G56" s="723"/>
      <c r="H56" s="148" t="s">
        <v>773</v>
      </c>
      <c r="I56" s="814">
        <f>E56*'Prescriptive Path'!H64/1000000</f>
        <v>0</v>
      </c>
      <c r="J56" s="815">
        <f>D56*'Prescriptive Path'!H63/1000000</f>
        <v>0</v>
      </c>
      <c r="K56" s="724">
        <f t="shared" si="14"/>
        <v>8.5</v>
      </c>
      <c r="L56" s="721">
        <f>E56</f>
        <v>12.25</v>
      </c>
      <c r="M56" s="725">
        <f>F56</f>
        <v>8.5</v>
      </c>
      <c r="N56" s="723"/>
      <c r="O56" s="148" t="s">
        <v>773</v>
      </c>
      <c r="P56" s="724">
        <f t="shared" si="15"/>
        <v>8.5</v>
      </c>
      <c r="Q56" s="721">
        <f>L56</f>
        <v>12.25</v>
      </c>
      <c r="R56" s="725">
        <f>M56</f>
        <v>8.5</v>
      </c>
      <c r="S56" s="723"/>
      <c r="T56" s="148" t="s">
        <v>773</v>
      </c>
      <c r="U56" s="653"/>
    </row>
    <row r="57" spans="1:21" s="728" customFormat="1" ht="45.75" thickBot="1">
      <c r="A57" s="1052" t="s">
        <v>78</v>
      </c>
      <c r="B57" s="726"/>
      <c r="C57" s="726"/>
      <c r="D57" s="1064" t="s">
        <v>787</v>
      </c>
      <c r="E57" s="1064"/>
      <c r="F57" s="1064"/>
      <c r="G57" s="1058" t="s">
        <v>77</v>
      </c>
      <c r="H57" s="1059"/>
      <c r="I57" s="726"/>
      <c r="J57" s="726"/>
      <c r="K57" s="1064" t="s">
        <v>787</v>
      </c>
      <c r="L57" s="1064"/>
      <c r="M57" s="1064"/>
      <c r="N57" s="1058" t="s">
        <v>77</v>
      </c>
      <c r="O57" s="1059"/>
      <c r="P57" s="1061" t="s">
        <v>787</v>
      </c>
      <c r="Q57" s="1062"/>
      <c r="R57" s="1063"/>
      <c r="S57" s="1058" t="s">
        <v>77</v>
      </c>
      <c r="T57" s="1059"/>
      <c r="U57" s="727" t="s">
        <v>347</v>
      </c>
    </row>
    <row r="58" spans="1:21" s="728" customFormat="1">
      <c r="A58" s="1053"/>
      <c r="B58" s="729" t="s">
        <v>79</v>
      </c>
      <c r="C58" s="729" t="s">
        <v>665</v>
      </c>
      <c r="D58" s="1060">
        <v>0.69</v>
      </c>
      <c r="E58" s="1060"/>
      <c r="F58" s="1060"/>
      <c r="G58" s="1065">
        <v>15</v>
      </c>
      <c r="H58" s="1066"/>
      <c r="I58" s="730"/>
      <c r="J58" s="730"/>
      <c r="K58" s="1060">
        <v>0.69</v>
      </c>
      <c r="L58" s="1060"/>
      <c r="M58" s="1060"/>
      <c r="N58" s="1060">
        <v>15</v>
      </c>
      <c r="O58" s="1060"/>
      <c r="P58" s="1060">
        <v>0.69</v>
      </c>
      <c r="Q58" s="1060"/>
      <c r="R58" s="1060"/>
      <c r="S58" s="1060">
        <v>15</v>
      </c>
      <c r="T58" s="1060"/>
      <c r="U58" s="731"/>
    </row>
    <row r="59" spans="1:21" s="728" customFormat="1">
      <c r="A59" s="1053"/>
      <c r="B59" s="729" t="s">
        <v>80</v>
      </c>
      <c r="C59" s="729" t="s">
        <v>665</v>
      </c>
      <c r="D59" s="1060">
        <v>0.66</v>
      </c>
      <c r="E59" s="1060"/>
      <c r="F59" s="1060"/>
      <c r="G59" s="1065">
        <v>10</v>
      </c>
      <c r="H59" s="1066"/>
      <c r="I59" s="730"/>
      <c r="J59" s="730"/>
      <c r="K59" s="1060">
        <v>0.66</v>
      </c>
      <c r="L59" s="1060"/>
      <c r="M59" s="1060"/>
      <c r="N59" s="1060">
        <v>10</v>
      </c>
      <c r="O59" s="1060"/>
      <c r="P59" s="1060">
        <v>0.66</v>
      </c>
      <c r="Q59" s="1060"/>
      <c r="R59" s="1060"/>
      <c r="S59" s="1060">
        <v>10</v>
      </c>
      <c r="T59" s="1060"/>
      <c r="U59" s="731"/>
    </row>
    <row r="60" spans="1:21" s="728" customFormat="1">
      <c r="A60" s="1053"/>
      <c r="B60" s="729" t="s">
        <v>81</v>
      </c>
      <c r="C60" s="729" t="s">
        <v>665</v>
      </c>
      <c r="D60" s="1060">
        <v>0.9</v>
      </c>
      <c r="E60" s="1060"/>
      <c r="F60" s="1060"/>
      <c r="G60" s="1065">
        <v>16</v>
      </c>
      <c r="H60" s="1066"/>
      <c r="I60" s="730"/>
      <c r="J60" s="730"/>
      <c r="K60" s="1060">
        <v>0.9</v>
      </c>
      <c r="L60" s="1060"/>
      <c r="M60" s="1060"/>
      <c r="N60" s="1060">
        <v>16</v>
      </c>
      <c r="O60" s="1060"/>
      <c r="P60" s="1060">
        <v>0.9</v>
      </c>
      <c r="Q60" s="1060"/>
      <c r="R60" s="1060"/>
      <c r="S60" s="1060">
        <v>16</v>
      </c>
      <c r="T60" s="1060"/>
      <c r="U60" s="731"/>
    </row>
    <row r="61" spans="1:21" s="728" customFormat="1">
      <c r="A61" s="1053"/>
      <c r="B61" s="729" t="s">
        <v>82</v>
      </c>
      <c r="C61" s="729" t="s">
        <v>665</v>
      </c>
      <c r="D61" s="1060">
        <v>0.95</v>
      </c>
      <c r="E61" s="1060"/>
      <c r="F61" s="1060"/>
      <c r="G61" s="1065">
        <v>30</v>
      </c>
      <c r="H61" s="1066"/>
      <c r="I61" s="730"/>
      <c r="J61" s="730"/>
      <c r="K61" s="1060">
        <v>0.95</v>
      </c>
      <c r="L61" s="1060"/>
      <c r="M61" s="1060"/>
      <c r="N61" s="1060">
        <v>30</v>
      </c>
      <c r="O61" s="1060"/>
      <c r="P61" s="1060">
        <v>0.95</v>
      </c>
      <c r="Q61" s="1060"/>
      <c r="R61" s="1060"/>
      <c r="S61" s="1060">
        <v>30</v>
      </c>
      <c r="T61" s="1060"/>
      <c r="U61" s="731"/>
    </row>
    <row r="62" spans="1:21" s="728" customFormat="1">
      <c r="A62" s="1053"/>
      <c r="B62" s="729" t="s">
        <v>83</v>
      </c>
      <c r="C62" s="729" t="s">
        <v>665</v>
      </c>
      <c r="D62" s="1060">
        <v>0.63</v>
      </c>
      <c r="E62" s="1060"/>
      <c r="F62" s="1060"/>
      <c r="G62" s="1065">
        <v>20</v>
      </c>
      <c r="H62" s="1066"/>
      <c r="I62" s="730"/>
      <c r="J62" s="730"/>
      <c r="K62" s="1060">
        <v>0.63</v>
      </c>
      <c r="L62" s="1060"/>
      <c r="M62" s="1060"/>
      <c r="N62" s="1060">
        <v>20</v>
      </c>
      <c r="O62" s="1060"/>
      <c r="P62" s="1060">
        <v>0.63</v>
      </c>
      <c r="Q62" s="1060"/>
      <c r="R62" s="1060"/>
      <c r="S62" s="1060">
        <v>20</v>
      </c>
      <c r="T62" s="1060"/>
      <c r="U62" s="731"/>
    </row>
    <row r="63" spans="1:21" s="728" customFormat="1">
      <c r="A63" s="1053"/>
      <c r="B63" s="729" t="s">
        <v>84</v>
      </c>
      <c r="C63" s="729" t="s">
        <v>665</v>
      </c>
      <c r="D63" s="1060">
        <v>0.63</v>
      </c>
      <c r="E63" s="1060"/>
      <c r="F63" s="1060"/>
      <c r="G63" s="1065">
        <v>8</v>
      </c>
      <c r="H63" s="1066"/>
      <c r="I63" s="730"/>
      <c r="J63" s="730"/>
      <c r="K63" s="1060">
        <v>0.63</v>
      </c>
      <c r="L63" s="1060"/>
      <c r="M63" s="1060"/>
      <c r="N63" s="1060">
        <v>8</v>
      </c>
      <c r="O63" s="1060"/>
      <c r="P63" s="1060">
        <v>0.63</v>
      </c>
      <c r="Q63" s="1060"/>
      <c r="R63" s="1060"/>
      <c r="S63" s="1060">
        <v>8</v>
      </c>
      <c r="T63" s="1060"/>
      <c r="U63" s="731"/>
    </row>
    <row r="64" spans="1:21" s="728" customFormat="1">
      <c r="A64" s="1053"/>
      <c r="B64" s="729" t="s">
        <v>85</v>
      </c>
      <c r="C64" s="729" t="s">
        <v>665</v>
      </c>
      <c r="D64" s="1060">
        <v>1.23</v>
      </c>
      <c r="E64" s="1060"/>
      <c r="F64" s="1060"/>
      <c r="G64" s="1065">
        <v>30</v>
      </c>
      <c r="H64" s="1066"/>
      <c r="I64" s="730"/>
      <c r="J64" s="730"/>
      <c r="K64" s="1060">
        <v>1.23</v>
      </c>
      <c r="L64" s="1060"/>
      <c r="M64" s="1060"/>
      <c r="N64" s="1060">
        <v>30</v>
      </c>
      <c r="O64" s="1060"/>
      <c r="P64" s="1060">
        <v>1.23</v>
      </c>
      <c r="Q64" s="1060"/>
      <c r="R64" s="1060"/>
      <c r="S64" s="1060">
        <v>30</v>
      </c>
      <c r="T64" s="1060"/>
      <c r="U64" s="731"/>
    </row>
    <row r="65" spans="1:21" s="728" customFormat="1">
      <c r="A65" s="1053"/>
      <c r="B65" s="729" t="s">
        <v>86</v>
      </c>
      <c r="C65" s="729" t="s">
        <v>665</v>
      </c>
      <c r="D65" s="1060">
        <v>1.1100000000000001</v>
      </c>
      <c r="E65" s="1060"/>
      <c r="F65" s="1060"/>
      <c r="G65" s="1065">
        <v>35</v>
      </c>
      <c r="H65" s="1066"/>
      <c r="I65" s="730"/>
      <c r="J65" s="730"/>
      <c r="K65" s="1060">
        <v>1.1100000000000001</v>
      </c>
      <c r="L65" s="1060"/>
      <c r="M65" s="1060"/>
      <c r="N65" s="1060">
        <v>35</v>
      </c>
      <c r="O65" s="1060"/>
      <c r="P65" s="1060">
        <v>1.1100000000000001</v>
      </c>
      <c r="Q65" s="1060"/>
      <c r="R65" s="1060"/>
      <c r="S65" s="1060">
        <v>35</v>
      </c>
      <c r="T65" s="1060"/>
      <c r="U65" s="731"/>
    </row>
    <row r="66" spans="1:21" s="728" customFormat="1">
      <c r="A66" s="1054"/>
      <c r="B66" s="729" t="s">
        <v>334</v>
      </c>
      <c r="C66" s="732"/>
      <c r="D66" s="1055"/>
      <c r="E66" s="1057"/>
      <c r="F66" s="1056"/>
      <c r="G66" s="1055"/>
      <c r="H66" s="1056"/>
      <c r="I66" s="733"/>
      <c r="J66" s="734"/>
      <c r="K66" s="1055"/>
      <c r="L66" s="1057"/>
      <c r="M66" s="1056"/>
      <c r="N66" s="1055"/>
      <c r="O66" s="1056"/>
      <c r="P66" s="1055"/>
      <c r="Q66" s="1057"/>
      <c r="R66" s="1056"/>
      <c r="S66" s="1055"/>
      <c r="T66" s="1056"/>
      <c r="U66" s="731"/>
    </row>
    <row r="67" spans="1:21" s="728" customFormat="1" ht="13.5" customHeight="1">
      <c r="A67" s="1049" t="s">
        <v>40</v>
      </c>
      <c r="B67" s="735" t="s">
        <v>788</v>
      </c>
      <c r="C67" s="736"/>
      <c r="D67" s="1055"/>
      <c r="E67" s="1057"/>
      <c r="F67" s="1056"/>
      <c r="G67" s="1055"/>
      <c r="H67" s="1056"/>
      <c r="I67" s="733"/>
      <c r="J67" s="734"/>
      <c r="K67" s="1055"/>
      <c r="L67" s="1057"/>
      <c r="M67" s="1056"/>
      <c r="N67" s="1055"/>
      <c r="O67" s="1056"/>
      <c r="P67" s="1055"/>
      <c r="Q67" s="1057"/>
      <c r="R67" s="1056"/>
      <c r="S67" s="1055"/>
      <c r="T67" s="1056"/>
      <c r="U67" s="731"/>
    </row>
    <row r="68" spans="1:21" s="728" customFormat="1">
      <c r="A68" s="1050"/>
      <c r="B68" s="735" t="s">
        <v>789</v>
      </c>
      <c r="C68" s="737"/>
      <c r="D68" s="1055"/>
      <c r="E68" s="1057"/>
      <c r="F68" s="1056"/>
      <c r="G68" s="1055"/>
      <c r="H68" s="1056"/>
      <c r="I68" s="733"/>
      <c r="J68" s="734"/>
      <c r="K68" s="1055"/>
      <c r="L68" s="1057"/>
      <c r="M68" s="1056"/>
      <c r="N68" s="1055"/>
      <c r="O68" s="1056"/>
      <c r="P68" s="1055"/>
      <c r="Q68" s="1057"/>
      <c r="R68" s="1056"/>
      <c r="S68" s="1055"/>
      <c r="T68" s="1056"/>
      <c r="U68" s="731"/>
    </row>
    <row r="69" spans="1:21" s="728" customFormat="1">
      <c r="A69" s="1050"/>
      <c r="B69" s="735" t="s">
        <v>790</v>
      </c>
      <c r="C69" s="737"/>
      <c r="D69" s="1055"/>
      <c r="E69" s="1057"/>
      <c r="F69" s="1056"/>
      <c r="G69" s="1055"/>
      <c r="H69" s="1056"/>
      <c r="I69" s="733"/>
      <c r="J69" s="734"/>
      <c r="K69" s="1055"/>
      <c r="L69" s="1057"/>
      <c r="M69" s="1056"/>
      <c r="N69" s="1055"/>
      <c r="O69" s="1056"/>
      <c r="P69" s="1055"/>
      <c r="Q69" s="1057"/>
      <c r="R69" s="1056"/>
      <c r="S69" s="1055"/>
      <c r="T69" s="1056"/>
      <c r="U69" s="731"/>
    </row>
    <row r="70" spans="1:21" s="728" customFormat="1">
      <c r="A70" s="1050"/>
      <c r="B70" s="735" t="s">
        <v>280</v>
      </c>
      <c r="C70" s="737"/>
      <c r="D70" s="1055"/>
      <c r="E70" s="1057"/>
      <c r="F70" s="1056"/>
      <c r="G70" s="1055"/>
      <c r="H70" s="1056"/>
      <c r="I70" s="733"/>
      <c r="J70" s="734"/>
      <c r="K70" s="1055"/>
      <c r="L70" s="1057"/>
      <c r="M70" s="1056"/>
      <c r="N70" s="1055"/>
      <c r="O70" s="1056"/>
      <c r="P70" s="1055"/>
      <c r="Q70" s="1057"/>
      <c r="R70" s="1056"/>
      <c r="S70" s="1055"/>
      <c r="T70" s="1056"/>
      <c r="U70" s="731"/>
    </row>
    <row r="71" spans="1:21" s="728" customFormat="1">
      <c r="A71" s="1050"/>
      <c r="B71" s="735" t="s">
        <v>281</v>
      </c>
      <c r="C71" s="737"/>
      <c r="D71" s="1055"/>
      <c r="E71" s="1057"/>
      <c r="F71" s="1056"/>
      <c r="G71" s="1055"/>
      <c r="H71" s="1056"/>
      <c r="I71" s="733"/>
      <c r="J71" s="734"/>
      <c r="K71" s="1055"/>
      <c r="L71" s="1057"/>
      <c r="M71" s="1056"/>
      <c r="N71" s="1055"/>
      <c r="O71" s="1056"/>
      <c r="P71" s="1055"/>
      <c r="Q71" s="1057"/>
      <c r="R71" s="1056"/>
      <c r="S71" s="1055"/>
      <c r="T71" s="1056"/>
      <c r="U71" s="731"/>
    </row>
    <row r="72" spans="1:21" s="728" customFormat="1" ht="15.75" thickBot="1">
      <c r="A72" s="1051"/>
      <c r="B72" s="735" t="s">
        <v>282</v>
      </c>
      <c r="C72" s="737"/>
      <c r="D72" s="1055"/>
      <c r="E72" s="1057"/>
      <c r="F72" s="1056"/>
      <c r="G72" s="1055"/>
      <c r="H72" s="1056"/>
      <c r="I72" s="733"/>
      <c r="J72" s="734"/>
      <c r="K72" s="1055"/>
      <c r="L72" s="1057"/>
      <c r="M72" s="1056"/>
      <c r="N72" s="1055"/>
      <c r="O72" s="1056"/>
      <c r="P72" s="1055"/>
      <c r="Q72" s="1057"/>
      <c r="R72" s="1056"/>
      <c r="S72" s="1055"/>
      <c r="T72" s="1056"/>
      <c r="U72" s="731"/>
    </row>
    <row r="73" spans="1:21" s="646" customFormat="1" ht="45.75" thickBot="1">
      <c r="A73" s="1046" t="s">
        <v>335</v>
      </c>
      <c r="B73" s="738"/>
      <c r="C73" s="738"/>
      <c r="D73" s="739" t="s">
        <v>176</v>
      </c>
      <c r="E73" s="739" t="s">
        <v>354</v>
      </c>
      <c r="F73" s="740"/>
      <c r="G73" s="740"/>
      <c r="H73" s="740"/>
      <c r="I73" s="740"/>
      <c r="J73" s="740"/>
      <c r="K73" s="739" t="s">
        <v>176</v>
      </c>
      <c r="L73" s="739" t="s">
        <v>354</v>
      </c>
      <c r="M73" s="740"/>
      <c r="N73" s="740"/>
      <c r="O73" s="740"/>
      <c r="P73" s="739" t="s">
        <v>176</v>
      </c>
      <c r="Q73" s="739" t="s">
        <v>354</v>
      </c>
      <c r="R73" s="740"/>
      <c r="S73" s="740"/>
      <c r="T73" s="740"/>
      <c r="U73" s="332" t="s">
        <v>347</v>
      </c>
    </row>
    <row r="74" spans="1:21">
      <c r="A74" s="1047"/>
      <c r="B74" s="138" t="s">
        <v>324</v>
      </c>
      <c r="C74" s="138"/>
      <c r="D74" s="559">
        <f>('Prescriptive Path'!H79*((24-8)/24))</f>
        <v>0</v>
      </c>
      <c r="E74" s="651"/>
      <c r="F74" s="741"/>
      <c r="G74" s="741"/>
      <c r="H74" s="741"/>
      <c r="I74" s="742"/>
      <c r="J74" s="742"/>
      <c r="K74" s="559">
        <f>('Prescriptive Path'!H79*((24-8)/24))</f>
        <v>0</v>
      </c>
      <c r="L74" s="651"/>
      <c r="M74" s="741"/>
      <c r="N74" s="741"/>
      <c r="O74" s="741"/>
      <c r="P74" s="559">
        <f>('Prescriptive Path'!H79*((24-8)/24))</f>
        <v>0</v>
      </c>
      <c r="Q74" s="651"/>
      <c r="R74" s="741"/>
      <c r="S74" s="741"/>
      <c r="T74" s="741"/>
      <c r="U74" s="651"/>
    </row>
    <row r="75" spans="1:21" ht="60.75" thickBot="1">
      <c r="A75" s="1047"/>
      <c r="B75" s="629" t="s">
        <v>352</v>
      </c>
      <c r="C75" s="629" t="s">
        <v>662</v>
      </c>
      <c r="D75" s="555"/>
      <c r="E75" s="635" t="b">
        <f>IF('Prescriptive Path'!$H$76="Bathroom and Utility Room Fans (10 - 89 CFM)",2.8,IF('Prescriptive Path'!$H$76="Bathroom and Utility Room Fans (90 - 200 CFM)",3.5,IF('Prescriptive Path'!$H$76="Bathroom and Utility Room Fans (201 - 500 CFM)",4,IF('Prescriptive Path'!$H$76="In-line Fans",3.8,IF('Prescriptive Path'!$H$76="Range Hoods (up to 75 W)",2.8,FALSE)))))</f>
        <v>0</v>
      </c>
      <c r="F75" s="571"/>
      <c r="G75" s="571"/>
      <c r="H75" s="571"/>
      <c r="I75" s="560"/>
      <c r="J75" s="560"/>
      <c r="K75" s="555"/>
      <c r="L75" s="635" t="b">
        <f>IF('Prescriptive Path'!$H$76="Bathroom and Utility Room Fans (10 - 89 CFM)",2.8*0.8,IF('Prescriptive Path'!$H$76="Bathroom and Utility Room Fans (90 - 200 CFM)",3.5*0.8,IF('Prescriptive Path'!$H$76="Bathroom and Utility Room Fans (201 - 500 CFM)",4*0.8,IF('Prescriptive Path'!$H$76="In-line Fans",3.8*0.8,IF('Prescriptive Path'!$H$76="Range Hoods (up to 75 W)",2.8*0.8,FALSE)))))</f>
        <v>0</v>
      </c>
      <c r="M75" s="571"/>
      <c r="N75" s="571"/>
      <c r="O75" s="571"/>
      <c r="P75" s="555"/>
      <c r="Q75" s="635" t="b">
        <f>IF('Prescriptive Path'!$H$76="Bathroom and Utility Room Fans (10 - 89 CFM)",2.8*0.8,IF('Prescriptive Path'!$H$76="Bathroom and Utility Room Fans (90 - 200 CFM)",3.5*0.8,IF('Prescriptive Path'!$H$76="Bathroom and Utility Room Fans (201 - 500 CFM)",4*0.8,IF('Prescriptive Path'!$H$76="In-line Fans",3.8*0.8,IF('Prescriptive Path'!$H$76="Range Hoods (up to 75 W)",2.8*0.8,FALSE)))))</f>
        <v>0</v>
      </c>
      <c r="R75" s="571"/>
      <c r="S75" s="571"/>
      <c r="T75" s="571"/>
      <c r="U75" s="651"/>
    </row>
    <row r="76" spans="1:21">
      <c r="A76" s="1047"/>
      <c r="B76" s="743" t="s">
        <v>321</v>
      </c>
      <c r="C76" s="743"/>
      <c r="D76" s="703"/>
      <c r="E76" s="554"/>
      <c r="F76" s="744"/>
      <c r="G76" s="744"/>
      <c r="H76" s="744"/>
      <c r="I76" s="554"/>
      <c r="J76" s="554"/>
      <c r="K76" s="703"/>
      <c r="L76" s="554"/>
      <c r="M76" s="744"/>
      <c r="N76" s="744"/>
      <c r="O76" s="744"/>
      <c r="P76" s="703"/>
      <c r="Q76" s="554"/>
      <c r="R76" s="744"/>
      <c r="S76" s="744"/>
      <c r="T76" s="744"/>
      <c r="U76" s="649"/>
    </row>
    <row r="77" spans="1:21">
      <c r="A77" s="1047"/>
      <c r="B77" s="743" t="s">
        <v>322</v>
      </c>
      <c r="C77" s="743"/>
      <c r="D77" s="703"/>
      <c r="E77" s="554"/>
      <c r="F77" s="744"/>
      <c r="G77" s="744"/>
      <c r="H77" s="744"/>
      <c r="I77" s="554"/>
      <c r="J77" s="554"/>
      <c r="K77" s="703"/>
      <c r="L77" s="554"/>
      <c r="M77" s="744"/>
      <c r="N77" s="744"/>
      <c r="O77" s="744"/>
      <c r="P77" s="703"/>
      <c r="Q77" s="554"/>
      <c r="R77" s="744"/>
      <c r="S77" s="744"/>
      <c r="T77" s="744"/>
      <c r="U77" s="649"/>
    </row>
    <row r="78" spans="1:21" s="745" customFormat="1">
      <c r="A78" s="1047"/>
      <c r="B78" s="743" t="s">
        <v>369</v>
      </c>
      <c r="C78" s="743"/>
      <c r="D78" s="703"/>
      <c r="E78" s="703"/>
      <c r="F78" s="744"/>
      <c r="G78" s="744"/>
      <c r="H78" s="744"/>
      <c r="I78" s="554"/>
      <c r="J78" s="554"/>
      <c r="K78" s="703"/>
      <c r="L78" s="703"/>
      <c r="M78" s="744"/>
      <c r="N78" s="744"/>
      <c r="O78" s="744"/>
      <c r="P78" s="703"/>
      <c r="Q78" s="703"/>
      <c r="R78" s="744"/>
      <c r="S78" s="744"/>
      <c r="T78" s="744"/>
      <c r="U78" s="649"/>
    </row>
    <row r="79" spans="1:21" s="570" customFormat="1" ht="15.75" thickBot="1">
      <c r="A79" s="1048"/>
      <c r="B79" s="746" t="s">
        <v>370</v>
      </c>
      <c r="C79" s="746"/>
      <c r="D79" s="747"/>
      <c r="E79" s="747"/>
      <c r="F79" s="748"/>
      <c r="G79" s="748"/>
      <c r="H79" s="748"/>
      <c r="I79" s="749"/>
      <c r="J79" s="749"/>
      <c r="K79" s="747"/>
      <c r="L79" s="747"/>
      <c r="M79" s="748"/>
      <c r="N79" s="748"/>
      <c r="O79" s="748"/>
      <c r="P79" s="747"/>
      <c r="Q79" s="747"/>
      <c r="R79" s="748"/>
      <c r="S79" s="748"/>
      <c r="T79" s="748"/>
      <c r="U79" s="750"/>
    </row>
    <row r="80" spans="1:21">
      <c r="A80" s="751"/>
      <c r="E80" s="752"/>
      <c r="F80" s="752"/>
      <c r="G80" s="752"/>
      <c r="H80" s="752"/>
      <c r="I80" s="752"/>
      <c r="J80" s="752"/>
      <c r="K80" s="752"/>
      <c r="L80" s="752"/>
      <c r="M80" s="752"/>
      <c r="N80" s="752"/>
      <c r="O80" s="752"/>
      <c r="P80" s="752"/>
      <c r="Q80" s="752"/>
      <c r="R80" s="752"/>
      <c r="S80" s="752"/>
      <c r="T80" s="752"/>
    </row>
    <row r="81" spans="1:20" ht="15.75" thickBot="1">
      <c r="A81" s="751"/>
      <c r="E81" s="752"/>
      <c r="F81" s="752"/>
      <c r="G81" s="752"/>
      <c r="H81" s="752"/>
      <c r="I81" s="752"/>
      <c r="J81" s="752"/>
      <c r="K81" s="752"/>
      <c r="L81" s="752"/>
      <c r="M81" s="752"/>
      <c r="N81" s="752"/>
      <c r="O81" s="752"/>
      <c r="P81" s="752"/>
      <c r="Q81" s="752"/>
      <c r="R81" s="752"/>
      <c r="S81" s="752"/>
      <c r="T81" s="752"/>
    </row>
    <row r="82" spans="1:20">
      <c r="B82" s="1160" t="s">
        <v>180</v>
      </c>
      <c r="C82" s="1161"/>
      <c r="D82" s="1162">
        <f>17.2*D83+17*'Prescriptive Path'!$H$30+7*'Prescriptive Path'!$H$29</f>
        <v>0</v>
      </c>
      <c r="E82" s="524"/>
      <c r="F82" s="524"/>
      <c r="L82" s="646"/>
    </row>
    <row r="83" spans="1:20">
      <c r="B83" s="754" t="s">
        <v>285</v>
      </c>
      <c r="C83" s="755"/>
      <c r="D83" s="756">
        <f>('Prescriptive Path'!$H$72-'Prescriptive Path'!$H$40)+2*'Prescriptive Path'!$H$40</f>
        <v>0</v>
      </c>
    </row>
    <row r="84" spans="1:20" ht="15.75" thickBot="1">
      <c r="B84" s="757" t="s">
        <v>286</v>
      </c>
      <c r="C84" s="758"/>
      <c r="D84" s="759" t="e">
        <f>ROUND(D83/'Prescriptive Path'!H40,0)</f>
        <v>#DIV/0!</v>
      </c>
    </row>
    <row r="85" spans="1:20" ht="15.75" thickBot="1"/>
    <row r="86" spans="1:20" ht="30">
      <c r="B86" s="760" t="s">
        <v>289</v>
      </c>
      <c r="C86" s="761"/>
      <c r="D86" s="800">
        <f>IF(G87=0,11.1,SUM(I37:I56)/G87)</f>
        <v>11.1</v>
      </c>
      <c r="F86" s="762" t="s">
        <v>293</v>
      </c>
      <c r="G86" s="763" t="s">
        <v>294</v>
      </c>
    </row>
    <row r="87" spans="1:20" ht="15.75" thickBot="1">
      <c r="B87" s="764" t="s">
        <v>290</v>
      </c>
      <c r="C87" s="765"/>
      <c r="D87" s="801">
        <f>D86/0.875</f>
        <v>12.685714285714285</v>
      </c>
      <c r="F87" s="805">
        <f>SUM('Prescriptive Path'!H51:H54,'Prescriptive Path'!H61:H62)+SUM('Prescriptive Path'!H63/1000000)+SUM('Prescriptive Path'!H57:H60)*12000/1000000</f>
        <v>0</v>
      </c>
      <c r="G87" s="797">
        <f>('Prescriptive Path'!H42*'Prescriptive Path'!H43+'Prescriptive Path'!H44*'Prescriptive Path'!H45+'Prescriptive Path'!H46+'Prescriptive Path'!H47+'Prescriptive Path'!H48+'Prescriptive Path'!H49+'Prescriptive Path'!H50+'Prescriptive Path'!H55*'Prescriptive Path'!H56+'Prescriptive Path'!H57+'Prescriptive Path'!H58+'Prescriptive Path'!H59+'Prescriptive Path'!H60)*12000/1000000++'Prescriptive Path'!H64/1000000</f>
        <v>0</v>
      </c>
    </row>
    <row r="88" spans="1:20" ht="15.75" thickBot="1">
      <c r="B88" s="766" t="s">
        <v>291</v>
      </c>
      <c r="C88" s="767"/>
      <c r="D88" s="769">
        <f>IF(F87=0,0.78,SUM(J45:J56)/F87)</f>
        <v>0.78</v>
      </c>
    </row>
    <row r="91" spans="1:20">
      <c r="D91" s="799"/>
    </row>
  </sheetData>
  <sheetProtection algorithmName="SHA-512" hashValue="9RDPXZZlFnVtyE2NKSB2t8x6bt5sZK3/HQwYW8ar3Qrcb87Asj87IX7Iv85hE0qzvAt7HwtkDkw17OV5bdnOzA==" saltValue="w2W8ix3ySroOG2GonjCCLA==" spinCount="100000" sheet="1" objects="1" scenarios="1"/>
  <mergeCells count="279">
    <mergeCell ref="K2:O2"/>
    <mergeCell ref="K3:O3"/>
    <mergeCell ref="P30:Q30"/>
    <mergeCell ref="P31:Q31"/>
    <mergeCell ref="P32:Q32"/>
    <mergeCell ref="A17:A20"/>
    <mergeCell ref="K1:O1"/>
    <mergeCell ref="P1:T1"/>
    <mergeCell ref="A7:A12"/>
    <mergeCell ref="A14:A16"/>
    <mergeCell ref="D1:I1"/>
    <mergeCell ref="D7:I7"/>
    <mergeCell ref="K7:O7"/>
    <mergeCell ref="P7:T7"/>
    <mergeCell ref="A2:A6"/>
    <mergeCell ref="D2:I2"/>
    <mergeCell ref="D3:I3"/>
    <mergeCell ref="P2:T2"/>
    <mergeCell ref="P3:T3"/>
    <mergeCell ref="P4:T4"/>
    <mergeCell ref="P5:T5"/>
    <mergeCell ref="D4:I4"/>
    <mergeCell ref="D5:I5"/>
    <mergeCell ref="D6:I6"/>
    <mergeCell ref="A26:A27"/>
    <mergeCell ref="K26:O26"/>
    <mergeCell ref="P26:T26"/>
    <mergeCell ref="F28:G28"/>
    <mergeCell ref="D28:E28"/>
    <mergeCell ref="A21:A22"/>
    <mergeCell ref="K22:O22"/>
    <mergeCell ref="P22:T22"/>
    <mergeCell ref="A23:A25"/>
    <mergeCell ref="D21:E21"/>
    <mergeCell ref="D23:E23"/>
    <mergeCell ref="D24:E24"/>
    <mergeCell ref="D25:E25"/>
    <mergeCell ref="F21:G21"/>
    <mergeCell ref="F23:G23"/>
    <mergeCell ref="F24:G24"/>
    <mergeCell ref="F25:G25"/>
    <mergeCell ref="M21:N21"/>
    <mergeCell ref="M23:N23"/>
    <mergeCell ref="M24:N24"/>
    <mergeCell ref="K4:O4"/>
    <mergeCell ref="K5:O5"/>
    <mergeCell ref="K6:O6"/>
    <mergeCell ref="K8:O8"/>
    <mergeCell ref="K9:O9"/>
    <mergeCell ref="K10:O10"/>
    <mergeCell ref="K11:O11"/>
    <mergeCell ref="K12:O12"/>
    <mergeCell ref="P6:T6"/>
    <mergeCell ref="D8:I8"/>
    <mergeCell ref="D9:I9"/>
    <mergeCell ref="D10:I10"/>
    <mergeCell ref="D11:I11"/>
    <mergeCell ref="P8:T8"/>
    <mergeCell ref="P9:T9"/>
    <mergeCell ref="P10:T10"/>
    <mergeCell ref="P11:T11"/>
    <mergeCell ref="F18:G18"/>
    <mergeCell ref="R13:S13"/>
    <mergeCell ref="R14:S14"/>
    <mergeCell ref="R15:S15"/>
    <mergeCell ref="R16:S16"/>
    <mergeCell ref="R17:S17"/>
    <mergeCell ref="R18:S18"/>
    <mergeCell ref="F19:G19"/>
    <mergeCell ref="F20:G20"/>
    <mergeCell ref="D16:E16"/>
    <mergeCell ref="D17:E17"/>
    <mergeCell ref="D18:E18"/>
    <mergeCell ref="D19:E19"/>
    <mergeCell ref="D20:E20"/>
    <mergeCell ref="P12:T12"/>
    <mergeCell ref="D13:E13"/>
    <mergeCell ref="F13:G13"/>
    <mergeCell ref="D14:E14"/>
    <mergeCell ref="D15:E15"/>
    <mergeCell ref="F14:G14"/>
    <mergeCell ref="F15:G15"/>
    <mergeCell ref="M13:N13"/>
    <mergeCell ref="M14:N14"/>
    <mergeCell ref="M15:N15"/>
    <mergeCell ref="P13:Q13"/>
    <mergeCell ref="P14:Q14"/>
    <mergeCell ref="P15:Q15"/>
    <mergeCell ref="D12:I12"/>
    <mergeCell ref="P16:Q16"/>
    <mergeCell ref="P17:Q17"/>
    <mergeCell ref="P18:Q18"/>
    <mergeCell ref="P19:Q19"/>
    <mergeCell ref="P20:Q20"/>
    <mergeCell ref="M25:N25"/>
    <mergeCell ref="M28:N28"/>
    <mergeCell ref="M29:N29"/>
    <mergeCell ref="K28:L28"/>
    <mergeCell ref="K29:L29"/>
    <mergeCell ref="M16:N16"/>
    <mergeCell ref="M17:N17"/>
    <mergeCell ref="M18:N18"/>
    <mergeCell ref="M19:N19"/>
    <mergeCell ref="M20:N20"/>
    <mergeCell ref="K16:L16"/>
    <mergeCell ref="K17:L17"/>
    <mergeCell ref="K18:L18"/>
    <mergeCell ref="K19:L19"/>
    <mergeCell ref="K20:L20"/>
    <mergeCell ref="K21:L21"/>
    <mergeCell ref="K23:L23"/>
    <mergeCell ref="K24:L24"/>
    <mergeCell ref="K25:L25"/>
    <mergeCell ref="K27:O27"/>
    <mergeCell ref="P27:T27"/>
    <mergeCell ref="R19:S19"/>
    <mergeCell ref="R20:S20"/>
    <mergeCell ref="R21:S21"/>
    <mergeCell ref="R28:S28"/>
    <mergeCell ref="R29:S29"/>
    <mergeCell ref="P28:Q28"/>
    <mergeCell ref="P29:Q29"/>
    <mergeCell ref="D30:E30"/>
    <mergeCell ref="H30:I30"/>
    <mergeCell ref="M30:N30"/>
    <mergeCell ref="R30:S30"/>
    <mergeCell ref="P21:Q21"/>
    <mergeCell ref="P23:Q23"/>
    <mergeCell ref="P24:Q24"/>
    <mergeCell ref="P25:Q25"/>
    <mergeCell ref="R23:S23"/>
    <mergeCell ref="R24:S24"/>
    <mergeCell ref="R25:S25"/>
    <mergeCell ref="D27:I27"/>
    <mergeCell ref="D29:E29"/>
    <mergeCell ref="F29:G29"/>
    <mergeCell ref="D22:I22"/>
    <mergeCell ref="D26:I26"/>
    <mergeCell ref="H31:I31"/>
    <mergeCell ref="H32:I32"/>
    <mergeCell ref="H33:I33"/>
    <mergeCell ref="H34:I34"/>
    <mergeCell ref="K30:L30"/>
    <mergeCell ref="K31:L31"/>
    <mergeCell ref="K32:L32"/>
    <mergeCell ref="K33:L33"/>
    <mergeCell ref="K34:L34"/>
    <mergeCell ref="R31:S31"/>
    <mergeCell ref="R32:S32"/>
    <mergeCell ref="R33:S33"/>
    <mergeCell ref="R34:S34"/>
    <mergeCell ref="P35:Q35"/>
    <mergeCell ref="R35:S35"/>
    <mergeCell ref="M31:N31"/>
    <mergeCell ref="M32:N32"/>
    <mergeCell ref="M33:N33"/>
    <mergeCell ref="M34:N34"/>
    <mergeCell ref="P33:Q33"/>
    <mergeCell ref="P34:Q34"/>
    <mergeCell ref="A1:B1"/>
    <mergeCell ref="A36:A37"/>
    <mergeCell ref="D57:F57"/>
    <mergeCell ref="D58:F58"/>
    <mergeCell ref="D59:F59"/>
    <mergeCell ref="M35:N35"/>
    <mergeCell ref="K35:L35"/>
    <mergeCell ref="F35:G35"/>
    <mergeCell ref="D35:E35"/>
    <mergeCell ref="H35:I35"/>
    <mergeCell ref="D31:E31"/>
    <mergeCell ref="D32:E32"/>
    <mergeCell ref="D33:E33"/>
    <mergeCell ref="D34:E34"/>
    <mergeCell ref="F30:G30"/>
    <mergeCell ref="F31:G31"/>
    <mergeCell ref="F32:G32"/>
    <mergeCell ref="F33:G33"/>
    <mergeCell ref="F34:G34"/>
    <mergeCell ref="K13:L13"/>
    <mergeCell ref="K14:L14"/>
    <mergeCell ref="K15:L15"/>
    <mergeCell ref="F16:G16"/>
    <mergeCell ref="F17:G17"/>
    <mergeCell ref="K57:M57"/>
    <mergeCell ref="K58:M58"/>
    <mergeCell ref="K59:M59"/>
    <mergeCell ref="K60:M60"/>
    <mergeCell ref="K61:M61"/>
    <mergeCell ref="D65:F65"/>
    <mergeCell ref="G57:H57"/>
    <mergeCell ref="G58:H58"/>
    <mergeCell ref="G59:H59"/>
    <mergeCell ref="G60:H60"/>
    <mergeCell ref="G61:H61"/>
    <mergeCell ref="G62:H62"/>
    <mergeCell ref="G63:H63"/>
    <mergeCell ref="G64:H64"/>
    <mergeCell ref="G65:H65"/>
    <mergeCell ref="D60:F60"/>
    <mergeCell ref="D61:F61"/>
    <mergeCell ref="D62:F62"/>
    <mergeCell ref="D63:F63"/>
    <mergeCell ref="D64:F64"/>
    <mergeCell ref="K62:M62"/>
    <mergeCell ref="K63:M63"/>
    <mergeCell ref="K64:M64"/>
    <mergeCell ref="K65:M65"/>
    <mergeCell ref="N57:O57"/>
    <mergeCell ref="N58:O58"/>
    <mergeCell ref="N59:O59"/>
    <mergeCell ref="N60:O60"/>
    <mergeCell ref="N61:O61"/>
    <mergeCell ref="N62:O62"/>
    <mergeCell ref="N63:O63"/>
    <mergeCell ref="N64:O64"/>
    <mergeCell ref="N65:O65"/>
    <mergeCell ref="S62:T62"/>
    <mergeCell ref="S63:T63"/>
    <mergeCell ref="S64:T64"/>
    <mergeCell ref="S65:T65"/>
    <mergeCell ref="S66:T66"/>
    <mergeCell ref="P62:R62"/>
    <mergeCell ref="P63:R63"/>
    <mergeCell ref="P64:R64"/>
    <mergeCell ref="P65:R65"/>
    <mergeCell ref="P66:R66"/>
    <mergeCell ref="S57:T57"/>
    <mergeCell ref="S58:T58"/>
    <mergeCell ref="S59:T59"/>
    <mergeCell ref="S60:T60"/>
    <mergeCell ref="S61:T61"/>
    <mergeCell ref="P57:R57"/>
    <mergeCell ref="P58:R58"/>
    <mergeCell ref="P59:R59"/>
    <mergeCell ref="P60:R60"/>
    <mergeCell ref="P61:R61"/>
    <mergeCell ref="G66:H66"/>
    <mergeCell ref="N66:O66"/>
    <mergeCell ref="G69:H69"/>
    <mergeCell ref="K69:M69"/>
    <mergeCell ref="N69:O69"/>
    <mergeCell ref="P69:R69"/>
    <mergeCell ref="P67:R67"/>
    <mergeCell ref="S67:T67"/>
    <mergeCell ref="D68:F68"/>
    <mergeCell ref="G68:H68"/>
    <mergeCell ref="K68:M68"/>
    <mergeCell ref="N68:O68"/>
    <mergeCell ref="P68:R68"/>
    <mergeCell ref="S68:T68"/>
    <mergeCell ref="D67:F67"/>
    <mergeCell ref="G67:H67"/>
    <mergeCell ref="K67:M67"/>
    <mergeCell ref="N67:O67"/>
    <mergeCell ref="K66:M66"/>
    <mergeCell ref="A73:A79"/>
    <mergeCell ref="A67:A72"/>
    <mergeCell ref="A57:A66"/>
    <mergeCell ref="S71:T71"/>
    <mergeCell ref="D72:F72"/>
    <mergeCell ref="G72:H72"/>
    <mergeCell ref="K72:M72"/>
    <mergeCell ref="N72:O72"/>
    <mergeCell ref="P72:R72"/>
    <mergeCell ref="S72:T72"/>
    <mergeCell ref="D71:F71"/>
    <mergeCell ref="G71:H71"/>
    <mergeCell ref="K71:M71"/>
    <mergeCell ref="N71:O71"/>
    <mergeCell ref="P71:R71"/>
    <mergeCell ref="S69:T69"/>
    <mergeCell ref="D70:F70"/>
    <mergeCell ref="G70:H70"/>
    <mergeCell ref="K70:M70"/>
    <mergeCell ref="N70:O70"/>
    <mergeCell ref="P70:R70"/>
    <mergeCell ref="S70:T70"/>
    <mergeCell ref="D69:F69"/>
    <mergeCell ref="D66:F66"/>
  </mergeCells>
  <hyperlinks>
    <hyperlink ref="C37:C38" r:id="rId1" display="https://www.energystar.gov/index.cfm?c=roomac.pr_crit_room_ac" xr:uid="{00000000-0004-0000-0400-000000000000}"/>
  </hyperlinks>
  <pageMargins left="0.7" right="0.7" top="0.75" bottom="0.75" header="0.3" footer="0.3"/>
  <pageSetup orientation="portrait" horizontalDpi="200" verticalDpi="200"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14999847407452621"/>
  </sheetPr>
  <dimension ref="A1:BP86"/>
  <sheetViews>
    <sheetView workbookViewId="0">
      <selection activeCell="J49" sqref="J49"/>
    </sheetView>
  </sheetViews>
  <sheetFormatPr defaultRowHeight="12.75" customHeight="1"/>
  <cols>
    <col min="1" max="1" width="13.42578125" customWidth="1"/>
    <col min="2" max="2" width="16.85546875" customWidth="1"/>
    <col min="3" max="3" width="16" customWidth="1"/>
    <col min="4" max="4" width="13.140625" customWidth="1"/>
    <col min="5" max="5" width="14.42578125" customWidth="1"/>
    <col min="6" max="6" width="12" customWidth="1"/>
    <col min="7" max="7" width="12.140625" customWidth="1"/>
    <col min="8" max="8" width="12.85546875" customWidth="1"/>
    <col min="9" max="9" width="9.140625" customWidth="1"/>
    <col min="10" max="10" width="16.42578125" customWidth="1"/>
    <col min="11" max="11" width="14.42578125" customWidth="1"/>
    <col min="12" max="12" width="12.28515625" customWidth="1"/>
    <col min="13" max="13" width="12.42578125" customWidth="1"/>
    <col min="14" max="14" width="9.140625" customWidth="1"/>
    <col min="15" max="15" width="9.5703125" style="21" customWidth="1"/>
    <col min="16" max="16" width="28.5703125" style="21" customWidth="1"/>
    <col min="17" max="17" width="12.7109375" customWidth="1"/>
    <col min="18" max="18" width="15.42578125" customWidth="1"/>
    <col min="19" max="43" width="15.42578125" style="21" customWidth="1"/>
    <col min="44" max="45" width="15.42578125" style="67" customWidth="1"/>
    <col min="46" max="46" width="15.42578125" style="69" customWidth="1"/>
    <col min="47" max="47" width="14" bestFit="1" customWidth="1"/>
    <col min="48" max="51" width="14" style="69" customWidth="1"/>
    <col min="52" max="52" width="14" style="21" customWidth="1"/>
    <col min="54" max="54" width="12.85546875" bestFit="1" customWidth="1"/>
    <col min="56" max="56" width="12" bestFit="1" customWidth="1"/>
    <col min="57" max="57" width="12.28515625" bestFit="1" customWidth="1"/>
  </cols>
  <sheetData>
    <row r="1" spans="1:68" s="67" customFormat="1" ht="12.75" customHeight="1">
      <c r="A1" s="43">
        <v>1</v>
      </c>
      <c r="B1" s="43">
        <f t="shared" ref="B1:AS1" si="0">A1+1</f>
        <v>2</v>
      </c>
      <c r="C1" s="43">
        <f t="shared" si="0"/>
        <v>3</v>
      </c>
      <c r="D1" s="43">
        <f t="shared" si="0"/>
        <v>4</v>
      </c>
      <c r="E1" s="43">
        <f t="shared" si="0"/>
        <v>5</v>
      </c>
      <c r="F1" s="43">
        <f t="shared" si="0"/>
        <v>6</v>
      </c>
      <c r="G1" s="43">
        <f t="shared" si="0"/>
        <v>7</v>
      </c>
      <c r="H1" s="43">
        <f t="shared" si="0"/>
        <v>8</v>
      </c>
      <c r="I1" s="43">
        <f t="shared" si="0"/>
        <v>9</v>
      </c>
      <c r="J1" s="43">
        <f t="shared" si="0"/>
        <v>10</v>
      </c>
      <c r="K1" s="43">
        <f t="shared" si="0"/>
        <v>11</v>
      </c>
      <c r="L1" s="43">
        <f t="shared" si="0"/>
        <v>12</v>
      </c>
      <c r="M1" s="43">
        <f t="shared" si="0"/>
        <v>13</v>
      </c>
      <c r="N1" s="43">
        <f t="shared" si="0"/>
        <v>14</v>
      </c>
      <c r="O1" s="43">
        <f t="shared" si="0"/>
        <v>15</v>
      </c>
      <c r="P1" s="43">
        <f t="shared" si="0"/>
        <v>16</v>
      </c>
      <c r="Q1" s="43">
        <f t="shared" si="0"/>
        <v>17</v>
      </c>
      <c r="R1" s="43">
        <f t="shared" si="0"/>
        <v>18</v>
      </c>
      <c r="S1" s="43">
        <f t="shared" si="0"/>
        <v>19</v>
      </c>
      <c r="T1" s="43">
        <f t="shared" si="0"/>
        <v>20</v>
      </c>
      <c r="U1" s="43">
        <f t="shared" si="0"/>
        <v>21</v>
      </c>
      <c r="V1" s="43">
        <f t="shared" si="0"/>
        <v>22</v>
      </c>
      <c r="W1" s="43">
        <f t="shared" si="0"/>
        <v>23</v>
      </c>
      <c r="X1" s="43">
        <f t="shared" si="0"/>
        <v>24</v>
      </c>
      <c r="Y1" s="43">
        <f t="shared" si="0"/>
        <v>25</v>
      </c>
      <c r="Z1" s="43">
        <f t="shared" si="0"/>
        <v>26</v>
      </c>
      <c r="AA1" s="43">
        <f t="shared" si="0"/>
        <v>27</v>
      </c>
      <c r="AB1" s="43">
        <f t="shared" si="0"/>
        <v>28</v>
      </c>
      <c r="AC1" s="43">
        <f t="shared" si="0"/>
        <v>29</v>
      </c>
      <c r="AD1" s="43">
        <f t="shared" si="0"/>
        <v>30</v>
      </c>
      <c r="AE1" s="43">
        <f t="shared" si="0"/>
        <v>31</v>
      </c>
      <c r="AF1" s="43">
        <f t="shared" si="0"/>
        <v>32</v>
      </c>
      <c r="AG1" s="43">
        <f t="shared" si="0"/>
        <v>33</v>
      </c>
      <c r="AH1" s="43">
        <f t="shared" si="0"/>
        <v>34</v>
      </c>
      <c r="AI1" s="43">
        <f t="shared" si="0"/>
        <v>35</v>
      </c>
      <c r="AJ1" s="43">
        <f t="shared" si="0"/>
        <v>36</v>
      </c>
      <c r="AK1" s="43">
        <f t="shared" si="0"/>
        <v>37</v>
      </c>
      <c r="AL1" s="43">
        <f t="shared" si="0"/>
        <v>38</v>
      </c>
      <c r="AM1" s="43">
        <f t="shared" si="0"/>
        <v>39</v>
      </c>
      <c r="AN1" s="43">
        <f t="shared" si="0"/>
        <v>40</v>
      </c>
      <c r="AO1" s="43">
        <f t="shared" si="0"/>
        <v>41</v>
      </c>
      <c r="AP1" s="43">
        <f t="shared" si="0"/>
        <v>42</v>
      </c>
      <c r="AQ1" s="43">
        <f t="shared" si="0"/>
        <v>43</v>
      </c>
      <c r="AR1" s="43">
        <f t="shared" si="0"/>
        <v>44</v>
      </c>
      <c r="AS1" s="43">
        <f t="shared" si="0"/>
        <v>45</v>
      </c>
      <c r="AT1" s="43">
        <v>46</v>
      </c>
      <c r="AU1" s="43">
        <v>47</v>
      </c>
      <c r="AV1" s="43">
        <v>48</v>
      </c>
      <c r="AW1" s="43">
        <v>49</v>
      </c>
      <c r="AX1" s="43">
        <v>50</v>
      </c>
      <c r="AY1" s="43">
        <v>51</v>
      </c>
    </row>
    <row r="2" spans="1:68" ht="12.75" customHeight="1">
      <c r="A2" s="125" t="s">
        <v>153</v>
      </c>
      <c r="B2" s="1117" t="s">
        <v>154</v>
      </c>
      <c r="C2" s="1117" t="s">
        <v>155</v>
      </c>
      <c r="D2" s="1117" t="s">
        <v>156</v>
      </c>
      <c r="E2" s="1117" t="s">
        <v>157</v>
      </c>
      <c r="F2" s="1115" t="s">
        <v>158</v>
      </c>
      <c r="G2" s="1115"/>
      <c r="H2" s="1114" t="s">
        <v>777</v>
      </c>
      <c r="I2" s="1114" t="s">
        <v>776</v>
      </c>
      <c r="J2" s="1114" t="s">
        <v>181</v>
      </c>
      <c r="K2" s="1117" t="s">
        <v>188</v>
      </c>
      <c r="L2" s="1117" t="s">
        <v>198</v>
      </c>
      <c r="M2" s="1117" t="s">
        <v>199</v>
      </c>
      <c r="N2" s="1117" t="s">
        <v>200</v>
      </c>
      <c r="O2" s="1117" t="s">
        <v>278</v>
      </c>
      <c r="P2" s="1117" t="s">
        <v>279</v>
      </c>
      <c r="Q2" s="1116" t="s">
        <v>213</v>
      </c>
      <c r="R2" s="1116"/>
      <c r="S2" s="1116"/>
      <c r="T2" s="1116" t="s">
        <v>89</v>
      </c>
      <c r="U2" s="1116"/>
      <c r="V2" s="1116"/>
      <c r="W2" s="1116" t="s">
        <v>306</v>
      </c>
      <c r="X2" s="1116"/>
      <c r="Y2" s="1116"/>
      <c r="Z2" s="1116" t="s">
        <v>50</v>
      </c>
      <c r="AA2" s="1116"/>
      <c r="AB2" s="1116"/>
      <c r="AC2" s="1116" t="s">
        <v>87</v>
      </c>
      <c r="AD2" s="1116"/>
      <c r="AE2" s="1116"/>
      <c r="AF2" s="1116" t="s">
        <v>305</v>
      </c>
      <c r="AG2" s="1116"/>
      <c r="AH2" s="1116"/>
      <c r="AI2" s="1116" t="s">
        <v>210</v>
      </c>
      <c r="AJ2" s="1116"/>
      <c r="AK2" s="1116"/>
      <c r="AL2" s="1115" t="s">
        <v>227</v>
      </c>
      <c r="AM2" s="1115"/>
      <c r="AN2" s="1115"/>
      <c r="AO2" s="1115" t="s">
        <v>313</v>
      </c>
      <c r="AP2" s="1115"/>
      <c r="AQ2" s="1115"/>
      <c r="AR2" s="1117" t="s">
        <v>316</v>
      </c>
      <c r="AS2" s="1117" t="s">
        <v>317</v>
      </c>
      <c r="AT2" s="1117" t="s">
        <v>329</v>
      </c>
      <c r="AU2" s="1112" t="s">
        <v>295</v>
      </c>
      <c r="AV2" s="308" t="s">
        <v>671</v>
      </c>
      <c r="AW2" s="308" t="s">
        <v>671</v>
      </c>
      <c r="AX2" s="308" t="s">
        <v>780</v>
      </c>
      <c r="AY2" s="308" t="s">
        <v>780</v>
      </c>
      <c r="BL2" s="21"/>
    </row>
    <row r="3" spans="1:68" ht="12.75" customHeight="1">
      <c r="A3" s="127"/>
      <c r="B3" s="1118"/>
      <c r="C3" s="1118"/>
      <c r="D3" s="1118"/>
      <c r="E3" s="1118"/>
      <c r="F3" s="128" t="s">
        <v>159</v>
      </c>
      <c r="G3" s="128" t="s">
        <v>160</v>
      </c>
      <c r="H3" s="1115"/>
      <c r="I3" s="1115"/>
      <c r="J3" s="1115"/>
      <c r="K3" s="1118"/>
      <c r="L3" s="1116"/>
      <c r="M3" s="1118"/>
      <c r="N3" s="1116"/>
      <c r="O3" s="1118"/>
      <c r="P3" s="1118"/>
      <c r="Q3" s="126" t="s">
        <v>214</v>
      </c>
      <c r="R3" s="126" t="s">
        <v>215</v>
      </c>
      <c r="S3" s="126" t="s">
        <v>302</v>
      </c>
      <c r="T3" s="128" t="s">
        <v>214</v>
      </c>
      <c r="U3" s="128" t="s">
        <v>302</v>
      </c>
      <c r="V3" s="128" t="s">
        <v>304</v>
      </c>
      <c r="W3" s="128" t="s">
        <v>214</v>
      </c>
      <c r="X3" s="128" t="s">
        <v>302</v>
      </c>
      <c r="Y3" s="128" t="s">
        <v>304</v>
      </c>
      <c r="Z3" s="128" t="s">
        <v>214</v>
      </c>
      <c r="AA3" s="128" t="s">
        <v>302</v>
      </c>
      <c r="AB3" s="128" t="s">
        <v>304</v>
      </c>
      <c r="AC3" s="128" t="s">
        <v>214</v>
      </c>
      <c r="AD3" s="128" t="s">
        <v>302</v>
      </c>
      <c r="AE3" s="128" t="s">
        <v>304</v>
      </c>
      <c r="AF3" s="128" t="s">
        <v>214</v>
      </c>
      <c r="AG3" s="128" t="s">
        <v>302</v>
      </c>
      <c r="AH3" s="128" t="s">
        <v>304</v>
      </c>
      <c r="AI3" s="128" t="s">
        <v>214</v>
      </c>
      <c r="AJ3" s="128" t="s">
        <v>302</v>
      </c>
      <c r="AK3" s="128" t="s">
        <v>304</v>
      </c>
      <c r="AL3" s="128" t="s">
        <v>214</v>
      </c>
      <c r="AM3" s="128" t="s">
        <v>302</v>
      </c>
      <c r="AN3" s="128" t="s">
        <v>304</v>
      </c>
      <c r="AO3" s="128" t="s">
        <v>310</v>
      </c>
      <c r="AP3" s="128" t="s">
        <v>311</v>
      </c>
      <c r="AQ3" s="128" t="s">
        <v>312</v>
      </c>
      <c r="AR3" s="1118"/>
      <c r="AS3" s="1118"/>
      <c r="AT3" s="1118"/>
      <c r="AU3" s="1113"/>
      <c r="AV3" s="308" t="s">
        <v>670</v>
      </c>
      <c r="AW3" s="308" t="s">
        <v>672</v>
      </c>
      <c r="AX3" s="308" t="s">
        <v>742</v>
      </c>
      <c r="AY3" s="308" t="s">
        <v>781</v>
      </c>
      <c r="AZ3" s="61"/>
      <c r="BA3" t="s">
        <v>208</v>
      </c>
      <c r="BB3" s="20" t="s">
        <v>209</v>
      </c>
      <c r="BD3" s="21" t="s">
        <v>225</v>
      </c>
      <c r="BI3" t="s">
        <v>361</v>
      </c>
      <c r="BN3" t="s">
        <v>525</v>
      </c>
      <c r="BO3" t="s">
        <v>533</v>
      </c>
      <c r="BP3" t="s">
        <v>535</v>
      </c>
    </row>
    <row r="4" spans="1:68" s="69" customFormat="1" ht="12.75" customHeight="1">
      <c r="A4" s="129" t="s">
        <v>92</v>
      </c>
      <c r="B4" s="92">
        <v>-7</v>
      </c>
      <c r="C4" s="92">
        <v>86</v>
      </c>
      <c r="D4" s="92">
        <v>70</v>
      </c>
      <c r="E4" s="92">
        <v>6894</v>
      </c>
      <c r="F4" s="92">
        <v>5</v>
      </c>
      <c r="G4" s="92" t="s">
        <v>161</v>
      </c>
      <c r="H4" s="92">
        <v>224</v>
      </c>
      <c r="I4" s="92">
        <v>363</v>
      </c>
      <c r="J4" s="92">
        <v>54.3</v>
      </c>
      <c r="K4" s="92">
        <v>507</v>
      </c>
      <c r="L4" s="92">
        <v>0.113</v>
      </c>
      <c r="M4" s="92">
        <v>0.08</v>
      </c>
      <c r="N4" s="92">
        <v>-2.5000000000000001E-2</v>
      </c>
      <c r="O4" s="92"/>
      <c r="P4" s="92">
        <v>9.6999999999999993</v>
      </c>
      <c r="Q4" s="92">
        <v>22</v>
      </c>
      <c r="R4" s="92">
        <v>16</v>
      </c>
      <c r="S4" s="92">
        <v>9.9000000000000005E-2</v>
      </c>
      <c r="T4" s="92">
        <v>6.3</v>
      </c>
      <c r="U4" s="92">
        <v>1.7999999999999999E-2</v>
      </c>
      <c r="V4" s="92">
        <v>39.200000000000003</v>
      </c>
      <c r="W4" s="92">
        <v>6.3</v>
      </c>
      <c r="X4" s="92">
        <v>1.7999999999999999E-2</v>
      </c>
      <c r="Y4" s="92">
        <v>39.200000000000003</v>
      </c>
      <c r="Z4" s="92">
        <v>1.8</v>
      </c>
      <c r="AA4" s="92">
        <v>1.7999999999999999E-2</v>
      </c>
      <c r="AB4" s="92">
        <v>14.1</v>
      </c>
      <c r="AC4" s="92">
        <v>4.3</v>
      </c>
      <c r="AD4" s="92">
        <v>5.0000000000000001E-3</v>
      </c>
      <c r="AE4" s="92">
        <v>15.7</v>
      </c>
      <c r="AF4" s="92">
        <f>(2.1+7.9)/2</f>
        <v>5</v>
      </c>
      <c r="AG4" s="92">
        <f>0.004</f>
        <v>4.0000000000000001E-3</v>
      </c>
      <c r="AH4" s="92">
        <f>(8.1+29.9)/2</f>
        <v>19</v>
      </c>
      <c r="AI4" s="92">
        <v>12.2</v>
      </c>
      <c r="AJ4" s="92">
        <v>1.0999999999999999E-2</v>
      </c>
      <c r="AK4" s="92">
        <v>45.6</v>
      </c>
      <c r="AL4" s="92">
        <f>(9.6+3.8)/2</f>
        <v>6.6999999999999993</v>
      </c>
      <c r="AM4" s="92">
        <f>0.065</f>
        <v>6.5000000000000002E-2</v>
      </c>
      <c r="AN4" s="92">
        <f>(14.7+36.5)/2</f>
        <v>25.6</v>
      </c>
      <c r="AO4" s="92">
        <f>2*6.4</f>
        <v>12.8</v>
      </c>
      <c r="AP4" s="92">
        <f>2*0.003</f>
        <v>6.0000000000000001E-3</v>
      </c>
      <c r="AQ4" s="92">
        <f>2*11.3</f>
        <v>22.6</v>
      </c>
      <c r="AR4" s="92">
        <v>1934</v>
      </c>
      <c r="AS4" s="92">
        <v>6.0999999999999999E-2</v>
      </c>
      <c r="AT4" s="92">
        <v>1</v>
      </c>
      <c r="AU4" s="68" t="s">
        <v>296</v>
      </c>
      <c r="AV4" s="309">
        <f>IF(F4=4,0.15,IF(F4=5,0.06,0.03))</f>
        <v>0.06</v>
      </c>
      <c r="AW4" s="309">
        <f>IF(F4=4,0.85,IF(F4=5,0.94,0.97))</f>
        <v>0.94</v>
      </c>
      <c r="AX4" s="327">
        <v>346</v>
      </c>
      <c r="AY4" s="327">
        <v>26</v>
      </c>
      <c r="BA4" s="19" t="s">
        <v>203</v>
      </c>
      <c r="BB4" s="19">
        <v>1</v>
      </c>
      <c r="BD4" s="69" t="s">
        <v>204</v>
      </c>
      <c r="BE4" s="69">
        <v>2</v>
      </c>
      <c r="BG4" s="69" t="s">
        <v>262</v>
      </c>
      <c r="BI4" s="69" t="s">
        <v>359</v>
      </c>
      <c r="BN4" s="69" t="s">
        <v>534</v>
      </c>
      <c r="BO4" s="69" t="s">
        <v>534</v>
      </c>
      <c r="BP4" s="69" t="s">
        <v>536</v>
      </c>
    </row>
    <row r="5" spans="1:68" ht="12.75" customHeight="1">
      <c r="A5" s="130" t="s">
        <v>93</v>
      </c>
      <c r="B5" s="92">
        <v>1</v>
      </c>
      <c r="C5" s="92">
        <v>86</v>
      </c>
      <c r="D5" s="92">
        <v>71</v>
      </c>
      <c r="E5" s="92">
        <v>7484</v>
      </c>
      <c r="F5" s="92">
        <v>6</v>
      </c>
      <c r="G5" s="92">
        <v>15</v>
      </c>
      <c r="H5" s="92">
        <f t="shared" ref="H5:J6" si="1">IF($AU5="Albany",H$4,IF($AU5="Binghamton",H$7,IF($AU5="Buffalo",H$18,IF($AU5="Massena",H$48,IF($AU5="NYC",H$34,IF($AU5="Poughkeepsie",H$17,H$37))))))</f>
        <v>171</v>
      </c>
      <c r="I5" s="92">
        <f t="shared" si="1"/>
        <v>484</v>
      </c>
      <c r="J5" s="92">
        <f t="shared" si="1"/>
        <v>52.3</v>
      </c>
      <c r="K5" s="92">
        <v>438</v>
      </c>
      <c r="L5" s="92">
        <f t="shared" ref="L5:U6" si="2">IF($AU5="Albany",L$4,IF($AU5="Binghamton",L$7,IF($AU5="Buffalo",L$18,IF($AU5="Massena",L$48,IF($AU5="NYC",L$34,IF($AU5="Poughkeepsie",L$17,L$37))))))</f>
        <v>7.2999999999999995E-2</v>
      </c>
      <c r="M5" s="92">
        <f t="shared" si="2"/>
        <v>6.8000000000000005E-2</v>
      </c>
      <c r="N5" s="92">
        <f t="shared" si="2"/>
        <v>-2.7E-2</v>
      </c>
      <c r="O5" s="92">
        <f t="shared" si="2"/>
        <v>0</v>
      </c>
      <c r="P5" s="92">
        <f t="shared" si="2"/>
        <v>9.6</v>
      </c>
      <c r="Q5" s="92">
        <f t="shared" si="2"/>
        <v>11</v>
      </c>
      <c r="R5" s="92">
        <f t="shared" si="2"/>
        <v>17</v>
      </c>
      <c r="S5" s="92">
        <f t="shared" si="2"/>
        <v>8.5000000000000006E-2</v>
      </c>
      <c r="T5" s="92">
        <f t="shared" si="2"/>
        <v>6</v>
      </c>
      <c r="U5" s="92">
        <f t="shared" si="2"/>
        <v>2.5999999999999999E-2</v>
      </c>
      <c r="V5" s="92">
        <f t="shared" ref="V5:AE6" si="3">IF($AU5="Albany",V$4,IF($AU5="Binghamton",V$7,IF($AU5="Buffalo",V$18,IF($AU5="Massena",V$48,IF($AU5="NYC",V$34,IF($AU5="Poughkeepsie",V$17,V$37))))))</f>
        <v>42.7</v>
      </c>
      <c r="W5" s="92">
        <f t="shared" si="3"/>
        <v>6</v>
      </c>
      <c r="X5" s="92">
        <f t="shared" si="3"/>
        <v>2.5999999999999999E-2</v>
      </c>
      <c r="Y5" s="92">
        <f t="shared" si="3"/>
        <v>42.7</v>
      </c>
      <c r="Z5" s="92">
        <f t="shared" si="3"/>
        <v>1.8</v>
      </c>
      <c r="AA5" s="92">
        <f t="shared" si="3"/>
        <v>8.9999999999999993E-3</v>
      </c>
      <c r="AB5" s="92">
        <f t="shared" si="3"/>
        <v>14.9</v>
      </c>
      <c r="AC5" s="92">
        <f t="shared" si="3"/>
        <v>2.8</v>
      </c>
      <c r="AD5" s="92">
        <f t="shared" si="3"/>
        <v>0</v>
      </c>
      <c r="AE5" s="92">
        <f t="shared" si="3"/>
        <v>17.2</v>
      </c>
      <c r="AF5" s="92">
        <f t="shared" ref="AF5:AQ6" si="4">IF($AU5="Albany",AF$4,IF($AU5="Binghamton",AF$7,IF($AU5="Buffalo",AF$18,IF($AU5="Massena",AF$48,IF($AU5="NYC",AF$34,IF($AU5="Poughkeepsie",AF$17,AF$37))))))</f>
        <v>3.1</v>
      </c>
      <c r="AG5" s="92">
        <f t="shared" si="4"/>
        <v>1.5E-3</v>
      </c>
      <c r="AH5" s="92">
        <f t="shared" si="4"/>
        <v>20.650000000000002</v>
      </c>
      <c r="AI5" s="92">
        <f t="shared" si="4"/>
        <v>7.7</v>
      </c>
      <c r="AJ5" s="92">
        <f t="shared" si="4"/>
        <v>3.0000000000000001E-3</v>
      </c>
      <c r="AK5" s="92">
        <f t="shared" si="4"/>
        <v>49.9</v>
      </c>
      <c r="AL5" s="92">
        <f t="shared" si="4"/>
        <v>4.1500000000000004</v>
      </c>
      <c r="AM5" s="92">
        <f t="shared" si="4"/>
        <v>4.0000000000000001E-3</v>
      </c>
      <c r="AN5" s="92">
        <f t="shared" si="4"/>
        <v>27.85</v>
      </c>
      <c r="AO5" s="92">
        <f t="shared" si="4"/>
        <v>13.6</v>
      </c>
      <c r="AP5" s="92">
        <f t="shared" si="4"/>
        <v>6.0000000000000001E-3</v>
      </c>
      <c r="AQ5" s="92">
        <f t="shared" si="4"/>
        <v>24.2</v>
      </c>
      <c r="AR5" s="92">
        <v>1934</v>
      </c>
      <c r="AS5" s="92">
        <v>6.0999999999999999E-2</v>
      </c>
      <c r="AT5" s="92">
        <f>IF($AU5="Albany",AT$4,IF($AU5="Binghamton",AT$7,IF($AU5="Buffalo",AT$18,IF($AU5="Massena",AT$48,IF($AU5="NYC",AT$34,IF($AU5="Poughkeepsie",AT$17,AT$37))))))</f>
        <v>1.008</v>
      </c>
      <c r="AU5" s="68" t="s">
        <v>297</v>
      </c>
      <c r="AV5" s="309">
        <f t="shared" ref="AV5:AV65" si="5">IF(F5=4,0.15,IF(F5=5,0.06,0.03))</f>
        <v>0.03</v>
      </c>
      <c r="AW5" s="309">
        <f t="shared" ref="AW5:AW65" si="6">IF(F5=4,0.85,IF(F5=5,0.94,0.97))</f>
        <v>0.97</v>
      </c>
      <c r="AX5" s="92">
        <f t="shared" ref="AX5:AY65" si="7">IF($AU5="Albany",AX$4,IF($AU5="Binghamton",AX$7,IF($AU5="Buffalo",AX$18,IF($AU5="Massena",AX$48,IF($AU5="NYC",AX$34,IF($AU5="Poughkeepsie",AX$17,AX$37))))))</f>
        <v>223</v>
      </c>
      <c r="AY5" s="92">
        <f t="shared" si="7"/>
        <v>28</v>
      </c>
      <c r="BA5" s="19" t="s">
        <v>204</v>
      </c>
      <c r="BB5" s="19">
        <v>2</v>
      </c>
      <c r="BD5" s="21" t="s">
        <v>206</v>
      </c>
      <c r="BE5">
        <v>5</v>
      </c>
      <c r="BG5" s="21" t="s">
        <v>261</v>
      </c>
      <c r="BI5" s="69" t="s">
        <v>734</v>
      </c>
      <c r="BN5" s="69" t="s">
        <v>526</v>
      </c>
      <c r="BO5" s="69" t="s">
        <v>526</v>
      </c>
      <c r="BP5" t="s">
        <v>537</v>
      </c>
    </row>
    <row r="6" spans="1:68" ht="12.75" customHeight="1">
      <c r="A6" s="130" t="s">
        <v>94</v>
      </c>
      <c r="B6" s="92">
        <v>13</v>
      </c>
      <c r="C6" s="92">
        <v>89</v>
      </c>
      <c r="D6" s="92">
        <v>73</v>
      </c>
      <c r="E6" s="92">
        <v>4910</v>
      </c>
      <c r="F6" s="92">
        <v>4</v>
      </c>
      <c r="G6" s="92" t="s">
        <v>162</v>
      </c>
      <c r="H6" s="92">
        <f t="shared" si="1"/>
        <v>364</v>
      </c>
      <c r="I6" s="92">
        <f t="shared" si="1"/>
        <v>219</v>
      </c>
      <c r="J6" s="92">
        <f t="shared" si="1"/>
        <v>61.4</v>
      </c>
      <c r="K6" s="92">
        <v>1096</v>
      </c>
      <c r="L6" s="92">
        <f t="shared" si="2"/>
        <v>0.19400000000000001</v>
      </c>
      <c r="M6" s="92">
        <f t="shared" si="2"/>
        <v>0.10100000000000001</v>
      </c>
      <c r="N6" s="92">
        <f t="shared" si="2"/>
        <v>-2.1000000000000001E-2</v>
      </c>
      <c r="O6" s="92">
        <f t="shared" si="2"/>
        <v>0</v>
      </c>
      <c r="P6" s="92">
        <f t="shared" si="2"/>
        <v>10.7</v>
      </c>
      <c r="Q6" s="92">
        <f t="shared" si="2"/>
        <v>56</v>
      </c>
      <c r="R6" s="92">
        <f t="shared" si="2"/>
        <v>17</v>
      </c>
      <c r="S6" s="92">
        <f t="shared" si="2"/>
        <v>9.8000000000000004E-2</v>
      </c>
      <c r="T6" s="92">
        <f t="shared" si="2"/>
        <v>20.3</v>
      </c>
      <c r="U6" s="92">
        <f t="shared" si="2"/>
        <v>2.5999999999999999E-2</v>
      </c>
      <c r="V6" s="92">
        <f t="shared" si="3"/>
        <v>28.3</v>
      </c>
      <c r="W6" s="92">
        <f t="shared" si="3"/>
        <v>20.3</v>
      </c>
      <c r="X6" s="92">
        <f t="shared" si="3"/>
        <v>2.5999999999999999E-2</v>
      </c>
      <c r="Y6" s="92">
        <f t="shared" si="3"/>
        <v>28.3</v>
      </c>
      <c r="Z6" s="92">
        <f t="shared" si="3"/>
        <v>6.7</v>
      </c>
      <c r="AA6" s="92">
        <f t="shared" si="3"/>
        <v>8.9999999999999993E-3</v>
      </c>
      <c r="AB6" s="92">
        <f t="shared" si="3"/>
        <v>9.4</v>
      </c>
      <c r="AC6" s="92">
        <f t="shared" si="3"/>
        <v>11</v>
      </c>
      <c r="AD6" s="92">
        <f t="shared" si="3"/>
        <v>3.0000000000000001E-3</v>
      </c>
      <c r="AE6" s="92">
        <f t="shared" si="3"/>
        <v>10.7</v>
      </c>
      <c r="AF6" s="92">
        <f t="shared" si="4"/>
        <v>13.05</v>
      </c>
      <c r="AG6" s="92">
        <f t="shared" si="4"/>
        <v>2.5000000000000001E-3</v>
      </c>
      <c r="AH6" s="92">
        <f t="shared" si="4"/>
        <v>12.75</v>
      </c>
      <c r="AI6" s="92">
        <f t="shared" si="4"/>
        <v>31.7</v>
      </c>
      <c r="AJ6" s="92">
        <f t="shared" si="4"/>
        <v>8.0000000000000002E-3</v>
      </c>
      <c r="AK6" s="92">
        <f t="shared" si="4"/>
        <v>30.9</v>
      </c>
      <c r="AL6" s="92">
        <f t="shared" si="4"/>
        <v>17.600000000000001</v>
      </c>
      <c r="AM6" s="92">
        <f t="shared" si="4"/>
        <v>5.4999999999999997E-3</v>
      </c>
      <c r="AN6" s="92">
        <f t="shared" si="4"/>
        <v>17.350000000000001</v>
      </c>
      <c r="AO6" s="92">
        <f t="shared" si="4"/>
        <v>9.1999999999999993</v>
      </c>
      <c r="AP6" s="92">
        <f t="shared" si="4"/>
        <v>6.0000000000000001E-3</v>
      </c>
      <c r="AQ6" s="92">
        <f t="shared" si="4"/>
        <v>17.399999999999999</v>
      </c>
      <c r="AR6" s="92">
        <v>1934</v>
      </c>
      <c r="AS6" s="92">
        <v>6.0999999999999999E-2</v>
      </c>
      <c r="AT6" s="92">
        <f>IF($AU6="Albany",AT$4,IF($AU6="Binghamton",AT$7,IF($AU6="Buffalo",AT$18,IF($AU6="Massena",AT$48,IF($AU6="NYC",AT$34,IF($AU6="Poughkeepsie",AT$17,AT$37))))))</f>
        <v>1.34</v>
      </c>
      <c r="AU6" s="68" t="s">
        <v>260</v>
      </c>
      <c r="AV6" s="309">
        <f t="shared" si="5"/>
        <v>0.15</v>
      </c>
      <c r="AW6" s="309">
        <f t="shared" si="6"/>
        <v>0.85</v>
      </c>
      <c r="AX6" s="92">
        <f t="shared" si="7"/>
        <v>370</v>
      </c>
      <c r="AY6" s="92">
        <f t="shared" si="7"/>
        <v>17</v>
      </c>
      <c r="BA6" s="19" t="s">
        <v>378</v>
      </c>
      <c r="BB6" s="19">
        <v>3</v>
      </c>
      <c r="BD6" s="21" t="s">
        <v>224</v>
      </c>
      <c r="BE6">
        <v>7</v>
      </c>
      <c r="BG6" s="21" t="s">
        <v>263</v>
      </c>
      <c r="BI6" s="69" t="s">
        <v>735</v>
      </c>
      <c r="BN6" t="s">
        <v>527</v>
      </c>
      <c r="BO6" t="s">
        <v>527</v>
      </c>
      <c r="BP6" t="s">
        <v>538</v>
      </c>
    </row>
    <row r="7" spans="1:68" ht="12.75" customHeight="1">
      <c r="A7" s="129" t="s">
        <v>95</v>
      </c>
      <c r="B7" s="92">
        <v>-2</v>
      </c>
      <c r="C7" s="92">
        <v>82</v>
      </c>
      <c r="D7" s="92">
        <v>69</v>
      </c>
      <c r="E7" s="92">
        <v>7273</v>
      </c>
      <c r="F7" s="92">
        <v>6</v>
      </c>
      <c r="G7" s="92">
        <v>15</v>
      </c>
      <c r="H7" s="92">
        <v>171</v>
      </c>
      <c r="I7" s="92">
        <v>484</v>
      </c>
      <c r="J7" s="92">
        <v>52.3</v>
      </c>
      <c r="K7" s="92">
        <v>438</v>
      </c>
      <c r="L7" s="92">
        <v>7.2999999999999995E-2</v>
      </c>
      <c r="M7" s="92">
        <v>6.8000000000000005E-2</v>
      </c>
      <c r="N7" s="92">
        <v>-2.7E-2</v>
      </c>
      <c r="O7" s="92"/>
      <c r="P7" s="92">
        <v>9.6</v>
      </c>
      <c r="Q7" s="92">
        <v>11</v>
      </c>
      <c r="R7" s="92">
        <v>17</v>
      </c>
      <c r="S7" s="92">
        <v>8.5000000000000006E-2</v>
      </c>
      <c r="T7" s="92">
        <v>6</v>
      </c>
      <c r="U7" s="92">
        <v>2.5999999999999999E-2</v>
      </c>
      <c r="V7" s="92">
        <v>42.7</v>
      </c>
      <c r="W7" s="92">
        <v>6</v>
      </c>
      <c r="X7" s="92">
        <v>2.5999999999999999E-2</v>
      </c>
      <c r="Y7" s="92">
        <v>42.7</v>
      </c>
      <c r="Z7" s="92">
        <v>1.8</v>
      </c>
      <c r="AA7" s="92">
        <v>8.9999999999999993E-3</v>
      </c>
      <c r="AB7" s="92">
        <v>14.9</v>
      </c>
      <c r="AC7" s="92">
        <v>2.8</v>
      </c>
      <c r="AD7" s="92">
        <v>0</v>
      </c>
      <c r="AE7" s="92">
        <v>17.2</v>
      </c>
      <c r="AF7" s="92">
        <f>(4.9+1.3)/2</f>
        <v>3.1</v>
      </c>
      <c r="AG7" s="92">
        <v>1.5E-3</v>
      </c>
      <c r="AH7" s="92">
        <f>(8.6+32.7)/2</f>
        <v>20.650000000000002</v>
      </c>
      <c r="AI7" s="92">
        <v>7.7</v>
      </c>
      <c r="AJ7" s="92">
        <v>3.0000000000000001E-3</v>
      </c>
      <c r="AK7" s="92">
        <v>49.9</v>
      </c>
      <c r="AL7" s="92">
        <f>(6+2.3)/2</f>
        <v>4.1500000000000004</v>
      </c>
      <c r="AM7" s="92">
        <v>4.0000000000000001E-3</v>
      </c>
      <c r="AN7" s="92">
        <f>(39.9+15.8)/2</f>
        <v>27.85</v>
      </c>
      <c r="AO7" s="92">
        <f>2*6.8</f>
        <v>13.6</v>
      </c>
      <c r="AP7" s="92">
        <f>2*0.003</f>
        <v>6.0000000000000001E-3</v>
      </c>
      <c r="AQ7" s="92">
        <f>2*12.1</f>
        <v>24.2</v>
      </c>
      <c r="AR7" s="92">
        <v>1934</v>
      </c>
      <c r="AS7" s="92">
        <v>6.0999999999999999E-2</v>
      </c>
      <c r="AT7" s="92">
        <v>1.008</v>
      </c>
      <c r="AU7" s="68" t="s">
        <v>297</v>
      </c>
      <c r="AV7" s="309">
        <f t="shared" si="5"/>
        <v>0.03</v>
      </c>
      <c r="AW7" s="309">
        <f t="shared" si="6"/>
        <v>0.97</v>
      </c>
      <c r="AX7" s="92">
        <v>223</v>
      </c>
      <c r="AY7" s="92">
        <v>28</v>
      </c>
      <c r="BA7" s="19" t="s">
        <v>205</v>
      </c>
      <c r="BB7" s="19">
        <v>4</v>
      </c>
      <c r="BD7" t="s">
        <v>379</v>
      </c>
      <c r="BE7">
        <v>1</v>
      </c>
      <c r="BI7" s="69" t="s">
        <v>360</v>
      </c>
      <c r="BN7" t="s">
        <v>528</v>
      </c>
      <c r="BO7" t="s">
        <v>530</v>
      </c>
      <c r="BP7" t="s">
        <v>539</v>
      </c>
    </row>
    <row r="8" spans="1:68" ht="12.75" customHeight="1">
      <c r="A8" s="130" t="s">
        <v>96</v>
      </c>
      <c r="B8" s="92">
        <v>2</v>
      </c>
      <c r="C8" s="92">
        <v>85</v>
      </c>
      <c r="D8" s="92">
        <v>73</v>
      </c>
      <c r="E8" s="92">
        <v>6747</v>
      </c>
      <c r="F8" s="92">
        <v>6</v>
      </c>
      <c r="G8" s="92">
        <v>15</v>
      </c>
      <c r="H8" s="92">
        <f t="shared" ref="H8:J16" si="8">IF($AU8="Albany",H$4,IF($AU8="Binghamton",H$7,IF($AU8="Buffalo",H$18,IF($AU8="Massena",H$48,IF($AU8="NYC",H$34,IF($AU8="Poughkeepsie",H$17,H$37))))))</f>
        <v>219</v>
      </c>
      <c r="I8" s="92">
        <f t="shared" si="8"/>
        <v>471</v>
      </c>
      <c r="J8" s="92">
        <f t="shared" si="8"/>
        <v>54.3</v>
      </c>
      <c r="K8" s="92">
        <v>438</v>
      </c>
      <c r="L8" s="92">
        <f t="shared" ref="L8:U16" si="9">IF($AU8="Albany",L$4,IF($AU8="Binghamton",L$7,IF($AU8="Buffalo",L$18,IF($AU8="Massena",L$48,IF($AU8="NYC",L$34,IF($AU8="Poughkeepsie",L$17,L$37))))))</f>
        <v>0.113</v>
      </c>
      <c r="M8" s="92">
        <f t="shared" si="9"/>
        <v>7.1999999999999995E-2</v>
      </c>
      <c r="N8" s="92">
        <f t="shared" si="9"/>
        <v>-2.5999999999999999E-2</v>
      </c>
      <c r="O8" s="92">
        <f t="shared" si="9"/>
        <v>0</v>
      </c>
      <c r="P8" s="92">
        <f t="shared" si="9"/>
        <v>9.9</v>
      </c>
      <c r="Q8" s="92">
        <f t="shared" si="9"/>
        <v>20</v>
      </c>
      <c r="R8" s="92">
        <f t="shared" si="9"/>
        <v>19</v>
      </c>
      <c r="S8" s="92">
        <f t="shared" si="9"/>
        <v>7.9000000000000001E-2</v>
      </c>
      <c r="T8" s="92">
        <f t="shared" si="9"/>
        <v>3.1</v>
      </c>
      <c r="U8" s="92">
        <f t="shared" si="9"/>
        <v>1.8E-3</v>
      </c>
      <c r="V8" s="92">
        <f t="shared" ref="V8:AE16" si="10">IF($AU8="Albany",V$4,IF($AU8="Binghamton",V$7,IF($AU8="Buffalo",V$18,IF($AU8="Massena",V$48,IF($AU8="NYC",V$34,IF($AU8="Poughkeepsie",V$17,V$37))))))</f>
        <v>38.6</v>
      </c>
      <c r="W8" s="92">
        <f t="shared" si="10"/>
        <v>3.1</v>
      </c>
      <c r="X8" s="92">
        <f t="shared" si="10"/>
        <v>1.7999999999999999E-2</v>
      </c>
      <c r="Y8" s="92">
        <f t="shared" si="10"/>
        <v>38.6</v>
      </c>
      <c r="Z8" s="92">
        <f t="shared" si="10"/>
        <v>0.7</v>
      </c>
      <c r="AA8" s="92">
        <f t="shared" si="10"/>
        <v>0</v>
      </c>
      <c r="AB8" s="92">
        <f t="shared" si="10"/>
        <v>13.9</v>
      </c>
      <c r="AC8" s="92">
        <f t="shared" si="10"/>
        <v>3</v>
      </c>
      <c r="AD8" s="92">
        <f t="shared" si="10"/>
        <v>3.0000000000000001E-3</v>
      </c>
      <c r="AE8" s="92">
        <f t="shared" si="10"/>
        <v>16.5</v>
      </c>
      <c r="AF8" s="92">
        <f t="shared" ref="AF8:AQ16" si="11">IF($AU8="Albany",AF$4,IF($AU8="Binghamton",AF$7,IF($AU8="Buffalo",AF$18,IF($AU8="Massena",AF$48,IF($AU8="NYC",AF$34,IF($AU8="Poughkeepsie",AF$17,AF$37))))))</f>
        <v>3.45</v>
      </c>
      <c r="AG8" s="92">
        <f t="shared" si="11"/>
        <v>1.5E-3</v>
      </c>
      <c r="AH8" s="92">
        <f t="shared" si="11"/>
        <v>19.7</v>
      </c>
      <c r="AI8" s="92">
        <f t="shared" si="11"/>
        <v>8.5</v>
      </c>
      <c r="AJ8" s="92">
        <f t="shared" si="11"/>
        <v>5.0000000000000001E-3</v>
      </c>
      <c r="AK8" s="92">
        <f t="shared" si="11"/>
        <v>47.7</v>
      </c>
      <c r="AL8" s="92">
        <f t="shared" si="11"/>
        <v>4.6500000000000004</v>
      </c>
      <c r="AM8" s="92">
        <f t="shared" si="11"/>
        <v>4.0000000000000001E-3</v>
      </c>
      <c r="AN8" s="92">
        <f t="shared" si="11"/>
        <v>26.5</v>
      </c>
      <c r="AO8" s="92">
        <f t="shared" si="11"/>
        <v>11.2</v>
      </c>
      <c r="AP8" s="92">
        <f t="shared" si="11"/>
        <v>6.0000000000000001E-3</v>
      </c>
      <c r="AQ8" s="92">
        <f t="shared" si="11"/>
        <v>24</v>
      </c>
      <c r="AR8" s="92">
        <v>1934</v>
      </c>
      <c r="AS8" s="92">
        <v>6.0999999999999999E-2</v>
      </c>
      <c r="AT8" s="92">
        <f t="shared" ref="AT8:AT16" si="12">IF($AU8="Albany",AT$4,IF($AU8="Binghamton",AT$7,IF($AU8="Buffalo",AT$18,IF($AU8="Massena",AT$48,IF($AU8="NYC",AT$34,IF($AU8="Poughkeepsie",AT$17,AT$37))))))</f>
        <v>1.036</v>
      </c>
      <c r="AU8" s="68" t="s">
        <v>298</v>
      </c>
      <c r="AV8" s="309">
        <f t="shared" si="5"/>
        <v>0.03</v>
      </c>
      <c r="AW8" s="309">
        <f t="shared" si="6"/>
        <v>0.97</v>
      </c>
      <c r="AX8" s="92">
        <f t="shared" si="7"/>
        <v>315</v>
      </c>
      <c r="AY8" s="92">
        <f t="shared" si="7"/>
        <v>25</v>
      </c>
      <c r="BA8" s="20" t="s">
        <v>206</v>
      </c>
      <c r="BB8" s="20">
        <v>5</v>
      </c>
      <c r="BD8" s="21" t="s">
        <v>226</v>
      </c>
      <c r="BE8">
        <v>6</v>
      </c>
      <c r="BI8" s="69" t="s">
        <v>736</v>
      </c>
      <c r="BN8" t="s">
        <v>529</v>
      </c>
      <c r="BO8" t="s">
        <v>531</v>
      </c>
      <c r="BP8" t="s">
        <v>262</v>
      </c>
    </row>
    <row r="9" spans="1:68" ht="12.75" customHeight="1">
      <c r="A9" s="130" t="s">
        <v>97</v>
      </c>
      <c r="B9" s="92">
        <v>-3</v>
      </c>
      <c r="C9" s="92">
        <v>85</v>
      </c>
      <c r="D9" s="92">
        <v>71</v>
      </c>
      <c r="E9" s="92">
        <v>6834</v>
      </c>
      <c r="F9" s="92">
        <v>5</v>
      </c>
      <c r="G9" s="92" t="s">
        <v>161</v>
      </c>
      <c r="H9" s="92">
        <f t="shared" si="8"/>
        <v>226</v>
      </c>
      <c r="I9" s="92">
        <f t="shared" si="8"/>
        <v>474</v>
      </c>
      <c r="J9" s="92">
        <f t="shared" si="8"/>
        <v>54.3</v>
      </c>
      <c r="K9" s="92">
        <v>507</v>
      </c>
      <c r="L9" s="92">
        <f t="shared" si="9"/>
        <v>0.113</v>
      </c>
      <c r="M9" s="92">
        <f t="shared" si="9"/>
        <v>0.08</v>
      </c>
      <c r="N9" s="92">
        <f t="shared" si="9"/>
        <v>-2.4E-2</v>
      </c>
      <c r="O9" s="92">
        <f t="shared" si="9"/>
        <v>0</v>
      </c>
      <c r="P9" s="92">
        <f t="shared" si="9"/>
        <v>9.6999999999999993</v>
      </c>
      <c r="Q9" s="92">
        <f t="shared" si="9"/>
        <v>23</v>
      </c>
      <c r="R9" s="92">
        <f t="shared" si="9"/>
        <v>16</v>
      </c>
      <c r="S9" s="92">
        <f t="shared" si="9"/>
        <v>9.1999999999999998E-2</v>
      </c>
      <c r="T9" s="92">
        <f t="shared" si="9"/>
        <v>6.1</v>
      </c>
      <c r="U9" s="92">
        <f t="shared" si="9"/>
        <v>4.3999999999999997E-2</v>
      </c>
      <c r="V9" s="92">
        <f t="shared" si="10"/>
        <v>37.799999999999997</v>
      </c>
      <c r="W9" s="92">
        <f t="shared" si="10"/>
        <v>6.1</v>
      </c>
      <c r="X9" s="92">
        <f t="shared" si="10"/>
        <v>4.3999999999999997E-2</v>
      </c>
      <c r="Y9" s="92">
        <f t="shared" si="10"/>
        <v>37.799999999999997</v>
      </c>
      <c r="Z9" s="92">
        <f t="shared" si="10"/>
        <v>1.7</v>
      </c>
      <c r="AA9" s="92">
        <f t="shared" si="10"/>
        <v>2.5999999999999999E-2</v>
      </c>
      <c r="AB9" s="92">
        <f t="shared" si="10"/>
        <v>15</v>
      </c>
      <c r="AC9" s="92">
        <f t="shared" si="10"/>
        <v>4.8</v>
      </c>
      <c r="AD9" s="92">
        <f t="shared" si="10"/>
        <v>5.0000000000000001E-3</v>
      </c>
      <c r="AE9" s="92">
        <f t="shared" si="10"/>
        <v>15.5</v>
      </c>
      <c r="AF9" s="92">
        <f t="shared" si="11"/>
        <v>5.5500000000000007</v>
      </c>
      <c r="AG9" s="92">
        <f t="shared" si="11"/>
        <v>5.4999999999999997E-3</v>
      </c>
      <c r="AH9" s="92">
        <f t="shared" si="11"/>
        <v>18.599999999999998</v>
      </c>
      <c r="AI9" s="92">
        <f t="shared" si="11"/>
        <v>13.5</v>
      </c>
      <c r="AJ9" s="92">
        <f t="shared" si="11"/>
        <v>1.4E-2</v>
      </c>
      <c r="AK9" s="92">
        <f t="shared" si="11"/>
        <v>44.9</v>
      </c>
      <c r="AL9" s="92">
        <f t="shared" si="11"/>
        <v>7.4</v>
      </c>
      <c r="AM9" s="92">
        <f t="shared" si="11"/>
        <v>8.0000000000000002E-3</v>
      </c>
      <c r="AN9" s="92">
        <f t="shared" si="11"/>
        <v>25.1</v>
      </c>
      <c r="AO9" s="92">
        <f t="shared" si="11"/>
        <v>13.2</v>
      </c>
      <c r="AP9" s="92">
        <f t="shared" si="11"/>
        <v>1.4E-2</v>
      </c>
      <c r="AQ9" s="92">
        <f t="shared" si="11"/>
        <v>23.4</v>
      </c>
      <c r="AR9" s="92">
        <v>1934</v>
      </c>
      <c r="AS9" s="92">
        <v>6.0999999999999999E-2</v>
      </c>
      <c r="AT9" s="92">
        <f t="shared" si="12"/>
        <v>0.99099999999999999</v>
      </c>
      <c r="AU9" s="68" t="s">
        <v>299</v>
      </c>
      <c r="AV9" s="309">
        <f t="shared" si="5"/>
        <v>0.06</v>
      </c>
      <c r="AW9" s="309">
        <f t="shared" si="6"/>
        <v>0.94</v>
      </c>
      <c r="AX9" s="92">
        <f t="shared" si="7"/>
        <v>332</v>
      </c>
      <c r="AY9" s="92">
        <f t="shared" si="7"/>
        <v>26</v>
      </c>
      <c r="BA9" s="20" t="s">
        <v>207</v>
      </c>
      <c r="BB9" s="20">
        <v>6</v>
      </c>
      <c r="BN9" t="s">
        <v>530</v>
      </c>
      <c r="BO9" t="s">
        <v>532</v>
      </c>
    </row>
    <row r="10" spans="1:68" ht="12.75" customHeight="1">
      <c r="A10" s="130" t="s">
        <v>98</v>
      </c>
      <c r="B10" s="92">
        <v>2</v>
      </c>
      <c r="C10" s="92">
        <v>85</v>
      </c>
      <c r="D10" s="92">
        <v>73</v>
      </c>
      <c r="E10" s="92">
        <v>6747</v>
      </c>
      <c r="F10" s="92">
        <v>5</v>
      </c>
      <c r="G10" s="92" t="s">
        <v>161</v>
      </c>
      <c r="H10" s="92">
        <f t="shared" si="8"/>
        <v>219</v>
      </c>
      <c r="I10" s="92">
        <f t="shared" si="8"/>
        <v>471</v>
      </c>
      <c r="J10" s="92">
        <f t="shared" si="8"/>
        <v>54.3</v>
      </c>
      <c r="K10" s="92">
        <v>507</v>
      </c>
      <c r="L10" s="92">
        <f t="shared" si="9"/>
        <v>0.113</v>
      </c>
      <c r="M10" s="92">
        <f t="shared" si="9"/>
        <v>7.1999999999999995E-2</v>
      </c>
      <c r="N10" s="92">
        <f t="shared" si="9"/>
        <v>-2.5999999999999999E-2</v>
      </c>
      <c r="O10" s="92">
        <f t="shared" si="9"/>
        <v>0</v>
      </c>
      <c r="P10" s="92">
        <f t="shared" si="9"/>
        <v>9.9</v>
      </c>
      <c r="Q10" s="92">
        <f t="shared" si="9"/>
        <v>20</v>
      </c>
      <c r="R10" s="92">
        <f t="shared" si="9"/>
        <v>19</v>
      </c>
      <c r="S10" s="92">
        <f t="shared" si="9"/>
        <v>7.9000000000000001E-2</v>
      </c>
      <c r="T10" s="92">
        <f t="shared" si="9"/>
        <v>3.1</v>
      </c>
      <c r="U10" s="92">
        <f t="shared" si="9"/>
        <v>1.8E-3</v>
      </c>
      <c r="V10" s="92">
        <f t="shared" si="10"/>
        <v>38.6</v>
      </c>
      <c r="W10" s="92">
        <f t="shared" si="10"/>
        <v>3.1</v>
      </c>
      <c r="X10" s="92">
        <f t="shared" si="10"/>
        <v>1.7999999999999999E-2</v>
      </c>
      <c r="Y10" s="92">
        <f t="shared" si="10"/>
        <v>38.6</v>
      </c>
      <c r="Z10" s="92">
        <f t="shared" si="10"/>
        <v>0.7</v>
      </c>
      <c r="AA10" s="92">
        <f t="shared" si="10"/>
        <v>0</v>
      </c>
      <c r="AB10" s="92">
        <f t="shared" si="10"/>
        <v>13.9</v>
      </c>
      <c r="AC10" s="92">
        <f t="shared" si="10"/>
        <v>3</v>
      </c>
      <c r="AD10" s="92">
        <f t="shared" si="10"/>
        <v>3.0000000000000001E-3</v>
      </c>
      <c r="AE10" s="92">
        <f t="shared" si="10"/>
        <v>16.5</v>
      </c>
      <c r="AF10" s="92">
        <f t="shared" si="11"/>
        <v>3.45</v>
      </c>
      <c r="AG10" s="92">
        <f t="shared" si="11"/>
        <v>1.5E-3</v>
      </c>
      <c r="AH10" s="92">
        <f t="shared" si="11"/>
        <v>19.7</v>
      </c>
      <c r="AI10" s="92">
        <f t="shared" si="11"/>
        <v>8.5</v>
      </c>
      <c r="AJ10" s="92">
        <f t="shared" si="11"/>
        <v>5.0000000000000001E-3</v>
      </c>
      <c r="AK10" s="92">
        <f t="shared" si="11"/>
        <v>47.7</v>
      </c>
      <c r="AL10" s="92">
        <f t="shared" si="11"/>
        <v>4.6500000000000004</v>
      </c>
      <c r="AM10" s="92">
        <f t="shared" si="11"/>
        <v>4.0000000000000001E-3</v>
      </c>
      <c r="AN10" s="92">
        <f t="shared" si="11"/>
        <v>26.5</v>
      </c>
      <c r="AO10" s="92">
        <f t="shared" si="11"/>
        <v>11.2</v>
      </c>
      <c r="AP10" s="92">
        <f t="shared" si="11"/>
        <v>6.0000000000000001E-3</v>
      </c>
      <c r="AQ10" s="92">
        <f t="shared" si="11"/>
        <v>24</v>
      </c>
      <c r="AR10" s="92">
        <v>1934</v>
      </c>
      <c r="AS10" s="92">
        <v>6.0999999999999999E-2</v>
      </c>
      <c r="AT10" s="92">
        <f t="shared" si="12"/>
        <v>1.036</v>
      </c>
      <c r="AU10" s="68" t="s">
        <v>298</v>
      </c>
      <c r="AV10" s="309">
        <f t="shared" si="5"/>
        <v>0.06</v>
      </c>
      <c r="AW10" s="309">
        <f t="shared" si="6"/>
        <v>0.94</v>
      </c>
      <c r="AX10" s="92">
        <f t="shared" si="7"/>
        <v>315</v>
      </c>
      <c r="AY10" s="92">
        <f t="shared" si="7"/>
        <v>25</v>
      </c>
      <c r="BN10" t="s">
        <v>262</v>
      </c>
      <c r="BO10" t="s">
        <v>262</v>
      </c>
    </row>
    <row r="11" spans="1:68" ht="12.75" customHeight="1">
      <c r="A11" s="130" t="s">
        <v>99</v>
      </c>
      <c r="B11" s="92">
        <v>-2</v>
      </c>
      <c r="C11" s="92">
        <v>87</v>
      </c>
      <c r="D11" s="92">
        <v>71</v>
      </c>
      <c r="E11" s="92">
        <v>6845</v>
      </c>
      <c r="F11" s="92">
        <v>5</v>
      </c>
      <c r="G11" s="92">
        <v>15</v>
      </c>
      <c r="H11" s="92">
        <f t="shared" si="8"/>
        <v>171</v>
      </c>
      <c r="I11" s="92">
        <f t="shared" si="8"/>
        <v>484</v>
      </c>
      <c r="J11" s="92">
        <f t="shared" si="8"/>
        <v>52.3</v>
      </c>
      <c r="K11" s="92">
        <v>507</v>
      </c>
      <c r="L11" s="92">
        <f t="shared" si="9"/>
        <v>7.2999999999999995E-2</v>
      </c>
      <c r="M11" s="92">
        <f t="shared" si="9"/>
        <v>6.8000000000000005E-2</v>
      </c>
      <c r="N11" s="92">
        <f t="shared" si="9"/>
        <v>-2.7E-2</v>
      </c>
      <c r="O11" s="92">
        <f t="shared" si="9"/>
        <v>0</v>
      </c>
      <c r="P11" s="92">
        <f t="shared" si="9"/>
        <v>9.6</v>
      </c>
      <c r="Q11" s="92">
        <f t="shared" si="9"/>
        <v>11</v>
      </c>
      <c r="R11" s="92">
        <f t="shared" si="9"/>
        <v>17</v>
      </c>
      <c r="S11" s="92">
        <f t="shared" si="9"/>
        <v>8.5000000000000006E-2</v>
      </c>
      <c r="T11" s="92">
        <f t="shared" si="9"/>
        <v>6</v>
      </c>
      <c r="U11" s="92">
        <f t="shared" si="9"/>
        <v>2.5999999999999999E-2</v>
      </c>
      <c r="V11" s="92">
        <f t="shared" si="10"/>
        <v>42.7</v>
      </c>
      <c r="W11" s="92">
        <f t="shared" si="10"/>
        <v>6</v>
      </c>
      <c r="X11" s="92">
        <f t="shared" si="10"/>
        <v>2.5999999999999999E-2</v>
      </c>
      <c r="Y11" s="92">
        <f t="shared" si="10"/>
        <v>42.7</v>
      </c>
      <c r="Z11" s="92">
        <f t="shared" si="10"/>
        <v>1.8</v>
      </c>
      <c r="AA11" s="92">
        <f t="shared" si="10"/>
        <v>8.9999999999999993E-3</v>
      </c>
      <c r="AB11" s="92">
        <f t="shared" si="10"/>
        <v>14.9</v>
      </c>
      <c r="AC11" s="92">
        <f t="shared" si="10"/>
        <v>2.8</v>
      </c>
      <c r="AD11" s="92">
        <f t="shared" si="10"/>
        <v>0</v>
      </c>
      <c r="AE11" s="92">
        <f t="shared" si="10"/>
        <v>17.2</v>
      </c>
      <c r="AF11" s="92">
        <f t="shared" si="11"/>
        <v>3.1</v>
      </c>
      <c r="AG11" s="92">
        <f t="shared" si="11"/>
        <v>1.5E-3</v>
      </c>
      <c r="AH11" s="92">
        <f t="shared" si="11"/>
        <v>20.650000000000002</v>
      </c>
      <c r="AI11" s="92">
        <f t="shared" si="11"/>
        <v>7.7</v>
      </c>
      <c r="AJ11" s="92">
        <f t="shared" si="11"/>
        <v>3.0000000000000001E-3</v>
      </c>
      <c r="AK11" s="92">
        <f t="shared" si="11"/>
        <v>49.9</v>
      </c>
      <c r="AL11" s="92">
        <f t="shared" si="11"/>
        <v>4.1500000000000004</v>
      </c>
      <c r="AM11" s="92">
        <f t="shared" si="11"/>
        <v>4.0000000000000001E-3</v>
      </c>
      <c r="AN11" s="92">
        <f t="shared" si="11"/>
        <v>27.85</v>
      </c>
      <c r="AO11" s="92">
        <f t="shared" si="11"/>
        <v>13.6</v>
      </c>
      <c r="AP11" s="92">
        <f t="shared" si="11"/>
        <v>6.0000000000000001E-3</v>
      </c>
      <c r="AQ11" s="92">
        <f t="shared" si="11"/>
        <v>24.2</v>
      </c>
      <c r="AR11" s="92">
        <v>1934</v>
      </c>
      <c r="AS11" s="92">
        <v>6.0999999999999999E-2</v>
      </c>
      <c r="AT11" s="92">
        <f t="shared" si="12"/>
        <v>1.008</v>
      </c>
      <c r="AU11" s="68" t="s">
        <v>297</v>
      </c>
      <c r="AV11" s="309">
        <f t="shared" si="5"/>
        <v>0.06</v>
      </c>
      <c r="AW11" s="309">
        <f t="shared" si="6"/>
        <v>0.94</v>
      </c>
      <c r="AX11" s="92">
        <f t="shared" si="7"/>
        <v>223</v>
      </c>
      <c r="AY11" s="92">
        <f t="shared" si="7"/>
        <v>28</v>
      </c>
    </row>
    <row r="12" spans="1:68" ht="12.75" customHeight="1">
      <c r="A12" s="130" t="s">
        <v>100</v>
      </c>
      <c r="B12" s="92">
        <v>-2</v>
      </c>
      <c r="C12" s="92">
        <v>82</v>
      </c>
      <c r="D12" s="92">
        <v>69</v>
      </c>
      <c r="E12" s="92">
        <v>7273</v>
      </c>
      <c r="F12" s="92">
        <v>6</v>
      </c>
      <c r="G12" s="92">
        <v>15</v>
      </c>
      <c r="H12" s="92">
        <f t="shared" si="8"/>
        <v>171</v>
      </c>
      <c r="I12" s="92">
        <f t="shared" si="8"/>
        <v>484</v>
      </c>
      <c r="J12" s="92">
        <f t="shared" si="8"/>
        <v>52.3</v>
      </c>
      <c r="K12" s="92">
        <v>438</v>
      </c>
      <c r="L12" s="92">
        <f t="shared" si="9"/>
        <v>7.2999999999999995E-2</v>
      </c>
      <c r="M12" s="92">
        <f t="shared" si="9"/>
        <v>6.8000000000000005E-2</v>
      </c>
      <c r="N12" s="92">
        <f t="shared" si="9"/>
        <v>-2.7E-2</v>
      </c>
      <c r="O12" s="92">
        <f t="shared" si="9"/>
        <v>0</v>
      </c>
      <c r="P12" s="92">
        <f t="shared" si="9"/>
        <v>9.6</v>
      </c>
      <c r="Q12" s="92">
        <f t="shared" si="9"/>
        <v>11</v>
      </c>
      <c r="R12" s="92">
        <f t="shared" si="9"/>
        <v>17</v>
      </c>
      <c r="S12" s="92">
        <f t="shared" si="9"/>
        <v>8.5000000000000006E-2</v>
      </c>
      <c r="T12" s="92">
        <f t="shared" si="9"/>
        <v>6</v>
      </c>
      <c r="U12" s="92">
        <f t="shared" si="9"/>
        <v>2.5999999999999999E-2</v>
      </c>
      <c r="V12" s="92">
        <f t="shared" si="10"/>
        <v>42.7</v>
      </c>
      <c r="W12" s="92">
        <f t="shared" si="10"/>
        <v>6</v>
      </c>
      <c r="X12" s="92">
        <f t="shared" si="10"/>
        <v>2.5999999999999999E-2</v>
      </c>
      <c r="Y12" s="92">
        <f t="shared" si="10"/>
        <v>42.7</v>
      </c>
      <c r="Z12" s="92">
        <f t="shared" si="10"/>
        <v>1.8</v>
      </c>
      <c r="AA12" s="92">
        <f t="shared" si="10"/>
        <v>8.9999999999999993E-3</v>
      </c>
      <c r="AB12" s="92">
        <f t="shared" si="10"/>
        <v>14.9</v>
      </c>
      <c r="AC12" s="92">
        <f t="shared" si="10"/>
        <v>2.8</v>
      </c>
      <c r="AD12" s="92">
        <f t="shared" si="10"/>
        <v>0</v>
      </c>
      <c r="AE12" s="92">
        <f t="shared" si="10"/>
        <v>17.2</v>
      </c>
      <c r="AF12" s="92">
        <f t="shared" si="11"/>
        <v>3.1</v>
      </c>
      <c r="AG12" s="92">
        <f t="shared" si="11"/>
        <v>1.5E-3</v>
      </c>
      <c r="AH12" s="92">
        <f t="shared" si="11"/>
        <v>20.650000000000002</v>
      </c>
      <c r="AI12" s="92">
        <f t="shared" si="11"/>
        <v>7.7</v>
      </c>
      <c r="AJ12" s="92">
        <f t="shared" si="11"/>
        <v>3.0000000000000001E-3</v>
      </c>
      <c r="AK12" s="92">
        <f t="shared" si="11"/>
        <v>49.9</v>
      </c>
      <c r="AL12" s="92">
        <f t="shared" si="11"/>
        <v>4.1500000000000004</v>
      </c>
      <c r="AM12" s="92">
        <f t="shared" si="11"/>
        <v>4.0000000000000001E-3</v>
      </c>
      <c r="AN12" s="92">
        <f t="shared" si="11"/>
        <v>27.85</v>
      </c>
      <c r="AO12" s="92">
        <f t="shared" si="11"/>
        <v>13.6</v>
      </c>
      <c r="AP12" s="92">
        <f t="shared" si="11"/>
        <v>6.0000000000000001E-3</v>
      </c>
      <c r="AQ12" s="92">
        <f t="shared" si="11"/>
        <v>24.2</v>
      </c>
      <c r="AR12" s="92">
        <v>1934</v>
      </c>
      <c r="AS12" s="92">
        <v>6.0999999999999999E-2</v>
      </c>
      <c r="AT12" s="92">
        <f t="shared" si="12"/>
        <v>1.008</v>
      </c>
      <c r="AU12" s="68" t="s">
        <v>297</v>
      </c>
      <c r="AV12" s="309">
        <f t="shared" si="5"/>
        <v>0.03</v>
      </c>
      <c r="AW12" s="309">
        <f t="shared" si="6"/>
        <v>0.97</v>
      </c>
      <c r="AX12" s="92">
        <f t="shared" si="7"/>
        <v>223</v>
      </c>
      <c r="AY12" s="92">
        <f t="shared" si="7"/>
        <v>28</v>
      </c>
    </row>
    <row r="13" spans="1:68" ht="12.75" customHeight="1">
      <c r="A13" s="130" t="s">
        <v>101</v>
      </c>
      <c r="B13" s="92">
        <v>-9</v>
      </c>
      <c r="C13" s="92">
        <v>83</v>
      </c>
      <c r="D13" s="92">
        <v>69</v>
      </c>
      <c r="E13" s="92">
        <v>7837</v>
      </c>
      <c r="F13" s="92">
        <v>6</v>
      </c>
      <c r="G13" s="92">
        <v>15</v>
      </c>
      <c r="H13" s="92">
        <f t="shared" si="8"/>
        <v>187</v>
      </c>
      <c r="I13" s="92">
        <f t="shared" si="8"/>
        <v>552</v>
      </c>
      <c r="J13" s="92">
        <f t="shared" si="8"/>
        <v>49.5</v>
      </c>
      <c r="K13" s="92">
        <v>438</v>
      </c>
      <c r="L13" s="92">
        <f t="shared" si="9"/>
        <v>9.4E-2</v>
      </c>
      <c r="M13" s="92">
        <f t="shared" si="9"/>
        <v>7.2999999999999995E-2</v>
      </c>
      <c r="N13" s="92">
        <f t="shared" si="9"/>
        <v>-2.5999999999999999E-2</v>
      </c>
      <c r="O13" s="92">
        <f t="shared" si="9"/>
        <v>0</v>
      </c>
      <c r="P13" s="92">
        <f t="shared" si="9"/>
        <v>9.3000000000000007</v>
      </c>
      <c r="Q13" s="92">
        <f t="shared" si="9"/>
        <v>20</v>
      </c>
      <c r="R13" s="92">
        <f t="shared" si="9"/>
        <v>17</v>
      </c>
      <c r="S13" s="92">
        <f t="shared" si="9"/>
        <v>9.8000000000000004E-2</v>
      </c>
      <c r="T13" s="92">
        <f t="shared" si="9"/>
        <v>5.0999999999999996</v>
      </c>
      <c r="U13" s="92">
        <f t="shared" si="9"/>
        <v>1.7999999999999999E-2</v>
      </c>
      <c r="V13" s="92">
        <f t="shared" si="10"/>
        <v>45.1</v>
      </c>
      <c r="W13" s="92">
        <f t="shared" si="10"/>
        <v>5.0999999999999996</v>
      </c>
      <c r="X13" s="92">
        <f t="shared" si="10"/>
        <v>1.7999999999999999E-2</v>
      </c>
      <c r="Y13" s="92">
        <f t="shared" si="10"/>
        <v>45.1</v>
      </c>
      <c r="Z13" s="92">
        <f t="shared" si="10"/>
        <v>1.5</v>
      </c>
      <c r="AA13" s="92">
        <f t="shared" si="10"/>
        <v>8.9999999999999993E-3</v>
      </c>
      <c r="AB13" s="92">
        <f t="shared" si="10"/>
        <v>16</v>
      </c>
      <c r="AC13" s="92">
        <f t="shared" si="10"/>
        <v>5.3</v>
      </c>
      <c r="AD13" s="92">
        <f t="shared" si="10"/>
        <v>8.0000000000000002E-3</v>
      </c>
      <c r="AE13" s="92">
        <f t="shared" si="10"/>
        <v>19</v>
      </c>
      <c r="AF13" s="92">
        <f t="shared" si="11"/>
        <v>6.25</v>
      </c>
      <c r="AG13" s="92">
        <f t="shared" si="11"/>
        <v>7.0000000000000001E-3</v>
      </c>
      <c r="AH13" s="92">
        <f t="shared" si="11"/>
        <v>22.349999999999998</v>
      </c>
      <c r="AI13" s="92">
        <f t="shared" si="11"/>
        <v>15.2</v>
      </c>
      <c r="AJ13" s="92">
        <f t="shared" si="11"/>
        <v>1.9E-2</v>
      </c>
      <c r="AK13" s="92">
        <f t="shared" si="11"/>
        <v>54.3</v>
      </c>
      <c r="AL13" s="92">
        <f t="shared" si="11"/>
        <v>8.4499999999999993</v>
      </c>
      <c r="AM13" s="92">
        <f t="shared" si="11"/>
        <v>9.4999999999999998E-3</v>
      </c>
      <c r="AN13" s="92">
        <f t="shared" si="11"/>
        <v>30.299999999999997</v>
      </c>
      <c r="AO13" s="92">
        <f t="shared" si="11"/>
        <v>11.4</v>
      </c>
      <c r="AP13" s="92">
        <f t="shared" si="11"/>
        <v>6.0000000000000001E-3</v>
      </c>
      <c r="AQ13" s="92">
        <f t="shared" si="11"/>
        <v>25.8</v>
      </c>
      <c r="AR13" s="92">
        <v>1934</v>
      </c>
      <c r="AS13" s="92">
        <v>6.0999999999999999E-2</v>
      </c>
      <c r="AT13" s="92">
        <f t="shared" si="12"/>
        <v>0.94899999999999995</v>
      </c>
      <c r="AU13" s="68" t="s">
        <v>300</v>
      </c>
      <c r="AV13" s="309">
        <f t="shared" si="5"/>
        <v>0.03</v>
      </c>
      <c r="AW13" s="309">
        <f t="shared" si="6"/>
        <v>0.97</v>
      </c>
      <c r="AX13" s="92">
        <f t="shared" si="7"/>
        <v>229</v>
      </c>
      <c r="AY13" s="92">
        <f t="shared" si="7"/>
        <v>20</v>
      </c>
    </row>
    <row r="14" spans="1:68" ht="12.75" customHeight="1">
      <c r="A14" s="130" t="s">
        <v>102</v>
      </c>
      <c r="B14" s="92">
        <v>-7</v>
      </c>
      <c r="C14" s="92">
        <v>86</v>
      </c>
      <c r="D14" s="92">
        <v>70</v>
      </c>
      <c r="E14" s="92">
        <v>6894</v>
      </c>
      <c r="F14" s="92">
        <v>5</v>
      </c>
      <c r="G14" s="92" t="s">
        <v>161</v>
      </c>
      <c r="H14" s="92">
        <f t="shared" si="8"/>
        <v>224</v>
      </c>
      <c r="I14" s="92">
        <f t="shared" si="8"/>
        <v>363</v>
      </c>
      <c r="J14" s="92">
        <f t="shared" si="8"/>
        <v>54.3</v>
      </c>
      <c r="K14" s="92">
        <v>507</v>
      </c>
      <c r="L14" s="92">
        <f t="shared" si="9"/>
        <v>0.113</v>
      </c>
      <c r="M14" s="92">
        <f t="shared" si="9"/>
        <v>0.08</v>
      </c>
      <c r="N14" s="92">
        <f t="shared" si="9"/>
        <v>-2.5000000000000001E-2</v>
      </c>
      <c r="O14" s="92">
        <f t="shared" si="9"/>
        <v>0</v>
      </c>
      <c r="P14" s="92">
        <f t="shared" si="9"/>
        <v>9.6999999999999993</v>
      </c>
      <c r="Q14" s="92">
        <f t="shared" si="9"/>
        <v>22</v>
      </c>
      <c r="R14" s="92">
        <f t="shared" si="9"/>
        <v>16</v>
      </c>
      <c r="S14" s="92">
        <f t="shared" si="9"/>
        <v>9.9000000000000005E-2</v>
      </c>
      <c r="T14" s="92">
        <f t="shared" si="9"/>
        <v>6.3</v>
      </c>
      <c r="U14" s="92">
        <f t="shared" si="9"/>
        <v>1.7999999999999999E-2</v>
      </c>
      <c r="V14" s="92">
        <f t="shared" si="10"/>
        <v>39.200000000000003</v>
      </c>
      <c r="W14" s="92">
        <f t="shared" si="10"/>
        <v>6.3</v>
      </c>
      <c r="X14" s="92">
        <f t="shared" si="10"/>
        <v>1.7999999999999999E-2</v>
      </c>
      <c r="Y14" s="92">
        <f t="shared" si="10"/>
        <v>39.200000000000003</v>
      </c>
      <c r="Z14" s="92">
        <f t="shared" si="10"/>
        <v>1.8</v>
      </c>
      <c r="AA14" s="92">
        <f t="shared" si="10"/>
        <v>1.7999999999999999E-2</v>
      </c>
      <c r="AB14" s="92">
        <f t="shared" si="10"/>
        <v>14.1</v>
      </c>
      <c r="AC14" s="92">
        <f t="shared" si="10"/>
        <v>4.3</v>
      </c>
      <c r="AD14" s="92">
        <f t="shared" si="10"/>
        <v>5.0000000000000001E-3</v>
      </c>
      <c r="AE14" s="92">
        <f t="shared" si="10"/>
        <v>15.7</v>
      </c>
      <c r="AF14" s="92">
        <f t="shared" si="11"/>
        <v>5</v>
      </c>
      <c r="AG14" s="92">
        <f t="shared" si="11"/>
        <v>4.0000000000000001E-3</v>
      </c>
      <c r="AH14" s="92">
        <f t="shared" si="11"/>
        <v>19</v>
      </c>
      <c r="AI14" s="92">
        <f t="shared" si="11"/>
        <v>12.2</v>
      </c>
      <c r="AJ14" s="92">
        <f t="shared" si="11"/>
        <v>1.0999999999999999E-2</v>
      </c>
      <c r="AK14" s="92">
        <f t="shared" si="11"/>
        <v>45.6</v>
      </c>
      <c r="AL14" s="92">
        <f t="shared" si="11"/>
        <v>6.6999999999999993</v>
      </c>
      <c r="AM14" s="92">
        <f t="shared" si="11"/>
        <v>6.5000000000000002E-2</v>
      </c>
      <c r="AN14" s="92">
        <f t="shared" si="11"/>
        <v>25.6</v>
      </c>
      <c r="AO14" s="92">
        <f t="shared" si="11"/>
        <v>12.8</v>
      </c>
      <c r="AP14" s="92">
        <f t="shared" si="11"/>
        <v>6.0000000000000001E-3</v>
      </c>
      <c r="AQ14" s="92">
        <f t="shared" si="11"/>
        <v>22.6</v>
      </c>
      <c r="AR14" s="92">
        <v>1934</v>
      </c>
      <c r="AS14" s="92">
        <v>6.0999999999999999E-2</v>
      </c>
      <c r="AT14" s="92">
        <f t="shared" si="12"/>
        <v>1</v>
      </c>
      <c r="AU14" s="68" t="s">
        <v>296</v>
      </c>
      <c r="AV14" s="309">
        <f t="shared" si="5"/>
        <v>0.06</v>
      </c>
      <c r="AW14" s="309">
        <f t="shared" si="6"/>
        <v>0.94</v>
      </c>
      <c r="AX14" s="92">
        <f t="shared" si="7"/>
        <v>346</v>
      </c>
      <c r="AY14" s="92">
        <f t="shared" si="7"/>
        <v>26</v>
      </c>
      <c r="BA14" s="21" t="s">
        <v>273</v>
      </c>
    </row>
    <row r="15" spans="1:68" ht="12.75" customHeight="1">
      <c r="A15" s="130" t="s">
        <v>103</v>
      </c>
      <c r="B15" s="92">
        <v>-2</v>
      </c>
      <c r="C15" s="92">
        <v>82</v>
      </c>
      <c r="D15" s="92">
        <v>69</v>
      </c>
      <c r="E15" s="92">
        <v>7273</v>
      </c>
      <c r="F15" s="92">
        <v>5</v>
      </c>
      <c r="G15" s="92">
        <v>15</v>
      </c>
      <c r="H15" s="92">
        <f t="shared" si="8"/>
        <v>171</v>
      </c>
      <c r="I15" s="92">
        <f t="shared" si="8"/>
        <v>484</v>
      </c>
      <c r="J15" s="92">
        <f t="shared" si="8"/>
        <v>52.3</v>
      </c>
      <c r="K15" s="92">
        <v>507</v>
      </c>
      <c r="L15" s="92">
        <f t="shared" si="9"/>
        <v>7.2999999999999995E-2</v>
      </c>
      <c r="M15" s="92">
        <f t="shared" si="9"/>
        <v>6.8000000000000005E-2</v>
      </c>
      <c r="N15" s="92">
        <f t="shared" si="9"/>
        <v>-2.7E-2</v>
      </c>
      <c r="O15" s="92">
        <f t="shared" si="9"/>
        <v>0</v>
      </c>
      <c r="P15" s="92">
        <f t="shared" si="9"/>
        <v>9.6</v>
      </c>
      <c r="Q15" s="92">
        <f t="shared" si="9"/>
        <v>11</v>
      </c>
      <c r="R15" s="92">
        <f t="shared" si="9"/>
        <v>17</v>
      </c>
      <c r="S15" s="92">
        <f t="shared" si="9"/>
        <v>8.5000000000000006E-2</v>
      </c>
      <c r="T15" s="92">
        <f t="shared" si="9"/>
        <v>6</v>
      </c>
      <c r="U15" s="92">
        <f t="shared" si="9"/>
        <v>2.5999999999999999E-2</v>
      </c>
      <c r="V15" s="92">
        <f t="shared" si="10"/>
        <v>42.7</v>
      </c>
      <c r="W15" s="92">
        <f t="shared" si="10"/>
        <v>6</v>
      </c>
      <c r="X15" s="92">
        <f t="shared" si="10"/>
        <v>2.5999999999999999E-2</v>
      </c>
      <c r="Y15" s="92">
        <f t="shared" si="10"/>
        <v>42.7</v>
      </c>
      <c r="Z15" s="92">
        <f t="shared" si="10"/>
        <v>1.8</v>
      </c>
      <c r="AA15" s="92">
        <f t="shared" si="10"/>
        <v>8.9999999999999993E-3</v>
      </c>
      <c r="AB15" s="92">
        <f t="shared" si="10"/>
        <v>14.9</v>
      </c>
      <c r="AC15" s="92">
        <f t="shared" si="10"/>
        <v>2.8</v>
      </c>
      <c r="AD15" s="92">
        <f t="shared" si="10"/>
        <v>0</v>
      </c>
      <c r="AE15" s="92">
        <f t="shared" si="10"/>
        <v>17.2</v>
      </c>
      <c r="AF15" s="92">
        <f t="shared" si="11"/>
        <v>3.1</v>
      </c>
      <c r="AG15" s="92">
        <f t="shared" si="11"/>
        <v>1.5E-3</v>
      </c>
      <c r="AH15" s="92">
        <f t="shared" si="11"/>
        <v>20.650000000000002</v>
      </c>
      <c r="AI15" s="92">
        <f t="shared" si="11"/>
        <v>7.7</v>
      </c>
      <c r="AJ15" s="92">
        <f t="shared" si="11"/>
        <v>3.0000000000000001E-3</v>
      </c>
      <c r="AK15" s="92">
        <f t="shared" si="11"/>
        <v>49.9</v>
      </c>
      <c r="AL15" s="92">
        <f t="shared" si="11"/>
        <v>4.1500000000000004</v>
      </c>
      <c r="AM15" s="92">
        <f t="shared" si="11"/>
        <v>4.0000000000000001E-3</v>
      </c>
      <c r="AN15" s="92">
        <f t="shared" si="11"/>
        <v>27.85</v>
      </c>
      <c r="AO15" s="92">
        <f t="shared" si="11"/>
        <v>13.6</v>
      </c>
      <c r="AP15" s="92">
        <f t="shared" si="11"/>
        <v>6.0000000000000001E-3</v>
      </c>
      <c r="AQ15" s="92">
        <f t="shared" si="11"/>
        <v>24.2</v>
      </c>
      <c r="AR15" s="92">
        <v>1934</v>
      </c>
      <c r="AS15" s="92">
        <v>6.0999999999999999E-2</v>
      </c>
      <c r="AT15" s="92">
        <f t="shared" si="12"/>
        <v>1.008</v>
      </c>
      <c r="AU15" s="68" t="s">
        <v>297</v>
      </c>
      <c r="AV15" s="309">
        <f t="shared" si="5"/>
        <v>0.06</v>
      </c>
      <c r="AW15" s="309">
        <f t="shared" si="6"/>
        <v>0.94</v>
      </c>
      <c r="AX15" s="92">
        <f t="shared" si="7"/>
        <v>223</v>
      </c>
      <c r="AY15" s="92">
        <f t="shared" si="7"/>
        <v>28</v>
      </c>
      <c r="BA15" s="21" t="s">
        <v>272</v>
      </c>
    </row>
    <row r="16" spans="1:68" ht="12.75" customHeight="1">
      <c r="A16" s="130" t="s">
        <v>104</v>
      </c>
      <c r="B16" s="92">
        <v>-5</v>
      </c>
      <c r="C16" s="92">
        <v>86</v>
      </c>
      <c r="D16" s="92">
        <v>70</v>
      </c>
      <c r="E16" s="92">
        <v>7244</v>
      </c>
      <c r="F16" s="92">
        <v>6</v>
      </c>
      <c r="G16" s="92">
        <v>15</v>
      </c>
      <c r="H16" s="92">
        <f t="shared" si="8"/>
        <v>171</v>
      </c>
      <c r="I16" s="92">
        <f t="shared" si="8"/>
        <v>484</v>
      </c>
      <c r="J16" s="92">
        <f t="shared" si="8"/>
        <v>52.3</v>
      </c>
      <c r="K16" s="92">
        <v>438</v>
      </c>
      <c r="L16" s="92">
        <f t="shared" si="9"/>
        <v>7.2999999999999995E-2</v>
      </c>
      <c r="M16" s="92">
        <f t="shared" si="9"/>
        <v>6.8000000000000005E-2</v>
      </c>
      <c r="N16" s="92">
        <f t="shared" si="9"/>
        <v>-2.7E-2</v>
      </c>
      <c r="O16" s="92">
        <f t="shared" si="9"/>
        <v>0</v>
      </c>
      <c r="P16" s="92">
        <f t="shared" si="9"/>
        <v>9.6</v>
      </c>
      <c r="Q16" s="92">
        <f t="shared" si="9"/>
        <v>11</v>
      </c>
      <c r="R16" s="92">
        <f t="shared" si="9"/>
        <v>17</v>
      </c>
      <c r="S16" s="92">
        <f t="shared" si="9"/>
        <v>8.5000000000000006E-2</v>
      </c>
      <c r="T16" s="92">
        <f t="shared" si="9"/>
        <v>6</v>
      </c>
      <c r="U16" s="92">
        <f t="shared" si="9"/>
        <v>2.5999999999999999E-2</v>
      </c>
      <c r="V16" s="92">
        <f t="shared" si="10"/>
        <v>42.7</v>
      </c>
      <c r="W16" s="92">
        <f t="shared" si="10"/>
        <v>6</v>
      </c>
      <c r="X16" s="92">
        <f t="shared" si="10"/>
        <v>2.5999999999999999E-2</v>
      </c>
      <c r="Y16" s="92">
        <f t="shared" si="10"/>
        <v>42.7</v>
      </c>
      <c r="Z16" s="92">
        <f t="shared" si="10"/>
        <v>1.8</v>
      </c>
      <c r="AA16" s="92">
        <f t="shared" si="10"/>
        <v>8.9999999999999993E-3</v>
      </c>
      <c r="AB16" s="92">
        <f t="shared" si="10"/>
        <v>14.9</v>
      </c>
      <c r="AC16" s="92">
        <f t="shared" si="10"/>
        <v>2.8</v>
      </c>
      <c r="AD16" s="92">
        <f t="shared" si="10"/>
        <v>0</v>
      </c>
      <c r="AE16" s="92">
        <f t="shared" si="10"/>
        <v>17.2</v>
      </c>
      <c r="AF16" s="92">
        <f t="shared" si="11"/>
        <v>3.1</v>
      </c>
      <c r="AG16" s="92">
        <f t="shared" si="11"/>
        <v>1.5E-3</v>
      </c>
      <c r="AH16" s="92">
        <f t="shared" si="11"/>
        <v>20.650000000000002</v>
      </c>
      <c r="AI16" s="92">
        <f t="shared" si="11"/>
        <v>7.7</v>
      </c>
      <c r="AJ16" s="92">
        <f t="shared" si="11"/>
        <v>3.0000000000000001E-3</v>
      </c>
      <c r="AK16" s="92">
        <f t="shared" si="11"/>
        <v>49.9</v>
      </c>
      <c r="AL16" s="92">
        <f t="shared" si="11"/>
        <v>4.1500000000000004</v>
      </c>
      <c r="AM16" s="92">
        <f t="shared" si="11"/>
        <v>4.0000000000000001E-3</v>
      </c>
      <c r="AN16" s="92">
        <f t="shared" si="11"/>
        <v>27.85</v>
      </c>
      <c r="AO16" s="92">
        <f t="shared" si="11"/>
        <v>13.6</v>
      </c>
      <c r="AP16" s="92">
        <f t="shared" si="11"/>
        <v>6.0000000000000001E-3</v>
      </c>
      <c r="AQ16" s="92">
        <f t="shared" si="11"/>
        <v>24.2</v>
      </c>
      <c r="AR16" s="92">
        <v>1934</v>
      </c>
      <c r="AS16" s="92">
        <v>6.0999999999999999E-2</v>
      </c>
      <c r="AT16" s="92">
        <f t="shared" si="12"/>
        <v>1.008</v>
      </c>
      <c r="AU16" s="68" t="s">
        <v>297</v>
      </c>
      <c r="AV16" s="309">
        <f t="shared" si="5"/>
        <v>0.03</v>
      </c>
      <c r="AW16" s="309">
        <f t="shared" si="6"/>
        <v>0.97</v>
      </c>
      <c r="AX16" s="92">
        <f t="shared" si="7"/>
        <v>223</v>
      </c>
      <c r="AY16" s="92">
        <f t="shared" si="7"/>
        <v>28</v>
      </c>
    </row>
    <row r="17" spans="1:51" ht="12.75" customHeight="1">
      <c r="A17" s="129" t="s">
        <v>105</v>
      </c>
      <c r="B17" s="92">
        <v>2</v>
      </c>
      <c r="C17" s="92">
        <v>88</v>
      </c>
      <c r="D17" s="92">
        <v>72</v>
      </c>
      <c r="E17" s="92">
        <v>6391</v>
      </c>
      <c r="F17" s="92">
        <v>5</v>
      </c>
      <c r="G17" s="92" t="s">
        <v>163</v>
      </c>
      <c r="H17" s="92">
        <v>282</v>
      </c>
      <c r="I17" s="92">
        <v>291</v>
      </c>
      <c r="J17" s="92">
        <v>55.8</v>
      </c>
      <c r="K17" s="92">
        <v>507</v>
      </c>
      <c r="L17" s="92">
        <v>0.16800000000000001</v>
      </c>
      <c r="M17" s="92">
        <v>9.1999999999999998E-2</v>
      </c>
      <c r="N17" s="92">
        <v>-2.3E-2</v>
      </c>
      <c r="O17" s="92"/>
      <c r="P17" s="92">
        <v>10.7</v>
      </c>
      <c r="Q17" s="92">
        <v>56</v>
      </c>
      <c r="R17" s="92">
        <v>17</v>
      </c>
      <c r="S17" s="92">
        <v>9.8000000000000004E-2</v>
      </c>
      <c r="T17" s="92">
        <v>-0.3</v>
      </c>
      <c r="U17" s="92">
        <v>1.7999999999999999E-2</v>
      </c>
      <c r="V17" s="92">
        <v>38.700000000000003</v>
      </c>
      <c r="W17" s="92">
        <v>-0.3</v>
      </c>
      <c r="X17" s="92">
        <v>1.7999999999999999E-2</v>
      </c>
      <c r="Y17" s="92">
        <v>38.700000000000003</v>
      </c>
      <c r="Z17" s="92">
        <v>-0.9</v>
      </c>
      <c r="AA17" s="92">
        <v>8.9999999999999993E-3</v>
      </c>
      <c r="AB17" s="92">
        <v>13.4</v>
      </c>
      <c r="AC17" s="92">
        <v>3.6</v>
      </c>
      <c r="AD17" s="92">
        <v>3.0000000000000001E-3</v>
      </c>
      <c r="AE17" s="92">
        <v>13</v>
      </c>
      <c r="AF17" s="92">
        <f>(6.3+1.6)/2</f>
        <v>3.95</v>
      </c>
      <c r="AG17" s="92">
        <v>1.5E-3</v>
      </c>
      <c r="AH17" s="92">
        <f>(25.1+6.7)/2</f>
        <v>15.9</v>
      </c>
      <c r="AI17" s="92">
        <v>9.9</v>
      </c>
      <c r="AJ17" s="92">
        <v>5.0000000000000001E-3</v>
      </c>
      <c r="AK17" s="92">
        <v>38.1</v>
      </c>
      <c r="AL17" s="92">
        <f>(7.6+2.9)/2</f>
        <v>5.25</v>
      </c>
      <c r="AM17" s="92">
        <v>4.0000000000000001E-3</v>
      </c>
      <c r="AN17" s="92">
        <f>(30.3+11.9)/2</f>
        <v>21.1</v>
      </c>
      <c r="AO17" s="92">
        <f>2*5.8</f>
        <v>11.6</v>
      </c>
      <c r="AP17" s="92">
        <f>2*0</f>
        <v>0</v>
      </c>
      <c r="AQ17" s="92">
        <f>2*11.8</f>
        <v>23.6</v>
      </c>
      <c r="AR17" s="92">
        <v>1934</v>
      </c>
      <c r="AS17" s="92">
        <v>6.0999999999999999E-2</v>
      </c>
      <c r="AT17" s="92">
        <v>1.145</v>
      </c>
      <c r="AU17" s="68" t="s">
        <v>301</v>
      </c>
      <c r="AV17" s="309">
        <f t="shared" si="5"/>
        <v>0.06</v>
      </c>
      <c r="AW17" s="309">
        <f t="shared" si="6"/>
        <v>0.94</v>
      </c>
      <c r="AX17" s="92">
        <v>370</v>
      </c>
      <c r="AY17" s="92">
        <v>17</v>
      </c>
    </row>
    <row r="18" spans="1:51" ht="12.75" customHeight="1">
      <c r="A18" s="129" t="s">
        <v>106</v>
      </c>
      <c r="B18" s="92">
        <v>2</v>
      </c>
      <c r="C18" s="92">
        <v>85</v>
      </c>
      <c r="D18" s="92">
        <v>73</v>
      </c>
      <c r="E18" s="92">
        <v>6747</v>
      </c>
      <c r="F18" s="92">
        <v>5</v>
      </c>
      <c r="G18" s="92" t="s">
        <v>161</v>
      </c>
      <c r="H18" s="92">
        <v>219</v>
      </c>
      <c r="I18" s="92">
        <v>471</v>
      </c>
      <c r="J18" s="92">
        <v>54.3</v>
      </c>
      <c r="K18" s="92">
        <v>507</v>
      </c>
      <c r="L18" s="92">
        <v>0.113</v>
      </c>
      <c r="M18" s="92">
        <v>7.1999999999999995E-2</v>
      </c>
      <c r="N18" s="92">
        <v>-2.5999999999999999E-2</v>
      </c>
      <c r="O18" s="92"/>
      <c r="P18" s="92">
        <v>9.9</v>
      </c>
      <c r="Q18" s="92">
        <v>20</v>
      </c>
      <c r="R18" s="92">
        <v>19</v>
      </c>
      <c r="S18" s="92">
        <v>7.9000000000000001E-2</v>
      </c>
      <c r="T18" s="92">
        <v>3.1</v>
      </c>
      <c r="U18" s="92">
        <v>1.8E-3</v>
      </c>
      <c r="V18" s="92">
        <v>38.6</v>
      </c>
      <c r="W18" s="92">
        <v>3.1</v>
      </c>
      <c r="X18" s="92">
        <v>1.7999999999999999E-2</v>
      </c>
      <c r="Y18" s="92">
        <v>38.6</v>
      </c>
      <c r="Z18" s="92">
        <v>0.7</v>
      </c>
      <c r="AA18" s="92">
        <v>0</v>
      </c>
      <c r="AB18" s="92">
        <v>13.9</v>
      </c>
      <c r="AC18" s="92">
        <v>3</v>
      </c>
      <c r="AD18" s="92">
        <v>3.0000000000000001E-3</v>
      </c>
      <c r="AE18" s="92">
        <v>16.5</v>
      </c>
      <c r="AF18" s="92">
        <f>(5.5+1.4)/2</f>
        <v>3.45</v>
      </c>
      <c r="AG18" s="92">
        <v>1.5E-3</v>
      </c>
      <c r="AH18" s="92">
        <f>(31.2+8.2)/2</f>
        <v>19.7</v>
      </c>
      <c r="AI18" s="92">
        <v>8.5</v>
      </c>
      <c r="AJ18" s="92">
        <v>5.0000000000000001E-3</v>
      </c>
      <c r="AK18" s="92">
        <v>47.7</v>
      </c>
      <c r="AL18" s="92">
        <f>(6.7+2.6)/2</f>
        <v>4.6500000000000004</v>
      </c>
      <c r="AM18" s="92">
        <v>4.0000000000000001E-3</v>
      </c>
      <c r="AN18" s="92">
        <f>(15+38)/2</f>
        <v>26.5</v>
      </c>
      <c r="AO18" s="92">
        <f>2*5.6</f>
        <v>11.2</v>
      </c>
      <c r="AP18" s="92">
        <f>2*0.003</f>
        <v>6.0000000000000001E-3</v>
      </c>
      <c r="AQ18" s="92">
        <f>2*12</f>
        <v>24</v>
      </c>
      <c r="AR18" s="92">
        <v>1934</v>
      </c>
      <c r="AS18" s="92">
        <v>6.0999999999999999E-2</v>
      </c>
      <c r="AT18" s="92">
        <v>1.036</v>
      </c>
      <c r="AU18" s="68" t="s">
        <v>298</v>
      </c>
      <c r="AV18" s="309">
        <f t="shared" si="5"/>
        <v>0.06</v>
      </c>
      <c r="AW18" s="309">
        <f t="shared" si="6"/>
        <v>0.94</v>
      </c>
      <c r="AX18" s="92">
        <v>315</v>
      </c>
      <c r="AY18" s="92">
        <v>25</v>
      </c>
    </row>
    <row r="19" spans="1:51" ht="12.75" customHeight="1">
      <c r="A19" s="130" t="s">
        <v>107</v>
      </c>
      <c r="B19" s="92">
        <v>-15</v>
      </c>
      <c r="C19" s="92">
        <v>84</v>
      </c>
      <c r="D19" s="92">
        <v>71</v>
      </c>
      <c r="E19" s="92">
        <v>8255</v>
      </c>
      <c r="F19" s="92">
        <v>6</v>
      </c>
      <c r="G19" s="92">
        <v>16</v>
      </c>
      <c r="H19" s="92">
        <f t="shared" ref="H19:J33" si="13">IF($AU19="Albany",H$4,IF($AU19="Binghamton",H$7,IF($AU19="Buffalo",H$18,IF($AU19="Massena",H$48,IF($AU19="NYC",H$34,IF($AU19="Poughkeepsie",H$17,H$37))))))</f>
        <v>187</v>
      </c>
      <c r="I19" s="92">
        <f t="shared" si="13"/>
        <v>552</v>
      </c>
      <c r="J19" s="92">
        <f t="shared" si="13"/>
        <v>49.5</v>
      </c>
      <c r="K19" s="92">
        <v>438</v>
      </c>
      <c r="L19" s="92">
        <f t="shared" ref="L19:U33" si="14">IF($AU19="Albany",L$4,IF($AU19="Binghamton",L$7,IF($AU19="Buffalo",L$18,IF($AU19="Massena",L$48,IF($AU19="NYC",L$34,IF($AU19="Poughkeepsie",L$17,L$37))))))</f>
        <v>9.4E-2</v>
      </c>
      <c r="M19" s="92">
        <f t="shared" si="14"/>
        <v>7.2999999999999995E-2</v>
      </c>
      <c r="N19" s="92">
        <f t="shared" si="14"/>
        <v>-2.5999999999999999E-2</v>
      </c>
      <c r="O19" s="92">
        <f t="shared" si="14"/>
        <v>0</v>
      </c>
      <c r="P19" s="92">
        <f t="shared" si="14"/>
        <v>9.3000000000000007</v>
      </c>
      <c r="Q19" s="92">
        <f t="shared" si="14"/>
        <v>20</v>
      </c>
      <c r="R19" s="92">
        <f t="shared" si="14"/>
        <v>17</v>
      </c>
      <c r="S19" s="92">
        <f t="shared" si="14"/>
        <v>9.8000000000000004E-2</v>
      </c>
      <c r="T19" s="92">
        <f t="shared" si="14"/>
        <v>5.0999999999999996</v>
      </c>
      <c r="U19" s="92">
        <f t="shared" si="14"/>
        <v>1.7999999999999999E-2</v>
      </c>
      <c r="V19" s="92">
        <f t="shared" ref="V19:AE33" si="15">IF($AU19="Albany",V$4,IF($AU19="Binghamton",V$7,IF($AU19="Buffalo",V$18,IF($AU19="Massena",V$48,IF($AU19="NYC",V$34,IF($AU19="Poughkeepsie",V$17,V$37))))))</f>
        <v>45.1</v>
      </c>
      <c r="W19" s="92">
        <f t="shared" si="15"/>
        <v>5.0999999999999996</v>
      </c>
      <c r="X19" s="92">
        <f t="shared" si="15"/>
        <v>1.7999999999999999E-2</v>
      </c>
      <c r="Y19" s="92">
        <f t="shared" si="15"/>
        <v>45.1</v>
      </c>
      <c r="Z19" s="92">
        <f t="shared" si="15"/>
        <v>1.5</v>
      </c>
      <c r="AA19" s="92">
        <f t="shared" si="15"/>
        <v>8.9999999999999993E-3</v>
      </c>
      <c r="AB19" s="92">
        <f t="shared" si="15"/>
        <v>16</v>
      </c>
      <c r="AC19" s="92">
        <f t="shared" si="15"/>
        <v>5.3</v>
      </c>
      <c r="AD19" s="92">
        <f t="shared" si="15"/>
        <v>8.0000000000000002E-3</v>
      </c>
      <c r="AE19" s="92">
        <f t="shared" si="15"/>
        <v>19</v>
      </c>
      <c r="AF19" s="92">
        <f t="shared" ref="AF19:AQ33" si="16">IF($AU19="Albany",AF$4,IF($AU19="Binghamton",AF$7,IF($AU19="Buffalo",AF$18,IF($AU19="Massena",AF$48,IF($AU19="NYC",AF$34,IF($AU19="Poughkeepsie",AF$17,AF$37))))))</f>
        <v>6.25</v>
      </c>
      <c r="AG19" s="92">
        <f t="shared" si="16"/>
        <v>7.0000000000000001E-3</v>
      </c>
      <c r="AH19" s="92">
        <f t="shared" si="16"/>
        <v>22.349999999999998</v>
      </c>
      <c r="AI19" s="92">
        <f t="shared" si="16"/>
        <v>15.2</v>
      </c>
      <c r="AJ19" s="92">
        <f t="shared" si="16"/>
        <v>1.9E-2</v>
      </c>
      <c r="AK19" s="92">
        <f t="shared" si="16"/>
        <v>54.3</v>
      </c>
      <c r="AL19" s="92">
        <f t="shared" si="16"/>
        <v>8.4499999999999993</v>
      </c>
      <c r="AM19" s="92">
        <f t="shared" si="16"/>
        <v>9.4999999999999998E-3</v>
      </c>
      <c r="AN19" s="92">
        <f t="shared" si="16"/>
        <v>30.299999999999997</v>
      </c>
      <c r="AO19" s="92">
        <f t="shared" si="16"/>
        <v>11.4</v>
      </c>
      <c r="AP19" s="92">
        <f t="shared" si="16"/>
        <v>6.0000000000000001E-3</v>
      </c>
      <c r="AQ19" s="92">
        <f t="shared" si="16"/>
        <v>25.8</v>
      </c>
      <c r="AR19" s="92">
        <v>1934</v>
      </c>
      <c r="AS19" s="92">
        <v>6.0999999999999999E-2</v>
      </c>
      <c r="AT19" s="92">
        <f t="shared" ref="AT19:AT33" si="17">IF($AU19="Albany",AT$4,IF($AU19="Binghamton",AT$7,IF($AU19="Buffalo",AT$18,IF($AU19="Massena",AT$48,IF($AU19="NYC",AT$34,IF($AU19="Poughkeepsie",AT$17,AT$37))))))</f>
        <v>0.94899999999999995</v>
      </c>
      <c r="AU19" s="68" t="s">
        <v>300</v>
      </c>
      <c r="AV19" s="309">
        <f t="shared" si="5"/>
        <v>0.03</v>
      </c>
      <c r="AW19" s="309">
        <f t="shared" si="6"/>
        <v>0.97</v>
      </c>
      <c r="AX19" s="92">
        <f t="shared" si="7"/>
        <v>229</v>
      </c>
      <c r="AY19" s="92">
        <f t="shared" si="7"/>
        <v>20</v>
      </c>
    </row>
    <row r="20" spans="1:51" ht="12.75" customHeight="1">
      <c r="A20" s="130" t="s">
        <v>108</v>
      </c>
      <c r="B20" s="92">
        <v>-15</v>
      </c>
      <c r="C20" s="92">
        <v>84</v>
      </c>
      <c r="D20" s="92">
        <v>71</v>
      </c>
      <c r="E20" s="92">
        <v>8255</v>
      </c>
      <c r="F20" s="92">
        <v>6</v>
      </c>
      <c r="G20" s="92">
        <v>16</v>
      </c>
      <c r="H20" s="92">
        <f t="shared" si="13"/>
        <v>187</v>
      </c>
      <c r="I20" s="92">
        <f t="shared" si="13"/>
        <v>552</v>
      </c>
      <c r="J20" s="92">
        <f t="shared" si="13"/>
        <v>49.5</v>
      </c>
      <c r="K20" s="92">
        <v>438</v>
      </c>
      <c r="L20" s="92">
        <f t="shared" si="14"/>
        <v>9.4E-2</v>
      </c>
      <c r="M20" s="92">
        <f t="shared" si="14"/>
        <v>7.2999999999999995E-2</v>
      </c>
      <c r="N20" s="92">
        <f t="shared" si="14"/>
        <v>-2.5999999999999999E-2</v>
      </c>
      <c r="O20" s="92">
        <f t="shared" si="14"/>
        <v>0</v>
      </c>
      <c r="P20" s="92">
        <f t="shared" si="14"/>
        <v>9.3000000000000007</v>
      </c>
      <c r="Q20" s="92">
        <f t="shared" si="14"/>
        <v>20</v>
      </c>
      <c r="R20" s="92">
        <f t="shared" si="14"/>
        <v>17</v>
      </c>
      <c r="S20" s="92">
        <f t="shared" si="14"/>
        <v>9.8000000000000004E-2</v>
      </c>
      <c r="T20" s="92">
        <f t="shared" si="14"/>
        <v>5.0999999999999996</v>
      </c>
      <c r="U20" s="92">
        <f t="shared" si="14"/>
        <v>1.7999999999999999E-2</v>
      </c>
      <c r="V20" s="92">
        <f t="shared" si="15"/>
        <v>45.1</v>
      </c>
      <c r="W20" s="92">
        <f t="shared" si="15"/>
        <v>5.0999999999999996</v>
      </c>
      <c r="X20" s="92">
        <f t="shared" si="15"/>
        <v>1.7999999999999999E-2</v>
      </c>
      <c r="Y20" s="92">
        <f t="shared" si="15"/>
        <v>45.1</v>
      </c>
      <c r="Z20" s="92">
        <f t="shared" si="15"/>
        <v>1.5</v>
      </c>
      <c r="AA20" s="92">
        <f t="shared" si="15"/>
        <v>8.9999999999999993E-3</v>
      </c>
      <c r="AB20" s="92">
        <f t="shared" si="15"/>
        <v>16</v>
      </c>
      <c r="AC20" s="92">
        <f t="shared" si="15"/>
        <v>5.3</v>
      </c>
      <c r="AD20" s="92">
        <f t="shared" si="15"/>
        <v>8.0000000000000002E-3</v>
      </c>
      <c r="AE20" s="92">
        <f t="shared" si="15"/>
        <v>19</v>
      </c>
      <c r="AF20" s="92">
        <f t="shared" si="16"/>
        <v>6.25</v>
      </c>
      <c r="AG20" s="92">
        <f t="shared" si="16"/>
        <v>7.0000000000000001E-3</v>
      </c>
      <c r="AH20" s="92">
        <f t="shared" si="16"/>
        <v>22.349999999999998</v>
      </c>
      <c r="AI20" s="92">
        <f t="shared" si="16"/>
        <v>15.2</v>
      </c>
      <c r="AJ20" s="92">
        <f t="shared" si="16"/>
        <v>1.9E-2</v>
      </c>
      <c r="AK20" s="92">
        <f t="shared" si="16"/>
        <v>54.3</v>
      </c>
      <c r="AL20" s="92">
        <f t="shared" si="16"/>
        <v>8.4499999999999993</v>
      </c>
      <c r="AM20" s="92">
        <f t="shared" si="16"/>
        <v>9.4999999999999998E-3</v>
      </c>
      <c r="AN20" s="92">
        <f t="shared" si="16"/>
        <v>30.299999999999997</v>
      </c>
      <c r="AO20" s="92">
        <f t="shared" si="16"/>
        <v>11.4</v>
      </c>
      <c r="AP20" s="92">
        <f t="shared" si="16"/>
        <v>6.0000000000000001E-3</v>
      </c>
      <c r="AQ20" s="92">
        <f t="shared" si="16"/>
        <v>25.8</v>
      </c>
      <c r="AR20" s="92">
        <v>1934</v>
      </c>
      <c r="AS20" s="92">
        <v>6.0999999999999999E-2</v>
      </c>
      <c r="AT20" s="92">
        <f t="shared" si="17"/>
        <v>0.94899999999999995</v>
      </c>
      <c r="AU20" s="68" t="s">
        <v>300</v>
      </c>
      <c r="AV20" s="309">
        <f t="shared" si="5"/>
        <v>0.03</v>
      </c>
      <c r="AW20" s="309">
        <f t="shared" si="6"/>
        <v>0.97</v>
      </c>
      <c r="AX20" s="92">
        <f t="shared" si="7"/>
        <v>229</v>
      </c>
      <c r="AY20" s="92">
        <f t="shared" si="7"/>
        <v>20</v>
      </c>
    </row>
    <row r="21" spans="1:51" ht="12.75" customHeight="1">
      <c r="A21" s="130" t="s">
        <v>109</v>
      </c>
      <c r="B21" s="92">
        <v>-7</v>
      </c>
      <c r="C21" s="92">
        <v>86</v>
      </c>
      <c r="D21" s="92">
        <v>70</v>
      </c>
      <c r="E21" s="92">
        <v>6894</v>
      </c>
      <c r="F21" s="92">
        <v>6</v>
      </c>
      <c r="G21" s="92">
        <v>15</v>
      </c>
      <c r="H21" s="92">
        <f t="shared" si="13"/>
        <v>224</v>
      </c>
      <c r="I21" s="92">
        <f t="shared" si="13"/>
        <v>363</v>
      </c>
      <c r="J21" s="92">
        <f t="shared" si="13"/>
        <v>54.3</v>
      </c>
      <c r="K21" s="92">
        <v>438</v>
      </c>
      <c r="L21" s="92">
        <f t="shared" si="14"/>
        <v>0.113</v>
      </c>
      <c r="M21" s="92">
        <f t="shared" si="14"/>
        <v>0.08</v>
      </c>
      <c r="N21" s="92">
        <f t="shared" si="14"/>
        <v>-2.5000000000000001E-2</v>
      </c>
      <c r="O21" s="92">
        <f t="shared" si="14"/>
        <v>0</v>
      </c>
      <c r="P21" s="92">
        <f t="shared" si="14"/>
        <v>9.6999999999999993</v>
      </c>
      <c r="Q21" s="92">
        <f t="shared" si="14"/>
        <v>22</v>
      </c>
      <c r="R21" s="92">
        <f t="shared" si="14"/>
        <v>16</v>
      </c>
      <c r="S21" s="92">
        <f t="shared" si="14"/>
        <v>9.9000000000000005E-2</v>
      </c>
      <c r="T21" s="92">
        <f t="shared" si="14"/>
        <v>6.3</v>
      </c>
      <c r="U21" s="92">
        <f t="shared" si="14"/>
        <v>1.7999999999999999E-2</v>
      </c>
      <c r="V21" s="92">
        <f t="shared" si="15"/>
        <v>39.200000000000003</v>
      </c>
      <c r="W21" s="92">
        <f t="shared" si="15"/>
        <v>6.3</v>
      </c>
      <c r="X21" s="92">
        <f t="shared" si="15"/>
        <v>1.7999999999999999E-2</v>
      </c>
      <c r="Y21" s="92">
        <f t="shared" si="15"/>
        <v>39.200000000000003</v>
      </c>
      <c r="Z21" s="92">
        <f t="shared" si="15"/>
        <v>1.8</v>
      </c>
      <c r="AA21" s="92">
        <f t="shared" si="15"/>
        <v>1.7999999999999999E-2</v>
      </c>
      <c r="AB21" s="92">
        <f t="shared" si="15"/>
        <v>14.1</v>
      </c>
      <c r="AC21" s="92">
        <f t="shared" si="15"/>
        <v>4.3</v>
      </c>
      <c r="AD21" s="92">
        <f t="shared" si="15"/>
        <v>5.0000000000000001E-3</v>
      </c>
      <c r="AE21" s="92">
        <f t="shared" si="15"/>
        <v>15.7</v>
      </c>
      <c r="AF21" s="92">
        <f t="shared" si="16"/>
        <v>5</v>
      </c>
      <c r="AG21" s="92">
        <f t="shared" si="16"/>
        <v>4.0000000000000001E-3</v>
      </c>
      <c r="AH21" s="92">
        <f t="shared" si="16"/>
        <v>19</v>
      </c>
      <c r="AI21" s="92">
        <f t="shared" si="16"/>
        <v>12.2</v>
      </c>
      <c r="AJ21" s="92">
        <f t="shared" si="16"/>
        <v>1.0999999999999999E-2</v>
      </c>
      <c r="AK21" s="92">
        <f t="shared" si="16"/>
        <v>45.6</v>
      </c>
      <c r="AL21" s="92">
        <f t="shared" si="16"/>
        <v>6.6999999999999993</v>
      </c>
      <c r="AM21" s="92">
        <f t="shared" si="16"/>
        <v>6.5000000000000002E-2</v>
      </c>
      <c r="AN21" s="92">
        <f t="shared" si="16"/>
        <v>25.6</v>
      </c>
      <c r="AO21" s="92">
        <f t="shared" si="16"/>
        <v>12.8</v>
      </c>
      <c r="AP21" s="92">
        <f t="shared" si="16"/>
        <v>6.0000000000000001E-3</v>
      </c>
      <c r="AQ21" s="92">
        <f t="shared" si="16"/>
        <v>22.6</v>
      </c>
      <c r="AR21" s="92">
        <v>1934</v>
      </c>
      <c r="AS21" s="92">
        <v>6.0999999999999999E-2</v>
      </c>
      <c r="AT21" s="92">
        <f t="shared" si="17"/>
        <v>1</v>
      </c>
      <c r="AU21" s="68" t="s">
        <v>296</v>
      </c>
      <c r="AV21" s="309">
        <f t="shared" si="5"/>
        <v>0.03</v>
      </c>
      <c r="AW21" s="309">
        <f t="shared" si="6"/>
        <v>0.97</v>
      </c>
      <c r="AX21" s="92">
        <f t="shared" si="7"/>
        <v>346</v>
      </c>
      <c r="AY21" s="92">
        <f t="shared" si="7"/>
        <v>26</v>
      </c>
    </row>
    <row r="22" spans="1:51" ht="12.75" customHeight="1">
      <c r="A22" s="130" t="s">
        <v>110</v>
      </c>
      <c r="B22" s="92">
        <v>1</v>
      </c>
      <c r="C22" s="92">
        <v>86</v>
      </c>
      <c r="D22" s="92">
        <v>71</v>
      </c>
      <c r="E22" s="92">
        <v>6734</v>
      </c>
      <c r="F22" s="92">
        <v>5</v>
      </c>
      <c r="G22" s="92" t="s">
        <v>161</v>
      </c>
      <c r="H22" s="92">
        <f t="shared" si="13"/>
        <v>219</v>
      </c>
      <c r="I22" s="92">
        <f t="shared" si="13"/>
        <v>471</v>
      </c>
      <c r="J22" s="92">
        <f t="shared" si="13"/>
        <v>54.3</v>
      </c>
      <c r="K22" s="92">
        <v>507</v>
      </c>
      <c r="L22" s="92">
        <f t="shared" si="14"/>
        <v>0.113</v>
      </c>
      <c r="M22" s="92">
        <f t="shared" si="14"/>
        <v>7.1999999999999995E-2</v>
      </c>
      <c r="N22" s="92">
        <f t="shared" si="14"/>
        <v>-2.5999999999999999E-2</v>
      </c>
      <c r="O22" s="92">
        <f t="shared" si="14"/>
        <v>0</v>
      </c>
      <c r="P22" s="92">
        <f t="shared" si="14"/>
        <v>9.9</v>
      </c>
      <c r="Q22" s="92">
        <f t="shared" si="14"/>
        <v>20</v>
      </c>
      <c r="R22" s="92">
        <f t="shared" si="14"/>
        <v>19</v>
      </c>
      <c r="S22" s="92">
        <f t="shared" si="14"/>
        <v>7.9000000000000001E-2</v>
      </c>
      <c r="T22" s="92">
        <f t="shared" si="14"/>
        <v>3.1</v>
      </c>
      <c r="U22" s="92">
        <f t="shared" si="14"/>
        <v>1.8E-3</v>
      </c>
      <c r="V22" s="92">
        <f t="shared" si="15"/>
        <v>38.6</v>
      </c>
      <c r="W22" s="92">
        <f t="shared" si="15"/>
        <v>3.1</v>
      </c>
      <c r="X22" s="92">
        <f t="shared" si="15"/>
        <v>1.7999999999999999E-2</v>
      </c>
      <c r="Y22" s="92">
        <f t="shared" si="15"/>
        <v>38.6</v>
      </c>
      <c r="Z22" s="92">
        <f t="shared" si="15"/>
        <v>0.7</v>
      </c>
      <c r="AA22" s="92">
        <f t="shared" si="15"/>
        <v>0</v>
      </c>
      <c r="AB22" s="92">
        <f t="shared" si="15"/>
        <v>13.9</v>
      </c>
      <c r="AC22" s="92">
        <f t="shared" si="15"/>
        <v>3</v>
      </c>
      <c r="AD22" s="92">
        <f t="shared" si="15"/>
        <v>3.0000000000000001E-3</v>
      </c>
      <c r="AE22" s="92">
        <f t="shared" si="15"/>
        <v>16.5</v>
      </c>
      <c r="AF22" s="92">
        <f t="shared" si="16"/>
        <v>3.45</v>
      </c>
      <c r="AG22" s="92">
        <f t="shared" si="16"/>
        <v>1.5E-3</v>
      </c>
      <c r="AH22" s="92">
        <f t="shared" si="16"/>
        <v>19.7</v>
      </c>
      <c r="AI22" s="92">
        <f t="shared" si="16"/>
        <v>8.5</v>
      </c>
      <c r="AJ22" s="92">
        <f t="shared" si="16"/>
        <v>5.0000000000000001E-3</v>
      </c>
      <c r="AK22" s="92">
        <f t="shared" si="16"/>
        <v>47.7</v>
      </c>
      <c r="AL22" s="92">
        <f t="shared" si="16"/>
        <v>4.6500000000000004</v>
      </c>
      <c r="AM22" s="92">
        <f t="shared" si="16"/>
        <v>4.0000000000000001E-3</v>
      </c>
      <c r="AN22" s="92">
        <f t="shared" si="16"/>
        <v>26.5</v>
      </c>
      <c r="AO22" s="92">
        <f t="shared" si="16"/>
        <v>11.2</v>
      </c>
      <c r="AP22" s="92">
        <f t="shared" si="16"/>
        <v>6.0000000000000001E-3</v>
      </c>
      <c r="AQ22" s="92">
        <f t="shared" si="16"/>
        <v>24</v>
      </c>
      <c r="AR22" s="92">
        <v>1934</v>
      </c>
      <c r="AS22" s="92">
        <v>6.0999999999999999E-2</v>
      </c>
      <c r="AT22" s="92">
        <f t="shared" si="17"/>
        <v>1.036</v>
      </c>
      <c r="AU22" s="68" t="s">
        <v>298</v>
      </c>
      <c r="AV22" s="309">
        <f t="shared" si="5"/>
        <v>0.06</v>
      </c>
      <c r="AW22" s="309">
        <f t="shared" si="6"/>
        <v>0.94</v>
      </c>
      <c r="AX22" s="92">
        <f t="shared" si="7"/>
        <v>315</v>
      </c>
      <c r="AY22" s="92">
        <f t="shared" si="7"/>
        <v>25</v>
      </c>
    </row>
    <row r="23" spans="1:51" ht="12.75" customHeight="1">
      <c r="A23" s="130" t="s">
        <v>111</v>
      </c>
      <c r="B23" s="92">
        <v>-7</v>
      </c>
      <c r="C23" s="92">
        <v>86</v>
      </c>
      <c r="D23" s="92">
        <v>70</v>
      </c>
      <c r="E23" s="92">
        <v>6894</v>
      </c>
      <c r="F23" s="92">
        <v>5</v>
      </c>
      <c r="G23" s="92" t="s">
        <v>161</v>
      </c>
      <c r="H23" s="92">
        <f t="shared" si="13"/>
        <v>224</v>
      </c>
      <c r="I23" s="92">
        <f t="shared" si="13"/>
        <v>363</v>
      </c>
      <c r="J23" s="92">
        <f t="shared" si="13"/>
        <v>54.3</v>
      </c>
      <c r="K23" s="92">
        <v>507</v>
      </c>
      <c r="L23" s="92">
        <f t="shared" si="14"/>
        <v>0.113</v>
      </c>
      <c r="M23" s="92">
        <f t="shared" si="14"/>
        <v>0.08</v>
      </c>
      <c r="N23" s="92">
        <f t="shared" si="14"/>
        <v>-2.5000000000000001E-2</v>
      </c>
      <c r="O23" s="92">
        <f t="shared" si="14"/>
        <v>0</v>
      </c>
      <c r="P23" s="92">
        <f t="shared" si="14"/>
        <v>9.6999999999999993</v>
      </c>
      <c r="Q23" s="92">
        <f t="shared" si="14"/>
        <v>22</v>
      </c>
      <c r="R23" s="92">
        <f t="shared" si="14"/>
        <v>16</v>
      </c>
      <c r="S23" s="92">
        <f t="shared" si="14"/>
        <v>9.9000000000000005E-2</v>
      </c>
      <c r="T23" s="92">
        <f t="shared" si="14"/>
        <v>6.3</v>
      </c>
      <c r="U23" s="92">
        <f t="shared" si="14"/>
        <v>1.7999999999999999E-2</v>
      </c>
      <c r="V23" s="92">
        <f t="shared" si="15"/>
        <v>39.200000000000003</v>
      </c>
      <c r="W23" s="92">
        <f t="shared" si="15"/>
        <v>6.3</v>
      </c>
      <c r="X23" s="92">
        <f t="shared" si="15"/>
        <v>1.7999999999999999E-2</v>
      </c>
      <c r="Y23" s="92">
        <f t="shared" si="15"/>
        <v>39.200000000000003</v>
      </c>
      <c r="Z23" s="92">
        <f t="shared" si="15"/>
        <v>1.8</v>
      </c>
      <c r="AA23" s="92">
        <f t="shared" si="15"/>
        <v>1.7999999999999999E-2</v>
      </c>
      <c r="AB23" s="92">
        <f t="shared" si="15"/>
        <v>14.1</v>
      </c>
      <c r="AC23" s="92">
        <f t="shared" si="15"/>
        <v>4.3</v>
      </c>
      <c r="AD23" s="92">
        <f t="shared" si="15"/>
        <v>5.0000000000000001E-3</v>
      </c>
      <c r="AE23" s="92">
        <f t="shared" si="15"/>
        <v>15.7</v>
      </c>
      <c r="AF23" s="92">
        <f t="shared" si="16"/>
        <v>5</v>
      </c>
      <c r="AG23" s="92">
        <f t="shared" si="16"/>
        <v>4.0000000000000001E-3</v>
      </c>
      <c r="AH23" s="92">
        <f t="shared" si="16"/>
        <v>19</v>
      </c>
      <c r="AI23" s="92">
        <f t="shared" si="16"/>
        <v>12.2</v>
      </c>
      <c r="AJ23" s="92">
        <f t="shared" si="16"/>
        <v>1.0999999999999999E-2</v>
      </c>
      <c r="AK23" s="92">
        <f t="shared" si="16"/>
        <v>45.6</v>
      </c>
      <c r="AL23" s="92">
        <f t="shared" si="16"/>
        <v>6.6999999999999993</v>
      </c>
      <c r="AM23" s="92">
        <f t="shared" si="16"/>
        <v>6.5000000000000002E-2</v>
      </c>
      <c r="AN23" s="92">
        <f t="shared" si="16"/>
        <v>25.6</v>
      </c>
      <c r="AO23" s="92">
        <f t="shared" si="16"/>
        <v>12.8</v>
      </c>
      <c r="AP23" s="92">
        <f t="shared" si="16"/>
        <v>6.0000000000000001E-3</v>
      </c>
      <c r="AQ23" s="92">
        <f t="shared" si="16"/>
        <v>22.6</v>
      </c>
      <c r="AR23" s="92">
        <v>1934</v>
      </c>
      <c r="AS23" s="92">
        <v>6.0999999999999999E-2</v>
      </c>
      <c r="AT23" s="92">
        <f t="shared" si="17"/>
        <v>1</v>
      </c>
      <c r="AU23" s="68" t="s">
        <v>296</v>
      </c>
      <c r="AV23" s="309">
        <f t="shared" si="5"/>
        <v>0.06</v>
      </c>
      <c r="AW23" s="309">
        <f t="shared" si="6"/>
        <v>0.94</v>
      </c>
      <c r="AX23" s="92">
        <f t="shared" si="7"/>
        <v>346</v>
      </c>
      <c r="AY23" s="92">
        <f t="shared" si="7"/>
        <v>26</v>
      </c>
    </row>
    <row r="24" spans="1:51" ht="12.75" customHeight="1">
      <c r="A24" s="130" t="s">
        <v>112</v>
      </c>
      <c r="B24" s="92">
        <v>-10</v>
      </c>
      <c r="C24" s="92">
        <v>85</v>
      </c>
      <c r="D24" s="92">
        <v>71</v>
      </c>
      <c r="E24" s="92">
        <v>7635</v>
      </c>
      <c r="F24" s="92">
        <v>6</v>
      </c>
      <c r="G24" s="92">
        <v>16</v>
      </c>
      <c r="H24" s="92">
        <f t="shared" si="13"/>
        <v>187</v>
      </c>
      <c r="I24" s="92">
        <f t="shared" si="13"/>
        <v>552</v>
      </c>
      <c r="J24" s="92">
        <f t="shared" si="13"/>
        <v>49.5</v>
      </c>
      <c r="K24" s="92">
        <v>438</v>
      </c>
      <c r="L24" s="92">
        <f t="shared" si="14"/>
        <v>9.4E-2</v>
      </c>
      <c r="M24" s="92">
        <f t="shared" si="14"/>
        <v>7.2999999999999995E-2</v>
      </c>
      <c r="N24" s="92">
        <f t="shared" si="14"/>
        <v>-2.5999999999999999E-2</v>
      </c>
      <c r="O24" s="92">
        <f t="shared" si="14"/>
        <v>0</v>
      </c>
      <c r="P24" s="92">
        <f t="shared" si="14"/>
        <v>9.3000000000000007</v>
      </c>
      <c r="Q24" s="92">
        <f t="shared" si="14"/>
        <v>20</v>
      </c>
      <c r="R24" s="92">
        <f t="shared" si="14"/>
        <v>17</v>
      </c>
      <c r="S24" s="92">
        <f t="shared" si="14"/>
        <v>9.8000000000000004E-2</v>
      </c>
      <c r="T24" s="92">
        <f t="shared" si="14"/>
        <v>5.0999999999999996</v>
      </c>
      <c r="U24" s="92">
        <f t="shared" si="14"/>
        <v>1.7999999999999999E-2</v>
      </c>
      <c r="V24" s="92">
        <f t="shared" si="15"/>
        <v>45.1</v>
      </c>
      <c r="W24" s="92">
        <f t="shared" si="15"/>
        <v>5.0999999999999996</v>
      </c>
      <c r="X24" s="92">
        <f t="shared" si="15"/>
        <v>1.7999999999999999E-2</v>
      </c>
      <c r="Y24" s="92">
        <f t="shared" si="15"/>
        <v>45.1</v>
      </c>
      <c r="Z24" s="92">
        <f t="shared" si="15"/>
        <v>1.5</v>
      </c>
      <c r="AA24" s="92">
        <f t="shared" si="15"/>
        <v>8.9999999999999993E-3</v>
      </c>
      <c r="AB24" s="92">
        <f t="shared" si="15"/>
        <v>16</v>
      </c>
      <c r="AC24" s="92">
        <f t="shared" si="15"/>
        <v>5.3</v>
      </c>
      <c r="AD24" s="92">
        <f t="shared" si="15"/>
        <v>8.0000000000000002E-3</v>
      </c>
      <c r="AE24" s="92">
        <f t="shared" si="15"/>
        <v>19</v>
      </c>
      <c r="AF24" s="92">
        <f t="shared" si="16"/>
        <v>6.25</v>
      </c>
      <c r="AG24" s="92">
        <f t="shared" si="16"/>
        <v>7.0000000000000001E-3</v>
      </c>
      <c r="AH24" s="92">
        <f t="shared" si="16"/>
        <v>22.349999999999998</v>
      </c>
      <c r="AI24" s="92">
        <f t="shared" si="16"/>
        <v>15.2</v>
      </c>
      <c r="AJ24" s="92">
        <f t="shared" si="16"/>
        <v>1.9E-2</v>
      </c>
      <c r="AK24" s="92">
        <f t="shared" si="16"/>
        <v>54.3</v>
      </c>
      <c r="AL24" s="92">
        <f t="shared" si="16"/>
        <v>8.4499999999999993</v>
      </c>
      <c r="AM24" s="92">
        <f t="shared" si="16"/>
        <v>9.4999999999999998E-3</v>
      </c>
      <c r="AN24" s="92">
        <f t="shared" si="16"/>
        <v>30.299999999999997</v>
      </c>
      <c r="AO24" s="92">
        <f t="shared" si="16"/>
        <v>11.4</v>
      </c>
      <c r="AP24" s="92">
        <f t="shared" si="16"/>
        <v>6.0000000000000001E-3</v>
      </c>
      <c r="AQ24" s="92">
        <f t="shared" si="16"/>
        <v>25.8</v>
      </c>
      <c r="AR24" s="92">
        <v>1934</v>
      </c>
      <c r="AS24" s="92">
        <v>6.0999999999999999E-2</v>
      </c>
      <c r="AT24" s="92">
        <f t="shared" si="17"/>
        <v>0.94899999999999995</v>
      </c>
      <c r="AU24" s="68" t="s">
        <v>300</v>
      </c>
      <c r="AV24" s="309">
        <f t="shared" si="5"/>
        <v>0.03</v>
      </c>
      <c r="AW24" s="309">
        <f t="shared" si="6"/>
        <v>0.97</v>
      </c>
      <c r="AX24" s="92">
        <f t="shared" si="7"/>
        <v>229</v>
      </c>
      <c r="AY24" s="92">
        <f t="shared" si="7"/>
        <v>20</v>
      </c>
    </row>
    <row r="25" spans="1:51" ht="12.75" customHeight="1">
      <c r="A25" s="130" t="s">
        <v>113</v>
      </c>
      <c r="B25" s="92">
        <v>-5</v>
      </c>
      <c r="C25" s="92">
        <v>86</v>
      </c>
      <c r="D25" s="92">
        <v>70</v>
      </c>
      <c r="E25" s="92">
        <v>7244</v>
      </c>
      <c r="F25" s="92">
        <v>6</v>
      </c>
      <c r="G25" s="92">
        <v>15</v>
      </c>
      <c r="H25" s="92">
        <f t="shared" si="13"/>
        <v>224</v>
      </c>
      <c r="I25" s="92">
        <f t="shared" si="13"/>
        <v>363</v>
      </c>
      <c r="J25" s="92">
        <f t="shared" si="13"/>
        <v>54.3</v>
      </c>
      <c r="K25" s="92">
        <v>438</v>
      </c>
      <c r="L25" s="92">
        <f t="shared" si="14"/>
        <v>0.113</v>
      </c>
      <c r="M25" s="92">
        <f t="shared" si="14"/>
        <v>0.08</v>
      </c>
      <c r="N25" s="92">
        <f t="shared" si="14"/>
        <v>-2.5000000000000001E-2</v>
      </c>
      <c r="O25" s="92">
        <f t="shared" si="14"/>
        <v>0</v>
      </c>
      <c r="P25" s="92">
        <f t="shared" si="14"/>
        <v>9.6999999999999993</v>
      </c>
      <c r="Q25" s="92">
        <f t="shared" si="14"/>
        <v>22</v>
      </c>
      <c r="R25" s="92">
        <f t="shared" si="14"/>
        <v>16</v>
      </c>
      <c r="S25" s="92">
        <f t="shared" si="14"/>
        <v>9.9000000000000005E-2</v>
      </c>
      <c r="T25" s="92">
        <f t="shared" si="14"/>
        <v>6.3</v>
      </c>
      <c r="U25" s="92">
        <f t="shared" si="14"/>
        <v>1.7999999999999999E-2</v>
      </c>
      <c r="V25" s="92">
        <f t="shared" si="15"/>
        <v>39.200000000000003</v>
      </c>
      <c r="W25" s="92">
        <f t="shared" si="15"/>
        <v>6.3</v>
      </c>
      <c r="X25" s="92">
        <f t="shared" si="15"/>
        <v>1.7999999999999999E-2</v>
      </c>
      <c r="Y25" s="92">
        <f t="shared" si="15"/>
        <v>39.200000000000003</v>
      </c>
      <c r="Z25" s="92">
        <f t="shared" si="15"/>
        <v>1.8</v>
      </c>
      <c r="AA25" s="92">
        <f t="shared" si="15"/>
        <v>1.7999999999999999E-2</v>
      </c>
      <c r="AB25" s="92">
        <f t="shared" si="15"/>
        <v>14.1</v>
      </c>
      <c r="AC25" s="92">
        <f t="shared" si="15"/>
        <v>4.3</v>
      </c>
      <c r="AD25" s="92">
        <f t="shared" si="15"/>
        <v>5.0000000000000001E-3</v>
      </c>
      <c r="AE25" s="92">
        <f t="shared" si="15"/>
        <v>15.7</v>
      </c>
      <c r="AF25" s="92">
        <f t="shared" si="16"/>
        <v>5</v>
      </c>
      <c r="AG25" s="92">
        <f t="shared" si="16"/>
        <v>4.0000000000000001E-3</v>
      </c>
      <c r="AH25" s="92">
        <f t="shared" si="16"/>
        <v>19</v>
      </c>
      <c r="AI25" s="92">
        <f t="shared" si="16"/>
        <v>12.2</v>
      </c>
      <c r="AJ25" s="92">
        <f t="shared" si="16"/>
        <v>1.0999999999999999E-2</v>
      </c>
      <c r="AK25" s="92">
        <f t="shared" si="16"/>
        <v>45.6</v>
      </c>
      <c r="AL25" s="92">
        <f t="shared" si="16"/>
        <v>6.6999999999999993</v>
      </c>
      <c r="AM25" s="92">
        <f t="shared" si="16"/>
        <v>6.5000000000000002E-2</v>
      </c>
      <c r="AN25" s="92">
        <f t="shared" si="16"/>
        <v>25.6</v>
      </c>
      <c r="AO25" s="92">
        <f t="shared" si="16"/>
        <v>12.8</v>
      </c>
      <c r="AP25" s="92">
        <f t="shared" si="16"/>
        <v>6.0000000000000001E-3</v>
      </c>
      <c r="AQ25" s="92">
        <f t="shared" si="16"/>
        <v>22.6</v>
      </c>
      <c r="AR25" s="92">
        <v>1934</v>
      </c>
      <c r="AS25" s="92">
        <v>6.0999999999999999E-2</v>
      </c>
      <c r="AT25" s="92">
        <f t="shared" si="17"/>
        <v>1</v>
      </c>
      <c r="AU25" s="68" t="s">
        <v>296</v>
      </c>
      <c r="AV25" s="309">
        <f t="shared" si="5"/>
        <v>0.03</v>
      </c>
      <c r="AW25" s="309">
        <f t="shared" si="6"/>
        <v>0.97</v>
      </c>
      <c r="AX25" s="92">
        <f t="shared" si="7"/>
        <v>346</v>
      </c>
      <c r="AY25" s="92">
        <f t="shared" si="7"/>
        <v>26</v>
      </c>
    </row>
    <row r="26" spans="1:51" ht="12.75" customHeight="1">
      <c r="A26" s="130" t="s">
        <v>114</v>
      </c>
      <c r="B26" s="92">
        <v>-12</v>
      </c>
      <c r="C26" s="92">
        <v>83</v>
      </c>
      <c r="D26" s="92">
        <v>70</v>
      </c>
      <c r="E26" s="92">
        <v>7540</v>
      </c>
      <c r="F26" s="92">
        <v>6</v>
      </c>
      <c r="G26" s="92">
        <v>15</v>
      </c>
      <c r="H26" s="92">
        <f t="shared" si="13"/>
        <v>187</v>
      </c>
      <c r="I26" s="92">
        <f t="shared" si="13"/>
        <v>552</v>
      </c>
      <c r="J26" s="92">
        <f t="shared" si="13"/>
        <v>49.5</v>
      </c>
      <c r="K26" s="92">
        <v>438</v>
      </c>
      <c r="L26" s="92">
        <f t="shared" si="14"/>
        <v>9.4E-2</v>
      </c>
      <c r="M26" s="92">
        <f t="shared" si="14"/>
        <v>7.2999999999999995E-2</v>
      </c>
      <c r="N26" s="92">
        <f t="shared" si="14"/>
        <v>-2.5999999999999999E-2</v>
      </c>
      <c r="O26" s="92">
        <f t="shared" si="14"/>
        <v>0</v>
      </c>
      <c r="P26" s="92">
        <f t="shared" si="14"/>
        <v>9.3000000000000007</v>
      </c>
      <c r="Q26" s="92">
        <f t="shared" si="14"/>
        <v>20</v>
      </c>
      <c r="R26" s="92">
        <f t="shared" si="14"/>
        <v>17</v>
      </c>
      <c r="S26" s="92">
        <f t="shared" si="14"/>
        <v>9.8000000000000004E-2</v>
      </c>
      <c r="T26" s="92">
        <f t="shared" si="14"/>
        <v>5.0999999999999996</v>
      </c>
      <c r="U26" s="92">
        <f t="shared" si="14"/>
        <v>1.7999999999999999E-2</v>
      </c>
      <c r="V26" s="92">
        <f t="shared" si="15"/>
        <v>45.1</v>
      </c>
      <c r="W26" s="92">
        <f t="shared" si="15"/>
        <v>5.0999999999999996</v>
      </c>
      <c r="X26" s="92">
        <f t="shared" si="15"/>
        <v>1.7999999999999999E-2</v>
      </c>
      <c r="Y26" s="92">
        <f t="shared" si="15"/>
        <v>45.1</v>
      </c>
      <c r="Z26" s="92">
        <f t="shared" si="15"/>
        <v>1.5</v>
      </c>
      <c r="AA26" s="92">
        <f t="shared" si="15"/>
        <v>8.9999999999999993E-3</v>
      </c>
      <c r="AB26" s="92">
        <f t="shared" si="15"/>
        <v>16</v>
      </c>
      <c r="AC26" s="92">
        <f t="shared" si="15"/>
        <v>5.3</v>
      </c>
      <c r="AD26" s="92">
        <f t="shared" si="15"/>
        <v>8.0000000000000002E-3</v>
      </c>
      <c r="AE26" s="92">
        <f t="shared" si="15"/>
        <v>19</v>
      </c>
      <c r="AF26" s="92">
        <f t="shared" si="16"/>
        <v>6.25</v>
      </c>
      <c r="AG26" s="92">
        <f t="shared" si="16"/>
        <v>7.0000000000000001E-3</v>
      </c>
      <c r="AH26" s="92">
        <f t="shared" si="16"/>
        <v>22.349999999999998</v>
      </c>
      <c r="AI26" s="92">
        <f t="shared" si="16"/>
        <v>15.2</v>
      </c>
      <c r="AJ26" s="92">
        <f t="shared" si="16"/>
        <v>1.9E-2</v>
      </c>
      <c r="AK26" s="92">
        <f t="shared" si="16"/>
        <v>54.3</v>
      </c>
      <c r="AL26" s="92">
        <f t="shared" si="16"/>
        <v>8.4499999999999993</v>
      </c>
      <c r="AM26" s="92">
        <f t="shared" si="16"/>
        <v>9.4999999999999998E-3</v>
      </c>
      <c r="AN26" s="92">
        <f t="shared" si="16"/>
        <v>30.299999999999997</v>
      </c>
      <c r="AO26" s="92">
        <f t="shared" si="16"/>
        <v>11.4</v>
      </c>
      <c r="AP26" s="92">
        <f t="shared" si="16"/>
        <v>6.0000000000000001E-3</v>
      </c>
      <c r="AQ26" s="92">
        <f t="shared" si="16"/>
        <v>25.8</v>
      </c>
      <c r="AR26" s="92">
        <v>1934</v>
      </c>
      <c r="AS26" s="92">
        <v>6.0999999999999999E-2</v>
      </c>
      <c r="AT26" s="92">
        <f t="shared" si="17"/>
        <v>0.94899999999999995</v>
      </c>
      <c r="AU26" s="68" t="s">
        <v>300</v>
      </c>
      <c r="AV26" s="309">
        <f t="shared" si="5"/>
        <v>0.03</v>
      </c>
      <c r="AW26" s="309">
        <f t="shared" si="6"/>
        <v>0.97</v>
      </c>
      <c r="AX26" s="92">
        <f t="shared" si="7"/>
        <v>229</v>
      </c>
      <c r="AY26" s="92">
        <f t="shared" si="7"/>
        <v>20</v>
      </c>
    </row>
    <row r="27" spans="1:51" ht="12.75" customHeight="1">
      <c r="A27" s="130" t="s">
        <v>115</v>
      </c>
      <c r="B27" s="92">
        <v>13</v>
      </c>
      <c r="C27" s="92">
        <v>89</v>
      </c>
      <c r="D27" s="92">
        <v>73</v>
      </c>
      <c r="E27" s="92">
        <v>4910</v>
      </c>
      <c r="F27" s="92">
        <v>4</v>
      </c>
      <c r="G27" s="92" t="s">
        <v>164</v>
      </c>
      <c r="H27" s="92">
        <f t="shared" si="13"/>
        <v>364</v>
      </c>
      <c r="I27" s="92">
        <f t="shared" si="13"/>
        <v>219</v>
      </c>
      <c r="J27" s="92">
        <f t="shared" si="13"/>
        <v>61.4</v>
      </c>
      <c r="K27" s="92">
        <v>1096</v>
      </c>
      <c r="L27" s="92">
        <f t="shared" si="14"/>
        <v>0.19400000000000001</v>
      </c>
      <c r="M27" s="92">
        <f t="shared" si="14"/>
        <v>0.10100000000000001</v>
      </c>
      <c r="N27" s="92">
        <f t="shared" si="14"/>
        <v>-2.1000000000000001E-2</v>
      </c>
      <c r="O27" s="92">
        <f t="shared" si="14"/>
        <v>0</v>
      </c>
      <c r="P27" s="92">
        <f t="shared" si="14"/>
        <v>10.7</v>
      </c>
      <c r="Q27" s="92">
        <f t="shared" si="14"/>
        <v>56</v>
      </c>
      <c r="R27" s="92">
        <f t="shared" si="14"/>
        <v>17</v>
      </c>
      <c r="S27" s="92">
        <f t="shared" si="14"/>
        <v>9.8000000000000004E-2</v>
      </c>
      <c r="T27" s="92">
        <f t="shared" si="14"/>
        <v>20.3</v>
      </c>
      <c r="U27" s="92">
        <f t="shared" si="14"/>
        <v>2.5999999999999999E-2</v>
      </c>
      <c r="V27" s="92">
        <f t="shared" si="15"/>
        <v>28.3</v>
      </c>
      <c r="W27" s="92">
        <f t="shared" si="15"/>
        <v>20.3</v>
      </c>
      <c r="X27" s="92">
        <f t="shared" si="15"/>
        <v>2.5999999999999999E-2</v>
      </c>
      <c r="Y27" s="92">
        <f t="shared" si="15"/>
        <v>28.3</v>
      </c>
      <c r="Z27" s="92">
        <f t="shared" si="15"/>
        <v>6.7</v>
      </c>
      <c r="AA27" s="92">
        <f t="shared" si="15"/>
        <v>8.9999999999999993E-3</v>
      </c>
      <c r="AB27" s="92">
        <f t="shared" si="15"/>
        <v>9.4</v>
      </c>
      <c r="AC27" s="92">
        <f t="shared" si="15"/>
        <v>11</v>
      </c>
      <c r="AD27" s="92">
        <f t="shared" si="15"/>
        <v>3.0000000000000001E-3</v>
      </c>
      <c r="AE27" s="92">
        <f t="shared" si="15"/>
        <v>10.7</v>
      </c>
      <c r="AF27" s="92">
        <f t="shared" si="16"/>
        <v>13.05</v>
      </c>
      <c r="AG27" s="92">
        <f t="shared" si="16"/>
        <v>2.5000000000000001E-3</v>
      </c>
      <c r="AH27" s="92">
        <f t="shared" si="16"/>
        <v>12.75</v>
      </c>
      <c r="AI27" s="92">
        <f t="shared" si="16"/>
        <v>31.7</v>
      </c>
      <c r="AJ27" s="92">
        <f t="shared" si="16"/>
        <v>8.0000000000000002E-3</v>
      </c>
      <c r="AK27" s="92">
        <f t="shared" si="16"/>
        <v>30.9</v>
      </c>
      <c r="AL27" s="92">
        <f t="shared" si="16"/>
        <v>17.600000000000001</v>
      </c>
      <c r="AM27" s="92">
        <f t="shared" si="16"/>
        <v>5.4999999999999997E-3</v>
      </c>
      <c r="AN27" s="92">
        <f t="shared" si="16"/>
        <v>17.350000000000001</v>
      </c>
      <c r="AO27" s="92">
        <f t="shared" si="16"/>
        <v>9.1999999999999993</v>
      </c>
      <c r="AP27" s="92">
        <f t="shared" si="16"/>
        <v>6.0000000000000001E-3</v>
      </c>
      <c r="AQ27" s="92">
        <f t="shared" si="16"/>
        <v>17.399999999999999</v>
      </c>
      <c r="AR27" s="92">
        <v>1934</v>
      </c>
      <c r="AS27" s="92">
        <v>6.0999999999999999E-2</v>
      </c>
      <c r="AT27" s="92">
        <f t="shared" si="17"/>
        <v>1.34</v>
      </c>
      <c r="AU27" s="68" t="s">
        <v>260</v>
      </c>
      <c r="AV27" s="309">
        <f t="shared" si="5"/>
        <v>0.15</v>
      </c>
      <c r="AW27" s="309">
        <f t="shared" si="6"/>
        <v>0.85</v>
      </c>
      <c r="AX27" s="92">
        <f t="shared" si="7"/>
        <v>370</v>
      </c>
      <c r="AY27" s="92">
        <f t="shared" si="7"/>
        <v>17</v>
      </c>
    </row>
    <row r="28" spans="1:51" ht="12.75" customHeight="1">
      <c r="A28" s="130" t="s">
        <v>116</v>
      </c>
      <c r="B28" s="92">
        <v>-12</v>
      </c>
      <c r="C28" s="92">
        <v>83</v>
      </c>
      <c r="D28" s="92">
        <v>70</v>
      </c>
      <c r="E28" s="92">
        <v>7540</v>
      </c>
      <c r="F28" s="92">
        <v>6</v>
      </c>
      <c r="G28" s="92">
        <v>15</v>
      </c>
      <c r="H28" s="92">
        <f t="shared" si="13"/>
        <v>187</v>
      </c>
      <c r="I28" s="92">
        <f t="shared" si="13"/>
        <v>552</v>
      </c>
      <c r="J28" s="92">
        <f t="shared" si="13"/>
        <v>49.5</v>
      </c>
      <c r="K28" s="92">
        <v>438</v>
      </c>
      <c r="L28" s="92">
        <f t="shared" si="14"/>
        <v>9.4E-2</v>
      </c>
      <c r="M28" s="92">
        <f t="shared" si="14"/>
        <v>7.2999999999999995E-2</v>
      </c>
      <c r="N28" s="92">
        <f t="shared" si="14"/>
        <v>-2.5999999999999999E-2</v>
      </c>
      <c r="O28" s="92">
        <f t="shared" si="14"/>
        <v>0</v>
      </c>
      <c r="P28" s="92">
        <f t="shared" si="14"/>
        <v>9.3000000000000007</v>
      </c>
      <c r="Q28" s="92">
        <f t="shared" si="14"/>
        <v>20</v>
      </c>
      <c r="R28" s="92">
        <f t="shared" si="14"/>
        <v>17</v>
      </c>
      <c r="S28" s="92">
        <f t="shared" si="14"/>
        <v>9.8000000000000004E-2</v>
      </c>
      <c r="T28" s="92">
        <f t="shared" si="14"/>
        <v>5.0999999999999996</v>
      </c>
      <c r="U28" s="92">
        <f t="shared" si="14"/>
        <v>1.7999999999999999E-2</v>
      </c>
      <c r="V28" s="92">
        <f t="shared" si="15"/>
        <v>45.1</v>
      </c>
      <c r="W28" s="92">
        <f t="shared" si="15"/>
        <v>5.0999999999999996</v>
      </c>
      <c r="X28" s="92">
        <f t="shared" si="15"/>
        <v>1.7999999999999999E-2</v>
      </c>
      <c r="Y28" s="92">
        <f t="shared" si="15"/>
        <v>45.1</v>
      </c>
      <c r="Z28" s="92">
        <f t="shared" si="15"/>
        <v>1.5</v>
      </c>
      <c r="AA28" s="92">
        <f t="shared" si="15"/>
        <v>8.9999999999999993E-3</v>
      </c>
      <c r="AB28" s="92">
        <f t="shared" si="15"/>
        <v>16</v>
      </c>
      <c r="AC28" s="92">
        <f t="shared" si="15"/>
        <v>5.3</v>
      </c>
      <c r="AD28" s="92">
        <f t="shared" si="15"/>
        <v>8.0000000000000002E-3</v>
      </c>
      <c r="AE28" s="92">
        <f t="shared" si="15"/>
        <v>19</v>
      </c>
      <c r="AF28" s="92">
        <f t="shared" si="16"/>
        <v>6.25</v>
      </c>
      <c r="AG28" s="92">
        <f t="shared" si="16"/>
        <v>7.0000000000000001E-3</v>
      </c>
      <c r="AH28" s="92">
        <f t="shared" si="16"/>
        <v>22.349999999999998</v>
      </c>
      <c r="AI28" s="92">
        <f t="shared" si="16"/>
        <v>15.2</v>
      </c>
      <c r="AJ28" s="92">
        <f t="shared" si="16"/>
        <v>1.9E-2</v>
      </c>
      <c r="AK28" s="92">
        <f t="shared" si="16"/>
        <v>54.3</v>
      </c>
      <c r="AL28" s="92">
        <f t="shared" si="16"/>
        <v>8.4499999999999993</v>
      </c>
      <c r="AM28" s="92">
        <f t="shared" si="16"/>
        <v>9.4999999999999998E-3</v>
      </c>
      <c r="AN28" s="92">
        <f t="shared" si="16"/>
        <v>30.299999999999997</v>
      </c>
      <c r="AO28" s="92">
        <f t="shared" si="16"/>
        <v>11.4</v>
      </c>
      <c r="AP28" s="92">
        <f t="shared" si="16"/>
        <v>6.0000000000000001E-3</v>
      </c>
      <c r="AQ28" s="92">
        <f t="shared" si="16"/>
        <v>25.8</v>
      </c>
      <c r="AR28" s="92">
        <v>1934</v>
      </c>
      <c r="AS28" s="92">
        <v>6.0999999999999999E-2</v>
      </c>
      <c r="AT28" s="92">
        <f t="shared" si="17"/>
        <v>0.94899999999999995</v>
      </c>
      <c r="AU28" s="68" t="s">
        <v>300</v>
      </c>
      <c r="AV28" s="309">
        <f t="shared" si="5"/>
        <v>0.03</v>
      </c>
      <c r="AW28" s="309">
        <f t="shared" si="6"/>
        <v>0.97</v>
      </c>
      <c r="AX28" s="92">
        <f t="shared" si="7"/>
        <v>229</v>
      </c>
      <c r="AY28" s="92">
        <f t="shared" si="7"/>
        <v>20</v>
      </c>
    </row>
    <row r="29" spans="1:51" ht="12.75" customHeight="1">
      <c r="A29" s="130" t="s">
        <v>117</v>
      </c>
      <c r="B29" s="92">
        <v>1</v>
      </c>
      <c r="C29" s="92">
        <v>86</v>
      </c>
      <c r="D29" s="92">
        <v>71</v>
      </c>
      <c r="E29" s="92">
        <v>6734</v>
      </c>
      <c r="F29" s="92">
        <v>5</v>
      </c>
      <c r="G29" s="92" t="s">
        <v>161</v>
      </c>
      <c r="H29" s="92">
        <f t="shared" si="13"/>
        <v>219</v>
      </c>
      <c r="I29" s="92">
        <f t="shared" si="13"/>
        <v>471</v>
      </c>
      <c r="J29" s="92">
        <f t="shared" si="13"/>
        <v>54.3</v>
      </c>
      <c r="K29" s="92">
        <v>507</v>
      </c>
      <c r="L29" s="92">
        <f t="shared" si="14"/>
        <v>0.113</v>
      </c>
      <c r="M29" s="92">
        <f t="shared" si="14"/>
        <v>7.1999999999999995E-2</v>
      </c>
      <c r="N29" s="92">
        <f t="shared" si="14"/>
        <v>-2.5999999999999999E-2</v>
      </c>
      <c r="O29" s="92">
        <f t="shared" si="14"/>
        <v>0</v>
      </c>
      <c r="P29" s="92">
        <f t="shared" si="14"/>
        <v>9.9</v>
      </c>
      <c r="Q29" s="92">
        <f t="shared" si="14"/>
        <v>20</v>
      </c>
      <c r="R29" s="92">
        <f t="shared" si="14"/>
        <v>19</v>
      </c>
      <c r="S29" s="92">
        <f t="shared" si="14"/>
        <v>7.9000000000000001E-2</v>
      </c>
      <c r="T29" s="92">
        <f t="shared" si="14"/>
        <v>3.1</v>
      </c>
      <c r="U29" s="92">
        <f t="shared" si="14"/>
        <v>1.8E-3</v>
      </c>
      <c r="V29" s="92">
        <f t="shared" si="15"/>
        <v>38.6</v>
      </c>
      <c r="W29" s="92">
        <f t="shared" si="15"/>
        <v>3.1</v>
      </c>
      <c r="X29" s="92">
        <f t="shared" si="15"/>
        <v>1.7999999999999999E-2</v>
      </c>
      <c r="Y29" s="92">
        <f t="shared" si="15"/>
        <v>38.6</v>
      </c>
      <c r="Z29" s="92">
        <f t="shared" si="15"/>
        <v>0.7</v>
      </c>
      <c r="AA29" s="92">
        <f t="shared" si="15"/>
        <v>0</v>
      </c>
      <c r="AB29" s="92">
        <f t="shared" si="15"/>
        <v>13.9</v>
      </c>
      <c r="AC29" s="92">
        <f t="shared" si="15"/>
        <v>3</v>
      </c>
      <c r="AD29" s="92">
        <f t="shared" si="15"/>
        <v>3.0000000000000001E-3</v>
      </c>
      <c r="AE29" s="92">
        <f t="shared" si="15"/>
        <v>16.5</v>
      </c>
      <c r="AF29" s="92">
        <f t="shared" si="16"/>
        <v>3.45</v>
      </c>
      <c r="AG29" s="92">
        <f t="shared" si="16"/>
        <v>1.5E-3</v>
      </c>
      <c r="AH29" s="92">
        <f t="shared" si="16"/>
        <v>19.7</v>
      </c>
      <c r="AI29" s="92">
        <f t="shared" si="16"/>
        <v>8.5</v>
      </c>
      <c r="AJ29" s="92">
        <f t="shared" si="16"/>
        <v>5.0000000000000001E-3</v>
      </c>
      <c r="AK29" s="92">
        <f t="shared" si="16"/>
        <v>47.7</v>
      </c>
      <c r="AL29" s="92">
        <f t="shared" si="16"/>
        <v>4.6500000000000004</v>
      </c>
      <c r="AM29" s="92">
        <f t="shared" si="16"/>
        <v>4.0000000000000001E-3</v>
      </c>
      <c r="AN29" s="92">
        <f t="shared" si="16"/>
        <v>26.5</v>
      </c>
      <c r="AO29" s="92">
        <f t="shared" si="16"/>
        <v>11.2</v>
      </c>
      <c r="AP29" s="92">
        <f t="shared" si="16"/>
        <v>6.0000000000000001E-3</v>
      </c>
      <c r="AQ29" s="92">
        <f t="shared" si="16"/>
        <v>24</v>
      </c>
      <c r="AR29" s="92">
        <v>1934</v>
      </c>
      <c r="AS29" s="92">
        <v>6.0999999999999999E-2</v>
      </c>
      <c r="AT29" s="92">
        <f t="shared" si="17"/>
        <v>1.036</v>
      </c>
      <c r="AU29" s="68" t="s">
        <v>298</v>
      </c>
      <c r="AV29" s="309">
        <f t="shared" si="5"/>
        <v>0.06</v>
      </c>
      <c r="AW29" s="309">
        <f t="shared" si="6"/>
        <v>0.94</v>
      </c>
      <c r="AX29" s="92">
        <f t="shared" si="7"/>
        <v>315</v>
      </c>
      <c r="AY29" s="92">
        <f t="shared" si="7"/>
        <v>25</v>
      </c>
    </row>
    <row r="30" spans="1:51" ht="12.75" customHeight="1">
      <c r="A30" s="130" t="s">
        <v>118</v>
      </c>
      <c r="B30" s="92">
        <v>-5</v>
      </c>
      <c r="C30" s="92">
        <v>86</v>
      </c>
      <c r="D30" s="92">
        <v>70</v>
      </c>
      <c r="E30" s="92">
        <v>7244</v>
      </c>
      <c r="F30" s="92">
        <v>6</v>
      </c>
      <c r="G30" s="92" t="s">
        <v>161</v>
      </c>
      <c r="H30" s="92">
        <f t="shared" si="13"/>
        <v>226</v>
      </c>
      <c r="I30" s="92">
        <f t="shared" si="13"/>
        <v>474</v>
      </c>
      <c r="J30" s="92">
        <f t="shared" si="13"/>
        <v>54.3</v>
      </c>
      <c r="K30" s="92">
        <v>438</v>
      </c>
      <c r="L30" s="92">
        <f t="shared" si="14"/>
        <v>0.113</v>
      </c>
      <c r="M30" s="92">
        <f t="shared" si="14"/>
        <v>0.08</v>
      </c>
      <c r="N30" s="92">
        <f t="shared" si="14"/>
        <v>-2.4E-2</v>
      </c>
      <c r="O30" s="92">
        <f t="shared" si="14"/>
        <v>0</v>
      </c>
      <c r="P30" s="92">
        <f t="shared" si="14"/>
        <v>9.6999999999999993</v>
      </c>
      <c r="Q30" s="92">
        <f t="shared" si="14"/>
        <v>23</v>
      </c>
      <c r="R30" s="92">
        <f t="shared" si="14"/>
        <v>16</v>
      </c>
      <c r="S30" s="92">
        <f t="shared" si="14"/>
        <v>9.1999999999999998E-2</v>
      </c>
      <c r="T30" s="92">
        <f t="shared" si="14"/>
        <v>6.1</v>
      </c>
      <c r="U30" s="92">
        <f t="shared" si="14"/>
        <v>4.3999999999999997E-2</v>
      </c>
      <c r="V30" s="92">
        <f t="shared" si="15"/>
        <v>37.799999999999997</v>
      </c>
      <c r="W30" s="92">
        <f t="shared" si="15"/>
        <v>6.1</v>
      </c>
      <c r="X30" s="92">
        <f t="shared" si="15"/>
        <v>4.3999999999999997E-2</v>
      </c>
      <c r="Y30" s="92">
        <f t="shared" si="15"/>
        <v>37.799999999999997</v>
      </c>
      <c r="Z30" s="92">
        <f t="shared" si="15"/>
        <v>1.7</v>
      </c>
      <c r="AA30" s="92">
        <f t="shared" si="15"/>
        <v>2.5999999999999999E-2</v>
      </c>
      <c r="AB30" s="92">
        <f t="shared" si="15"/>
        <v>15</v>
      </c>
      <c r="AC30" s="92">
        <f t="shared" si="15"/>
        <v>4.8</v>
      </c>
      <c r="AD30" s="92">
        <f t="shared" si="15"/>
        <v>5.0000000000000001E-3</v>
      </c>
      <c r="AE30" s="92">
        <f t="shared" si="15"/>
        <v>15.5</v>
      </c>
      <c r="AF30" s="92">
        <f t="shared" si="16"/>
        <v>5.5500000000000007</v>
      </c>
      <c r="AG30" s="92">
        <f t="shared" si="16"/>
        <v>5.4999999999999997E-3</v>
      </c>
      <c r="AH30" s="92">
        <f t="shared" si="16"/>
        <v>18.599999999999998</v>
      </c>
      <c r="AI30" s="92">
        <f t="shared" si="16"/>
        <v>13.5</v>
      </c>
      <c r="AJ30" s="92">
        <f t="shared" si="16"/>
        <v>1.4E-2</v>
      </c>
      <c r="AK30" s="92">
        <f t="shared" si="16"/>
        <v>44.9</v>
      </c>
      <c r="AL30" s="92">
        <f t="shared" si="16"/>
        <v>7.4</v>
      </c>
      <c r="AM30" s="92">
        <f t="shared" si="16"/>
        <v>8.0000000000000002E-3</v>
      </c>
      <c r="AN30" s="92">
        <f t="shared" si="16"/>
        <v>25.1</v>
      </c>
      <c r="AO30" s="92">
        <f t="shared" si="16"/>
        <v>13.2</v>
      </c>
      <c r="AP30" s="92">
        <f t="shared" si="16"/>
        <v>1.4E-2</v>
      </c>
      <c r="AQ30" s="92">
        <f t="shared" si="16"/>
        <v>23.4</v>
      </c>
      <c r="AR30" s="92">
        <v>1934</v>
      </c>
      <c r="AS30" s="92">
        <v>6.0999999999999999E-2</v>
      </c>
      <c r="AT30" s="92">
        <f t="shared" si="17"/>
        <v>0.99099999999999999</v>
      </c>
      <c r="AU30" s="68" t="s">
        <v>299</v>
      </c>
      <c r="AV30" s="309">
        <f t="shared" si="5"/>
        <v>0.03</v>
      </c>
      <c r="AW30" s="309">
        <f t="shared" si="6"/>
        <v>0.97</v>
      </c>
      <c r="AX30" s="92">
        <f t="shared" si="7"/>
        <v>332</v>
      </c>
      <c r="AY30" s="92">
        <f t="shared" si="7"/>
        <v>26</v>
      </c>
    </row>
    <row r="31" spans="1:51" ht="12.75" customHeight="1">
      <c r="A31" s="130" t="s">
        <v>119</v>
      </c>
      <c r="B31" s="92">
        <v>1</v>
      </c>
      <c r="C31" s="92">
        <v>86</v>
      </c>
      <c r="D31" s="92">
        <v>71</v>
      </c>
      <c r="E31" s="92">
        <v>6734</v>
      </c>
      <c r="F31" s="92">
        <v>5</v>
      </c>
      <c r="G31" s="92" t="s">
        <v>161</v>
      </c>
      <c r="H31" s="92">
        <f t="shared" si="13"/>
        <v>219</v>
      </c>
      <c r="I31" s="92">
        <f t="shared" si="13"/>
        <v>471</v>
      </c>
      <c r="J31" s="92">
        <f t="shared" si="13"/>
        <v>54.3</v>
      </c>
      <c r="K31" s="92">
        <v>507</v>
      </c>
      <c r="L31" s="92">
        <f t="shared" si="14"/>
        <v>0.113</v>
      </c>
      <c r="M31" s="92">
        <f t="shared" si="14"/>
        <v>7.1999999999999995E-2</v>
      </c>
      <c r="N31" s="92">
        <f t="shared" si="14"/>
        <v>-2.5999999999999999E-2</v>
      </c>
      <c r="O31" s="92">
        <f t="shared" si="14"/>
        <v>0</v>
      </c>
      <c r="P31" s="92">
        <f t="shared" si="14"/>
        <v>9.9</v>
      </c>
      <c r="Q31" s="92">
        <f t="shared" si="14"/>
        <v>20</v>
      </c>
      <c r="R31" s="92">
        <f t="shared" si="14"/>
        <v>19</v>
      </c>
      <c r="S31" s="92">
        <f t="shared" si="14"/>
        <v>7.9000000000000001E-2</v>
      </c>
      <c r="T31" s="92">
        <f t="shared" si="14"/>
        <v>3.1</v>
      </c>
      <c r="U31" s="92">
        <f t="shared" si="14"/>
        <v>1.8E-3</v>
      </c>
      <c r="V31" s="92">
        <f t="shared" si="15"/>
        <v>38.6</v>
      </c>
      <c r="W31" s="92">
        <f t="shared" si="15"/>
        <v>3.1</v>
      </c>
      <c r="X31" s="92">
        <f t="shared" si="15"/>
        <v>1.7999999999999999E-2</v>
      </c>
      <c r="Y31" s="92">
        <f t="shared" si="15"/>
        <v>38.6</v>
      </c>
      <c r="Z31" s="92">
        <f t="shared" si="15"/>
        <v>0.7</v>
      </c>
      <c r="AA31" s="92">
        <f t="shared" si="15"/>
        <v>0</v>
      </c>
      <c r="AB31" s="92">
        <f t="shared" si="15"/>
        <v>13.9</v>
      </c>
      <c r="AC31" s="92">
        <f t="shared" si="15"/>
        <v>3</v>
      </c>
      <c r="AD31" s="92">
        <f t="shared" si="15"/>
        <v>3.0000000000000001E-3</v>
      </c>
      <c r="AE31" s="92">
        <f t="shared" si="15"/>
        <v>16.5</v>
      </c>
      <c r="AF31" s="92">
        <f t="shared" si="16"/>
        <v>3.45</v>
      </c>
      <c r="AG31" s="92">
        <f t="shared" si="16"/>
        <v>1.5E-3</v>
      </c>
      <c r="AH31" s="92">
        <f t="shared" si="16"/>
        <v>19.7</v>
      </c>
      <c r="AI31" s="92">
        <f t="shared" si="16"/>
        <v>8.5</v>
      </c>
      <c r="AJ31" s="92">
        <f t="shared" si="16"/>
        <v>5.0000000000000001E-3</v>
      </c>
      <c r="AK31" s="92">
        <f t="shared" si="16"/>
        <v>47.7</v>
      </c>
      <c r="AL31" s="92">
        <f t="shared" si="16"/>
        <v>4.6500000000000004</v>
      </c>
      <c r="AM31" s="92">
        <f t="shared" si="16"/>
        <v>4.0000000000000001E-3</v>
      </c>
      <c r="AN31" s="92">
        <f t="shared" si="16"/>
        <v>26.5</v>
      </c>
      <c r="AO31" s="92">
        <f t="shared" si="16"/>
        <v>11.2</v>
      </c>
      <c r="AP31" s="92">
        <f t="shared" si="16"/>
        <v>6.0000000000000001E-3</v>
      </c>
      <c r="AQ31" s="92">
        <f t="shared" si="16"/>
        <v>24</v>
      </c>
      <c r="AR31" s="92">
        <v>1934</v>
      </c>
      <c r="AS31" s="92">
        <v>6.0999999999999999E-2</v>
      </c>
      <c r="AT31" s="92">
        <f t="shared" si="17"/>
        <v>1.036</v>
      </c>
      <c r="AU31" s="68" t="s">
        <v>298</v>
      </c>
      <c r="AV31" s="309">
        <f t="shared" si="5"/>
        <v>0.06</v>
      </c>
      <c r="AW31" s="309">
        <f t="shared" si="6"/>
        <v>0.94</v>
      </c>
      <c r="AX31" s="92">
        <f t="shared" si="7"/>
        <v>315</v>
      </c>
      <c r="AY31" s="92">
        <f t="shared" si="7"/>
        <v>25</v>
      </c>
    </row>
    <row r="32" spans="1:51" ht="12.75" customHeight="1">
      <c r="A32" s="130" t="s">
        <v>120</v>
      </c>
      <c r="B32" s="92">
        <v>-7</v>
      </c>
      <c r="C32" s="92">
        <v>86</v>
      </c>
      <c r="D32" s="92">
        <v>70</v>
      </c>
      <c r="E32" s="92">
        <v>6894</v>
      </c>
      <c r="F32" s="92">
        <v>6</v>
      </c>
      <c r="G32" s="92" t="s">
        <v>161</v>
      </c>
      <c r="H32" s="92">
        <f t="shared" si="13"/>
        <v>224</v>
      </c>
      <c r="I32" s="92">
        <f t="shared" si="13"/>
        <v>363</v>
      </c>
      <c r="J32" s="92">
        <f t="shared" si="13"/>
        <v>54.3</v>
      </c>
      <c r="K32" s="92">
        <v>438</v>
      </c>
      <c r="L32" s="92">
        <f t="shared" si="14"/>
        <v>0.113</v>
      </c>
      <c r="M32" s="92">
        <f t="shared" si="14"/>
        <v>0.08</v>
      </c>
      <c r="N32" s="92">
        <f t="shared" si="14"/>
        <v>-2.5000000000000001E-2</v>
      </c>
      <c r="O32" s="92">
        <f t="shared" si="14"/>
        <v>0</v>
      </c>
      <c r="P32" s="92">
        <f t="shared" si="14"/>
        <v>9.6999999999999993</v>
      </c>
      <c r="Q32" s="92">
        <f t="shared" si="14"/>
        <v>22</v>
      </c>
      <c r="R32" s="92">
        <f t="shared" si="14"/>
        <v>16</v>
      </c>
      <c r="S32" s="92">
        <f t="shared" si="14"/>
        <v>9.9000000000000005E-2</v>
      </c>
      <c r="T32" s="92">
        <f t="shared" si="14"/>
        <v>6.3</v>
      </c>
      <c r="U32" s="92">
        <f t="shared" si="14"/>
        <v>1.7999999999999999E-2</v>
      </c>
      <c r="V32" s="92">
        <f t="shared" si="15"/>
        <v>39.200000000000003</v>
      </c>
      <c r="W32" s="92">
        <f t="shared" si="15"/>
        <v>6.3</v>
      </c>
      <c r="X32" s="92">
        <f t="shared" si="15"/>
        <v>1.7999999999999999E-2</v>
      </c>
      <c r="Y32" s="92">
        <f t="shared" si="15"/>
        <v>39.200000000000003</v>
      </c>
      <c r="Z32" s="92">
        <f t="shared" si="15"/>
        <v>1.8</v>
      </c>
      <c r="AA32" s="92">
        <f t="shared" si="15"/>
        <v>1.7999999999999999E-2</v>
      </c>
      <c r="AB32" s="92">
        <f t="shared" si="15"/>
        <v>14.1</v>
      </c>
      <c r="AC32" s="92">
        <f t="shared" si="15"/>
        <v>4.3</v>
      </c>
      <c r="AD32" s="92">
        <f t="shared" si="15"/>
        <v>5.0000000000000001E-3</v>
      </c>
      <c r="AE32" s="92">
        <f t="shared" si="15"/>
        <v>15.7</v>
      </c>
      <c r="AF32" s="92">
        <f t="shared" si="16"/>
        <v>5</v>
      </c>
      <c r="AG32" s="92">
        <f t="shared" si="16"/>
        <v>4.0000000000000001E-3</v>
      </c>
      <c r="AH32" s="92">
        <f t="shared" si="16"/>
        <v>19</v>
      </c>
      <c r="AI32" s="92">
        <f t="shared" si="16"/>
        <v>12.2</v>
      </c>
      <c r="AJ32" s="92">
        <f t="shared" si="16"/>
        <v>1.0999999999999999E-2</v>
      </c>
      <c r="AK32" s="92">
        <f t="shared" si="16"/>
        <v>45.6</v>
      </c>
      <c r="AL32" s="92">
        <f t="shared" si="16"/>
        <v>6.6999999999999993</v>
      </c>
      <c r="AM32" s="92">
        <f t="shared" si="16"/>
        <v>6.5000000000000002E-2</v>
      </c>
      <c r="AN32" s="92">
        <f t="shared" si="16"/>
        <v>25.6</v>
      </c>
      <c r="AO32" s="92">
        <f t="shared" si="16"/>
        <v>12.8</v>
      </c>
      <c r="AP32" s="92">
        <f t="shared" si="16"/>
        <v>6.0000000000000001E-3</v>
      </c>
      <c r="AQ32" s="92">
        <f t="shared" si="16"/>
        <v>22.6</v>
      </c>
      <c r="AR32" s="92">
        <v>1934</v>
      </c>
      <c r="AS32" s="92">
        <v>6.0999999999999999E-2</v>
      </c>
      <c r="AT32" s="92">
        <f t="shared" si="17"/>
        <v>1</v>
      </c>
      <c r="AU32" s="68" t="s">
        <v>296</v>
      </c>
      <c r="AV32" s="309">
        <f t="shared" si="5"/>
        <v>0.03</v>
      </c>
      <c r="AW32" s="309">
        <f t="shared" si="6"/>
        <v>0.97</v>
      </c>
      <c r="AX32" s="92">
        <f t="shared" si="7"/>
        <v>346</v>
      </c>
      <c r="AY32" s="92">
        <f t="shared" si="7"/>
        <v>26</v>
      </c>
    </row>
    <row r="33" spans="1:51" ht="12.75" customHeight="1">
      <c r="A33" s="130" t="s">
        <v>121</v>
      </c>
      <c r="B33" s="92">
        <v>13</v>
      </c>
      <c r="C33" s="92">
        <v>89</v>
      </c>
      <c r="D33" s="92">
        <v>73</v>
      </c>
      <c r="E33" s="92">
        <v>4910</v>
      </c>
      <c r="F33" s="92">
        <v>4</v>
      </c>
      <c r="G33" s="92" t="s">
        <v>162</v>
      </c>
      <c r="H33" s="92">
        <f t="shared" si="13"/>
        <v>364</v>
      </c>
      <c r="I33" s="92">
        <f t="shared" si="13"/>
        <v>219</v>
      </c>
      <c r="J33" s="92">
        <f t="shared" si="13"/>
        <v>61.4</v>
      </c>
      <c r="K33" s="92">
        <v>1096</v>
      </c>
      <c r="L33" s="92">
        <f t="shared" si="14"/>
        <v>0.19400000000000001</v>
      </c>
      <c r="M33" s="92">
        <f t="shared" si="14"/>
        <v>0.10100000000000001</v>
      </c>
      <c r="N33" s="92">
        <f t="shared" si="14"/>
        <v>-2.1000000000000001E-2</v>
      </c>
      <c r="O33" s="92">
        <f t="shared" si="14"/>
        <v>0</v>
      </c>
      <c r="P33" s="92">
        <f t="shared" si="14"/>
        <v>10.7</v>
      </c>
      <c r="Q33" s="92">
        <f t="shared" si="14"/>
        <v>56</v>
      </c>
      <c r="R33" s="92">
        <f t="shared" si="14"/>
        <v>17</v>
      </c>
      <c r="S33" s="92">
        <f t="shared" si="14"/>
        <v>9.8000000000000004E-2</v>
      </c>
      <c r="T33" s="92">
        <f t="shared" si="14"/>
        <v>20.3</v>
      </c>
      <c r="U33" s="92">
        <f t="shared" si="14"/>
        <v>2.5999999999999999E-2</v>
      </c>
      <c r="V33" s="92">
        <f t="shared" si="15"/>
        <v>28.3</v>
      </c>
      <c r="W33" s="92">
        <f t="shared" si="15"/>
        <v>20.3</v>
      </c>
      <c r="X33" s="92">
        <f t="shared" si="15"/>
        <v>2.5999999999999999E-2</v>
      </c>
      <c r="Y33" s="92">
        <f t="shared" si="15"/>
        <v>28.3</v>
      </c>
      <c r="Z33" s="92">
        <f t="shared" si="15"/>
        <v>6.7</v>
      </c>
      <c r="AA33" s="92">
        <f t="shared" si="15"/>
        <v>8.9999999999999993E-3</v>
      </c>
      <c r="AB33" s="92">
        <f t="shared" si="15"/>
        <v>9.4</v>
      </c>
      <c r="AC33" s="92">
        <f t="shared" si="15"/>
        <v>11</v>
      </c>
      <c r="AD33" s="92">
        <f t="shared" si="15"/>
        <v>3.0000000000000001E-3</v>
      </c>
      <c r="AE33" s="92">
        <f t="shared" si="15"/>
        <v>10.7</v>
      </c>
      <c r="AF33" s="92">
        <f t="shared" si="16"/>
        <v>13.05</v>
      </c>
      <c r="AG33" s="92">
        <f t="shared" si="16"/>
        <v>2.5000000000000001E-3</v>
      </c>
      <c r="AH33" s="92">
        <f t="shared" si="16"/>
        <v>12.75</v>
      </c>
      <c r="AI33" s="92">
        <f t="shared" si="16"/>
        <v>31.7</v>
      </c>
      <c r="AJ33" s="92">
        <f t="shared" si="16"/>
        <v>8.0000000000000002E-3</v>
      </c>
      <c r="AK33" s="92">
        <f t="shared" si="16"/>
        <v>30.9</v>
      </c>
      <c r="AL33" s="92">
        <f t="shared" si="16"/>
        <v>17.600000000000001</v>
      </c>
      <c r="AM33" s="92">
        <f t="shared" si="16"/>
        <v>5.4999999999999997E-3</v>
      </c>
      <c r="AN33" s="92">
        <f t="shared" si="16"/>
        <v>17.350000000000001</v>
      </c>
      <c r="AO33" s="92">
        <f t="shared" si="16"/>
        <v>9.1999999999999993</v>
      </c>
      <c r="AP33" s="92">
        <f t="shared" si="16"/>
        <v>6.0000000000000001E-3</v>
      </c>
      <c r="AQ33" s="92">
        <f t="shared" si="16"/>
        <v>17.399999999999999</v>
      </c>
      <c r="AR33" s="92">
        <v>1934</v>
      </c>
      <c r="AS33" s="92">
        <v>6.0999999999999999E-2</v>
      </c>
      <c r="AT33" s="92">
        <f t="shared" si="17"/>
        <v>1.34</v>
      </c>
      <c r="AU33" s="68" t="s">
        <v>260</v>
      </c>
      <c r="AV33" s="309">
        <f t="shared" si="5"/>
        <v>0.15</v>
      </c>
      <c r="AW33" s="309">
        <f t="shared" si="6"/>
        <v>0.85</v>
      </c>
      <c r="AX33" s="92">
        <f t="shared" si="7"/>
        <v>370</v>
      </c>
      <c r="AY33" s="92">
        <f t="shared" si="7"/>
        <v>17</v>
      </c>
    </row>
    <row r="34" spans="1:51" ht="12.75" customHeight="1">
      <c r="A34" s="129" t="s">
        <v>122</v>
      </c>
      <c r="B34" s="92">
        <v>13</v>
      </c>
      <c r="C34" s="92">
        <v>89</v>
      </c>
      <c r="D34" s="92">
        <v>73</v>
      </c>
      <c r="E34" s="92">
        <v>4910</v>
      </c>
      <c r="F34" s="92">
        <v>4</v>
      </c>
      <c r="G34" s="92" t="s">
        <v>164</v>
      </c>
      <c r="H34" s="92">
        <v>364</v>
      </c>
      <c r="I34" s="92">
        <v>219</v>
      </c>
      <c r="J34" s="295">
        <v>61.4</v>
      </c>
      <c r="K34" s="92">
        <v>1096</v>
      </c>
      <c r="L34" s="92">
        <v>0.19400000000000001</v>
      </c>
      <c r="M34" s="92">
        <v>0.10100000000000001</v>
      </c>
      <c r="N34" s="92">
        <v>-2.1000000000000001E-2</v>
      </c>
      <c r="O34" s="92"/>
      <c r="P34" s="92">
        <v>10.7</v>
      </c>
      <c r="Q34" s="92">
        <v>56</v>
      </c>
      <c r="R34" s="92">
        <v>17</v>
      </c>
      <c r="S34" s="92">
        <v>9.8000000000000004E-2</v>
      </c>
      <c r="T34" s="92">
        <v>20.3</v>
      </c>
      <c r="U34" s="92">
        <v>2.5999999999999999E-2</v>
      </c>
      <c r="V34" s="92">
        <v>28.3</v>
      </c>
      <c r="W34" s="92">
        <v>20.3</v>
      </c>
      <c r="X34" s="92">
        <v>2.5999999999999999E-2</v>
      </c>
      <c r="Y34" s="92">
        <v>28.3</v>
      </c>
      <c r="Z34" s="92">
        <v>6.7</v>
      </c>
      <c r="AA34" s="92">
        <v>8.9999999999999993E-3</v>
      </c>
      <c r="AB34" s="92">
        <v>9.4</v>
      </c>
      <c r="AC34" s="92">
        <v>11</v>
      </c>
      <c r="AD34" s="92">
        <v>3.0000000000000001E-3</v>
      </c>
      <c r="AE34" s="92">
        <v>10.7</v>
      </c>
      <c r="AF34" s="92">
        <f>(20.6+5.5)/2</f>
        <v>13.05</v>
      </c>
      <c r="AG34" s="92">
        <v>2.5000000000000001E-3</v>
      </c>
      <c r="AH34" s="92">
        <f>(20.3+5.2)/2</f>
        <v>12.75</v>
      </c>
      <c r="AI34" s="92">
        <v>31.7</v>
      </c>
      <c r="AJ34" s="92">
        <v>8.0000000000000002E-3</v>
      </c>
      <c r="AK34" s="92">
        <v>30.9</v>
      </c>
      <c r="AL34" s="92">
        <f>(25.2+10)/2</f>
        <v>17.600000000000001</v>
      </c>
      <c r="AM34" s="92">
        <v>5.4999999999999997E-3</v>
      </c>
      <c r="AN34" s="92">
        <f>(24.9+9.8)/2</f>
        <v>17.350000000000001</v>
      </c>
      <c r="AO34" s="92">
        <f>2*4.6</f>
        <v>9.1999999999999993</v>
      </c>
      <c r="AP34" s="92">
        <f>2*0.003</f>
        <v>6.0000000000000001E-3</v>
      </c>
      <c r="AQ34" s="92">
        <f>2*8.7</f>
        <v>17.399999999999999</v>
      </c>
      <c r="AR34" s="92">
        <v>1934</v>
      </c>
      <c r="AS34" s="92">
        <v>6.0999999999999999E-2</v>
      </c>
      <c r="AT34" s="92">
        <v>1.34</v>
      </c>
      <c r="AU34" s="68" t="s">
        <v>260</v>
      </c>
      <c r="AV34" s="309">
        <f t="shared" si="5"/>
        <v>0.15</v>
      </c>
      <c r="AW34" s="309">
        <f t="shared" si="6"/>
        <v>0.85</v>
      </c>
      <c r="AX34" s="92">
        <v>370</v>
      </c>
      <c r="AY34" s="92">
        <v>17</v>
      </c>
    </row>
    <row r="35" spans="1:51" ht="12.75" customHeight="1">
      <c r="A35" s="130" t="s">
        <v>123</v>
      </c>
      <c r="B35" s="92">
        <v>2</v>
      </c>
      <c r="C35" s="92">
        <v>85</v>
      </c>
      <c r="D35" s="92">
        <v>73</v>
      </c>
      <c r="E35" s="92">
        <v>6747</v>
      </c>
      <c r="F35" s="92">
        <v>5</v>
      </c>
      <c r="G35" s="92" t="s">
        <v>161</v>
      </c>
      <c r="H35" s="92">
        <f t="shared" ref="H35:J36" si="18">IF($AU35="Albany",H$4,IF($AU35="Binghamton",H$7,IF($AU35="Buffalo",H$18,IF($AU35="Massena",H$48,IF($AU35="NYC",H$34,IF($AU35="Poughkeepsie",H$17,H$37))))))</f>
        <v>219</v>
      </c>
      <c r="I35" s="92">
        <f t="shared" si="18"/>
        <v>471</v>
      </c>
      <c r="J35" s="92">
        <f t="shared" si="18"/>
        <v>54.3</v>
      </c>
      <c r="K35" s="92">
        <v>507</v>
      </c>
      <c r="L35" s="92">
        <f t="shared" ref="L35:U36" si="19">IF($AU35="Albany",L$4,IF($AU35="Binghamton",L$7,IF($AU35="Buffalo",L$18,IF($AU35="Massena",L$48,IF($AU35="NYC",L$34,IF($AU35="Poughkeepsie",L$17,L$37))))))</f>
        <v>0.113</v>
      </c>
      <c r="M35" s="92">
        <f t="shared" si="19"/>
        <v>7.1999999999999995E-2</v>
      </c>
      <c r="N35" s="92">
        <f t="shared" si="19"/>
        <v>-2.5999999999999999E-2</v>
      </c>
      <c r="O35" s="92">
        <f t="shared" si="19"/>
        <v>0</v>
      </c>
      <c r="P35" s="92">
        <f t="shared" si="19"/>
        <v>9.9</v>
      </c>
      <c r="Q35" s="92">
        <f t="shared" si="19"/>
        <v>20</v>
      </c>
      <c r="R35" s="92">
        <f t="shared" si="19"/>
        <v>19</v>
      </c>
      <c r="S35" s="92">
        <f t="shared" si="19"/>
        <v>7.9000000000000001E-2</v>
      </c>
      <c r="T35" s="92">
        <f t="shared" si="19"/>
        <v>3.1</v>
      </c>
      <c r="U35" s="92">
        <f t="shared" si="19"/>
        <v>1.8E-3</v>
      </c>
      <c r="V35" s="92">
        <f t="shared" ref="V35:AE36" si="20">IF($AU35="Albany",V$4,IF($AU35="Binghamton",V$7,IF($AU35="Buffalo",V$18,IF($AU35="Massena",V$48,IF($AU35="NYC",V$34,IF($AU35="Poughkeepsie",V$17,V$37))))))</f>
        <v>38.6</v>
      </c>
      <c r="W35" s="92">
        <f t="shared" si="20"/>
        <v>3.1</v>
      </c>
      <c r="X35" s="92">
        <f t="shared" si="20"/>
        <v>1.7999999999999999E-2</v>
      </c>
      <c r="Y35" s="92">
        <f t="shared" si="20"/>
        <v>38.6</v>
      </c>
      <c r="Z35" s="92">
        <f t="shared" si="20"/>
        <v>0.7</v>
      </c>
      <c r="AA35" s="92">
        <f t="shared" si="20"/>
        <v>0</v>
      </c>
      <c r="AB35" s="92">
        <f t="shared" si="20"/>
        <v>13.9</v>
      </c>
      <c r="AC35" s="92">
        <f t="shared" si="20"/>
        <v>3</v>
      </c>
      <c r="AD35" s="92">
        <f t="shared" si="20"/>
        <v>3.0000000000000001E-3</v>
      </c>
      <c r="AE35" s="92">
        <f t="shared" si="20"/>
        <v>16.5</v>
      </c>
      <c r="AF35" s="92">
        <f t="shared" ref="AF35:AQ36" si="21">IF($AU35="Albany",AF$4,IF($AU35="Binghamton",AF$7,IF($AU35="Buffalo",AF$18,IF($AU35="Massena",AF$48,IF($AU35="NYC",AF$34,IF($AU35="Poughkeepsie",AF$17,AF$37))))))</f>
        <v>3.45</v>
      </c>
      <c r="AG35" s="92">
        <f t="shared" si="21"/>
        <v>1.5E-3</v>
      </c>
      <c r="AH35" s="92">
        <f t="shared" si="21"/>
        <v>19.7</v>
      </c>
      <c r="AI35" s="92">
        <f t="shared" si="21"/>
        <v>8.5</v>
      </c>
      <c r="AJ35" s="92">
        <f t="shared" si="21"/>
        <v>5.0000000000000001E-3</v>
      </c>
      <c r="AK35" s="92">
        <f t="shared" si="21"/>
        <v>47.7</v>
      </c>
      <c r="AL35" s="92">
        <f t="shared" si="21"/>
        <v>4.6500000000000004</v>
      </c>
      <c r="AM35" s="92">
        <f t="shared" si="21"/>
        <v>4.0000000000000001E-3</v>
      </c>
      <c r="AN35" s="92">
        <f t="shared" si="21"/>
        <v>26.5</v>
      </c>
      <c r="AO35" s="92">
        <f t="shared" si="21"/>
        <v>11.2</v>
      </c>
      <c r="AP35" s="92">
        <f t="shared" si="21"/>
        <v>6.0000000000000001E-3</v>
      </c>
      <c r="AQ35" s="92">
        <f t="shared" si="21"/>
        <v>24</v>
      </c>
      <c r="AR35" s="92">
        <v>1934</v>
      </c>
      <c r="AS35" s="92">
        <v>6.0999999999999999E-2</v>
      </c>
      <c r="AT35" s="92">
        <f>IF($AU35="Albany",AT$4,IF($AU35="Binghamton",AT$7,IF($AU35="Buffalo",AT$18,IF($AU35="Massena",AT$48,IF($AU35="NYC",AT$34,IF($AU35="Poughkeepsie",AT$17,AT$37))))))</f>
        <v>1.036</v>
      </c>
      <c r="AU35" s="68" t="s">
        <v>298</v>
      </c>
      <c r="AV35" s="309">
        <f t="shared" si="5"/>
        <v>0.06</v>
      </c>
      <c r="AW35" s="309">
        <f t="shared" si="6"/>
        <v>0.94</v>
      </c>
      <c r="AX35" s="92">
        <f t="shared" si="7"/>
        <v>315</v>
      </c>
      <c r="AY35" s="92">
        <f t="shared" si="7"/>
        <v>25</v>
      </c>
    </row>
    <row r="36" spans="1:51" ht="12.75" customHeight="1">
      <c r="A36" s="130" t="s">
        <v>124</v>
      </c>
      <c r="B36" s="92">
        <v>-5</v>
      </c>
      <c r="C36" s="92">
        <v>86</v>
      </c>
      <c r="D36" s="92">
        <v>70</v>
      </c>
      <c r="E36" s="92">
        <v>7244</v>
      </c>
      <c r="F36" s="92">
        <v>6</v>
      </c>
      <c r="G36" s="92">
        <v>15</v>
      </c>
      <c r="H36" s="92">
        <f t="shared" si="18"/>
        <v>226</v>
      </c>
      <c r="I36" s="92">
        <f t="shared" si="18"/>
        <v>474</v>
      </c>
      <c r="J36" s="92">
        <f t="shared" si="18"/>
        <v>54.3</v>
      </c>
      <c r="K36" s="92">
        <v>438</v>
      </c>
      <c r="L36" s="92">
        <f t="shared" si="19"/>
        <v>0.113</v>
      </c>
      <c r="M36" s="92">
        <f t="shared" si="19"/>
        <v>0.08</v>
      </c>
      <c r="N36" s="92">
        <f t="shared" si="19"/>
        <v>-2.4E-2</v>
      </c>
      <c r="O36" s="92">
        <f t="shared" si="19"/>
        <v>0</v>
      </c>
      <c r="P36" s="92">
        <f t="shared" si="19"/>
        <v>9.6999999999999993</v>
      </c>
      <c r="Q36" s="92">
        <f t="shared" si="19"/>
        <v>23</v>
      </c>
      <c r="R36" s="92">
        <f t="shared" si="19"/>
        <v>16</v>
      </c>
      <c r="S36" s="92">
        <f t="shared" si="19"/>
        <v>9.1999999999999998E-2</v>
      </c>
      <c r="T36" s="92">
        <f t="shared" si="19"/>
        <v>6.1</v>
      </c>
      <c r="U36" s="92">
        <f t="shared" si="19"/>
        <v>4.3999999999999997E-2</v>
      </c>
      <c r="V36" s="92">
        <f t="shared" si="20"/>
        <v>37.799999999999997</v>
      </c>
      <c r="W36" s="92">
        <f t="shared" si="20"/>
        <v>6.1</v>
      </c>
      <c r="X36" s="92">
        <f t="shared" si="20"/>
        <v>4.3999999999999997E-2</v>
      </c>
      <c r="Y36" s="92">
        <f t="shared" si="20"/>
        <v>37.799999999999997</v>
      </c>
      <c r="Z36" s="92">
        <f t="shared" si="20"/>
        <v>1.7</v>
      </c>
      <c r="AA36" s="92">
        <f t="shared" si="20"/>
        <v>2.5999999999999999E-2</v>
      </c>
      <c r="AB36" s="92">
        <f t="shared" si="20"/>
        <v>15</v>
      </c>
      <c r="AC36" s="92">
        <f t="shared" si="20"/>
        <v>4.8</v>
      </c>
      <c r="AD36" s="92">
        <f t="shared" si="20"/>
        <v>5.0000000000000001E-3</v>
      </c>
      <c r="AE36" s="92">
        <f t="shared" si="20"/>
        <v>15.5</v>
      </c>
      <c r="AF36" s="92">
        <f t="shared" si="21"/>
        <v>5.5500000000000007</v>
      </c>
      <c r="AG36" s="92">
        <f t="shared" si="21"/>
        <v>5.4999999999999997E-3</v>
      </c>
      <c r="AH36" s="92">
        <f t="shared" si="21"/>
        <v>18.599999999999998</v>
      </c>
      <c r="AI36" s="92">
        <f t="shared" si="21"/>
        <v>13.5</v>
      </c>
      <c r="AJ36" s="92">
        <f t="shared" si="21"/>
        <v>1.4E-2</v>
      </c>
      <c r="AK36" s="92">
        <f t="shared" si="21"/>
        <v>44.9</v>
      </c>
      <c r="AL36" s="92">
        <f t="shared" si="21"/>
        <v>7.4</v>
      </c>
      <c r="AM36" s="92">
        <f t="shared" si="21"/>
        <v>8.0000000000000002E-3</v>
      </c>
      <c r="AN36" s="92">
        <f t="shared" si="21"/>
        <v>25.1</v>
      </c>
      <c r="AO36" s="92">
        <f t="shared" si="21"/>
        <v>13.2</v>
      </c>
      <c r="AP36" s="92">
        <f t="shared" si="21"/>
        <v>1.4E-2</v>
      </c>
      <c r="AQ36" s="92">
        <f t="shared" si="21"/>
        <v>23.4</v>
      </c>
      <c r="AR36" s="92">
        <v>1934</v>
      </c>
      <c r="AS36" s="92">
        <v>6.0999999999999999E-2</v>
      </c>
      <c r="AT36" s="92">
        <f>IF($AU36="Albany",AT$4,IF($AU36="Binghamton",AT$7,IF($AU36="Buffalo",AT$18,IF($AU36="Massena",AT$48,IF($AU36="NYC",AT$34,IF($AU36="Poughkeepsie",AT$17,AT$37))))))</f>
        <v>0.99099999999999999</v>
      </c>
      <c r="AU36" s="68" t="s">
        <v>299</v>
      </c>
      <c r="AV36" s="309">
        <f t="shared" si="5"/>
        <v>0.03</v>
      </c>
      <c r="AW36" s="309">
        <f t="shared" si="6"/>
        <v>0.97</v>
      </c>
      <c r="AX36" s="92">
        <f t="shared" si="7"/>
        <v>332</v>
      </c>
      <c r="AY36" s="92">
        <f t="shared" si="7"/>
        <v>26</v>
      </c>
    </row>
    <row r="37" spans="1:51" ht="12.75" customHeight="1">
      <c r="A37" s="129" t="s">
        <v>125</v>
      </c>
      <c r="B37" s="92">
        <v>-3</v>
      </c>
      <c r="C37" s="92">
        <v>85</v>
      </c>
      <c r="D37" s="92">
        <v>71</v>
      </c>
      <c r="E37" s="92">
        <v>6834</v>
      </c>
      <c r="F37" s="92">
        <v>5</v>
      </c>
      <c r="G37" s="92" t="s">
        <v>161</v>
      </c>
      <c r="H37" s="92">
        <v>226</v>
      </c>
      <c r="I37" s="92">
        <v>474</v>
      </c>
      <c r="J37" s="92">
        <v>54.3</v>
      </c>
      <c r="K37" s="92">
        <v>507</v>
      </c>
      <c r="L37" s="92">
        <v>0.113</v>
      </c>
      <c r="M37" s="92">
        <v>0.08</v>
      </c>
      <c r="N37" s="92">
        <v>-2.4E-2</v>
      </c>
      <c r="O37" s="92"/>
      <c r="P37" s="92">
        <v>9.6999999999999993</v>
      </c>
      <c r="Q37" s="92">
        <v>23</v>
      </c>
      <c r="R37" s="92">
        <v>16</v>
      </c>
      <c r="S37" s="92">
        <v>9.1999999999999998E-2</v>
      </c>
      <c r="T37" s="92">
        <v>6.1</v>
      </c>
      <c r="U37" s="92">
        <v>4.3999999999999997E-2</v>
      </c>
      <c r="V37" s="92">
        <v>37.799999999999997</v>
      </c>
      <c r="W37" s="92">
        <v>6.1</v>
      </c>
      <c r="X37" s="92">
        <v>4.3999999999999997E-2</v>
      </c>
      <c r="Y37" s="92">
        <v>37.799999999999997</v>
      </c>
      <c r="Z37" s="92">
        <v>1.7</v>
      </c>
      <c r="AA37" s="92">
        <v>2.5999999999999999E-2</v>
      </c>
      <c r="AB37" s="92">
        <v>15</v>
      </c>
      <c r="AC37" s="92">
        <v>4.8</v>
      </c>
      <c r="AD37" s="92">
        <v>5.0000000000000001E-3</v>
      </c>
      <c r="AE37" s="92">
        <v>15.5</v>
      </c>
      <c r="AF37" s="92">
        <f>(2.3+8.8)/2</f>
        <v>5.5500000000000007</v>
      </c>
      <c r="AG37" s="92">
        <v>5.4999999999999997E-3</v>
      </c>
      <c r="AH37" s="92">
        <f>(29.4+7.8)/2</f>
        <v>18.599999999999998</v>
      </c>
      <c r="AI37" s="92">
        <v>13.5</v>
      </c>
      <c r="AJ37" s="92">
        <v>1.4E-2</v>
      </c>
      <c r="AK37" s="92">
        <v>44.9</v>
      </c>
      <c r="AL37" s="92">
        <f>(10.6+4.2)/2</f>
        <v>7.4</v>
      </c>
      <c r="AM37" s="92">
        <v>8.0000000000000002E-3</v>
      </c>
      <c r="AN37" s="92">
        <f>(35.9+14.3)/2</f>
        <v>25.1</v>
      </c>
      <c r="AO37" s="92">
        <f>2*6.6</f>
        <v>13.2</v>
      </c>
      <c r="AP37" s="92">
        <f>2*0.007</f>
        <v>1.4E-2</v>
      </c>
      <c r="AQ37" s="92">
        <f>2*11.7</f>
        <v>23.4</v>
      </c>
      <c r="AR37" s="92">
        <v>1934</v>
      </c>
      <c r="AS37" s="92">
        <v>6.0999999999999999E-2</v>
      </c>
      <c r="AT37" s="92">
        <v>0.99099999999999999</v>
      </c>
      <c r="AU37" s="68" t="s">
        <v>299</v>
      </c>
      <c r="AV37" s="309">
        <f t="shared" si="5"/>
        <v>0.06</v>
      </c>
      <c r="AW37" s="309">
        <f t="shared" si="6"/>
        <v>0.94</v>
      </c>
      <c r="AX37" s="92">
        <v>332</v>
      </c>
      <c r="AY37" s="92">
        <v>26</v>
      </c>
    </row>
    <row r="38" spans="1:51" ht="12.75" customHeight="1">
      <c r="A38" s="130" t="s">
        <v>126</v>
      </c>
      <c r="B38" s="92">
        <v>1</v>
      </c>
      <c r="C38" s="92">
        <v>86</v>
      </c>
      <c r="D38" s="92">
        <v>71</v>
      </c>
      <c r="E38" s="92">
        <v>6734</v>
      </c>
      <c r="F38" s="92">
        <v>5</v>
      </c>
      <c r="G38" s="92" t="s">
        <v>161</v>
      </c>
      <c r="H38" s="92">
        <f t="shared" ref="H38:J47" si="22">IF($AU38="Albany",H$4,IF($AU38="Binghamton",H$7,IF($AU38="Buffalo",H$18,IF($AU38="Massena",H$48,IF($AU38="NYC",H$34,IF($AU38="Poughkeepsie",H$17,H$37))))))</f>
        <v>219</v>
      </c>
      <c r="I38" s="92">
        <f t="shared" si="22"/>
        <v>471</v>
      </c>
      <c r="J38" s="92">
        <f t="shared" si="22"/>
        <v>54.3</v>
      </c>
      <c r="K38" s="92">
        <v>507</v>
      </c>
      <c r="L38" s="92">
        <f t="shared" ref="L38:U47" si="23">IF($AU38="Albany",L$4,IF($AU38="Binghamton",L$7,IF($AU38="Buffalo",L$18,IF($AU38="Massena",L$48,IF($AU38="NYC",L$34,IF($AU38="Poughkeepsie",L$17,L$37))))))</f>
        <v>0.113</v>
      </c>
      <c r="M38" s="92">
        <f t="shared" si="23"/>
        <v>7.1999999999999995E-2</v>
      </c>
      <c r="N38" s="92">
        <f t="shared" si="23"/>
        <v>-2.5999999999999999E-2</v>
      </c>
      <c r="O38" s="92">
        <f t="shared" si="23"/>
        <v>0</v>
      </c>
      <c r="P38" s="92">
        <f t="shared" si="23"/>
        <v>9.9</v>
      </c>
      <c r="Q38" s="92">
        <f t="shared" si="23"/>
        <v>20</v>
      </c>
      <c r="R38" s="92">
        <f t="shared" si="23"/>
        <v>19</v>
      </c>
      <c r="S38" s="92">
        <f t="shared" si="23"/>
        <v>7.9000000000000001E-2</v>
      </c>
      <c r="T38" s="92">
        <f t="shared" si="23"/>
        <v>3.1</v>
      </c>
      <c r="U38" s="92">
        <f t="shared" si="23"/>
        <v>1.8E-3</v>
      </c>
      <c r="V38" s="92">
        <f t="shared" ref="V38:AE47" si="24">IF($AU38="Albany",V$4,IF($AU38="Binghamton",V$7,IF($AU38="Buffalo",V$18,IF($AU38="Massena",V$48,IF($AU38="NYC",V$34,IF($AU38="Poughkeepsie",V$17,V$37))))))</f>
        <v>38.6</v>
      </c>
      <c r="W38" s="92">
        <f t="shared" si="24"/>
        <v>3.1</v>
      </c>
      <c r="X38" s="92">
        <f t="shared" si="24"/>
        <v>1.7999999999999999E-2</v>
      </c>
      <c r="Y38" s="92">
        <f t="shared" si="24"/>
        <v>38.6</v>
      </c>
      <c r="Z38" s="92">
        <f t="shared" si="24"/>
        <v>0.7</v>
      </c>
      <c r="AA38" s="92">
        <f t="shared" si="24"/>
        <v>0</v>
      </c>
      <c r="AB38" s="92">
        <f t="shared" si="24"/>
        <v>13.9</v>
      </c>
      <c r="AC38" s="92">
        <f t="shared" si="24"/>
        <v>3</v>
      </c>
      <c r="AD38" s="92">
        <f t="shared" si="24"/>
        <v>3.0000000000000001E-3</v>
      </c>
      <c r="AE38" s="92">
        <f t="shared" si="24"/>
        <v>16.5</v>
      </c>
      <c r="AF38" s="92">
        <f t="shared" ref="AF38:AQ47" si="25">IF($AU38="Albany",AF$4,IF($AU38="Binghamton",AF$7,IF($AU38="Buffalo",AF$18,IF($AU38="Massena",AF$48,IF($AU38="NYC",AF$34,IF($AU38="Poughkeepsie",AF$17,AF$37))))))</f>
        <v>3.45</v>
      </c>
      <c r="AG38" s="92">
        <f t="shared" si="25"/>
        <v>1.5E-3</v>
      </c>
      <c r="AH38" s="92">
        <f t="shared" si="25"/>
        <v>19.7</v>
      </c>
      <c r="AI38" s="92">
        <f t="shared" si="25"/>
        <v>8.5</v>
      </c>
      <c r="AJ38" s="92">
        <f t="shared" si="25"/>
        <v>5.0000000000000001E-3</v>
      </c>
      <c r="AK38" s="92">
        <f t="shared" si="25"/>
        <v>47.7</v>
      </c>
      <c r="AL38" s="92">
        <f t="shared" si="25"/>
        <v>4.6500000000000004</v>
      </c>
      <c r="AM38" s="92">
        <f t="shared" si="25"/>
        <v>4.0000000000000001E-3</v>
      </c>
      <c r="AN38" s="92">
        <f t="shared" si="25"/>
        <v>26.5</v>
      </c>
      <c r="AO38" s="92">
        <f t="shared" si="25"/>
        <v>11.2</v>
      </c>
      <c r="AP38" s="92">
        <f t="shared" si="25"/>
        <v>6.0000000000000001E-3</v>
      </c>
      <c r="AQ38" s="92">
        <f t="shared" si="25"/>
        <v>24</v>
      </c>
      <c r="AR38" s="92">
        <v>1934</v>
      </c>
      <c r="AS38" s="92">
        <v>6.0999999999999999E-2</v>
      </c>
      <c r="AT38" s="92">
        <f t="shared" ref="AT38:AT47" si="26">IF($AU38="Albany",AT$4,IF($AU38="Binghamton",AT$7,IF($AU38="Buffalo",AT$18,IF($AU38="Massena",AT$48,IF($AU38="NYC",AT$34,IF($AU38="Poughkeepsie",AT$17,AT$37))))))</f>
        <v>1.036</v>
      </c>
      <c r="AU38" s="68" t="s">
        <v>298</v>
      </c>
      <c r="AV38" s="309">
        <f t="shared" si="5"/>
        <v>0.06</v>
      </c>
      <c r="AW38" s="309">
        <f t="shared" si="6"/>
        <v>0.94</v>
      </c>
      <c r="AX38" s="92">
        <f t="shared" si="7"/>
        <v>315</v>
      </c>
      <c r="AY38" s="92">
        <f t="shared" si="7"/>
        <v>25</v>
      </c>
    </row>
    <row r="39" spans="1:51" ht="12.75" customHeight="1">
      <c r="A39" s="130" t="s">
        <v>127</v>
      </c>
      <c r="B39" s="92">
        <v>6</v>
      </c>
      <c r="C39" s="92">
        <v>83</v>
      </c>
      <c r="D39" s="92">
        <v>73</v>
      </c>
      <c r="E39" s="92">
        <v>5750</v>
      </c>
      <c r="F39" s="92">
        <v>5</v>
      </c>
      <c r="G39" s="92" t="s">
        <v>165</v>
      </c>
      <c r="H39" s="92">
        <f t="shared" si="22"/>
        <v>282</v>
      </c>
      <c r="I39" s="92">
        <f t="shared" si="22"/>
        <v>291</v>
      </c>
      <c r="J39" s="92">
        <f t="shared" si="22"/>
        <v>55.8</v>
      </c>
      <c r="K39" s="92">
        <v>507</v>
      </c>
      <c r="L39" s="92">
        <f t="shared" si="23"/>
        <v>0.16800000000000001</v>
      </c>
      <c r="M39" s="92">
        <f t="shared" si="23"/>
        <v>9.1999999999999998E-2</v>
      </c>
      <c r="N39" s="92">
        <f t="shared" si="23"/>
        <v>-2.3E-2</v>
      </c>
      <c r="O39" s="92">
        <f t="shared" si="23"/>
        <v>0</v>
      </c>
      <c r="P39" s="92">
        <f t="shared" si="23"/>
        <v>10.7</v>
      </c>
      <c r="Q39" s="92">
        <f t="shared" si="23"/>
        <v>56</v>
      </c>
      <c r="R39" s="92">
        <f t="shared" si="23"/>
        <v>17</v>
      </c>
      <c r="S39" s="92">
        <f t="shared" si="23"/>
        <v>9.8000000000000004E-2</v>
      </c>
      <c r="T39" s="92">
        <f t="shared" si="23"/>
        <v>-0.3</v>
      </c>
      <c r="U39" s="92">
        <f t="shared" si="23"/>
        <v>1.7999999999999999E-2</v>
      </c>
      <c r="V39" s="92">
        <f t="shared" si="24"/>
        <v>38.700000000000003</v>
      </c>
      <c r="W39" s="92">
        <f t="shared" si="24"/>
        <v>-0.3</v>
      </c>
      <c r="X39" s="92">
        <f t="shared" si="24"/>
        <v>1.7999999999999999E-2</v>
      </c>
      <c r="Y39" s="92">
        <f t="shared" si="24"/>
        <v>38.700000000000003</v>
      </c>
      <c r="Z39" s="92">
        <f t="shared" si="24"/>
        <v>-0.9</v>
      </c>
      <c r="AA39" s="92">
        <f t="shared" si="24"/>
        <v>8.9999999999999993E-3</v>
      </c>
      <c r="AB39" s="92">
        <f t="shared" si="24"/>
        <v>13.4</v>
      </c>
      <c r="AC39" s="92">
        <f t="shared" si="24"/>
        <v>3.6</v>
      </c>
      <c r="AD39" s="92">
        <f t="shared" si="24"/>
        <v>3.0000000000000001E-3</v>
      </c>
      <c r="AE39" s="92">
        <f t="shared" si="24"/>
        <v>13</v>
      </c>
      <c r="AF39" s="92">
        <f t="shared" si="25"/>
        <v>3.95</v>
      </c>
      <c r="AG39" s="92">
        <f t="shared" si="25"/>
        <v>1.5E-3</v>
      </c>
      <c r="AH39" s="92">
        <f t="shared" si="25"/>
        <v>15.9</v>
      </c>
      <c r="AI39" s="92">
        <f t="shared" si="25"/>
        <v>9.9</v>
      </c>
      <c r="AJ39" s="92">
        <f t="shared" si="25"/>
        <v>5.0000000000000001E-3</v>
      </c>
      <c r="AK39" s="92">
        <f t="shared" si="25"/>
        <v>38.1</v>
      </c>
      <c r="AL39" s="92">
        <f t="shared" si="25"/>
        <v>5.25</v>
      </c>
      <c r="AM39" s="92">
        <f t="shared" si="25"/>
        <v>4.0000000000000001E-3</v>
      </c>
      <c r="AN39" s="92">
        <f t="shared" si="25"/>
        <v>21.1</v>
      </c>
      <c r="AO39" s="92">
        <f t="shared" si="25"/>
        <v>11.6</v>
      </c>
      <c r="AP39" s="92">
        <f t="shared" si="25"/>
        <v>0</v>
      </c>
      <c r="AQ39" s="92">
        <f t="shared" si="25"/>
        <v>23.6</v>
      </c>
      <c r="AR39" s="92">
        <v>1934</v>
      </c>
      <c r="AS39" s="92">
        <v>6.0999999999999999E-2</v>
      </c>
      <c r="AT39" s="92">
        <f t="shared" si="26"/>
        <v>1.145</v>
      </c>
      <c r="AU39" s="68" t="s">
        <v>301</v>
      </c>
      <c r="AV39" s="309">
        <f t="shared" si="5"/>
        <v>0.06</v>
      </c>
      <c r="AW39" s="309">
        <f t="shared" si="6"/>
        <v>0.94</v>
      </c>
      <c r="AX39" s="92">
        <f t="shared" si="7"/>
        <v>370</v>
      </c>
      <c r="AY39" s="92">
        <f t="shared" si="7"/>
        <v>17</v>
      </c>
    </row>
    <row r="40" spans="1:51" ht="12.75" customHeight="1">
      <c r="A40" s="130" t="s">
        <v>128</v>
      </c>
      <c r="B40" s="92">
        <v>1</v>
      </c>
      <c r="C40" s="92">
        <v>86</v>
      </c>
      <c r="D40" s="92">
        <v>71</v>
      </c>
      <c r="E40" s="92">
        <v>6734</v>
      </c>
      <c r="F40" s="92">
        <v>5</v>
      </c>
      <c r="G40" s="92" t="s">
        <v>161</v>
      </c>
      <c r="H40" s="92">
        <f t="shared" si="22"/>
        <v>219</v>
      </c>
      <c r="I40" s="92">
        <f t="shared" si="22"/>
        <v>471</v>
      </c>
      <c r="J40" s="92">
        <f t="shared" si="22"/>
        <v>54.3</v>
      </c>
      <c r="K40" s="92">
        <v>507</v>
      </c>
      <c r="L40" s="92">
        <f t="shared" si="23"/>
        <v>0.113</v>
      </c>
      <c r="M40" s="92">
        <f t="shared" si="23"/>
        <v>7.1999999999999995E-2</v>
      </c>
      <c r="N40" s="92">
        <f t="shared" si="23"/>
        <v>-2.5999999999999999E-2</v>
      </c>
      <c r="O40" s="92">
        <f t="shared" si="23"/>
        <v>0</v>
      </c>
      <c r="P40" s="92">
        <f t="shared" si="23"/>
        <v>9.9</v>
      </c>
      <c r="Q40" s="92">
        <f t="shared" si="23"/>
        <v>20</v>
      </c>
      <c r="R40" s="92">
        <f t="shared" si="23"/>
        <v>19</v>
      </c>
      <c r="S40" s="92">
        <f t="shared" si="23"/>
        <v>7.9000000000000001E-2</v>
      </c>
      <c r="T40" s="92">
        <f t="shared" si="23"/>
        <v>3.1</v>
      </c>
      <c r="U40" s="92">
        <f t="shared" si="23"/>
        <v>1.8E-3</v>
      </c>
      <c r="V40" s="92">
        <f t="shared" si="24"/>
        <v>38.6</v>
      </c>
      <c r="W40" s="92">
        <f t="shared" si="24"/>
        <v>3.1</v>
      </c>
      <c r="X40" s="92">
        <f t="shared" si="24"/>
        <v>1.7999999999999999E-2</v>
      </c>
      <c r="Y40" s="92">
        <f t="shared" si="24"/>
        <v>38.6</v>
      </c>
      <c r="Z40" s="92">
        <f t="shared" si="24"/>
        <v>0.7</v>
      </c>
      <c r="AA40" s="92">
        <f t="shared" si="24"/>
        <v>0</v>
      </c>
      <c r="AB40" s="92">
        <f t="shared" si="24"/>
        <v>13.9</v>
      </c>
      <c r="AC40" s="92">
        <f t="shared" si="24"/>
        <v>3</v>
      </c>
      <c r="AD40" s="92">
        <f t="shared" si="24"/>
        <v>3.0000000000000001E-3</v>
      </c>
      <c r="AE40" s="92">
        <f t="shared" si="24"/>
        <v>16.5</v>
      </c>
      <c r="AF40" s="92">
        <f t="shared" si="25"/>
        <v>3.45</v>
      </c>
      <c r="AG40" s="92">
        <f t="shared" si="25"/>
        <v>1.5E-3</v>
      </c>
      <c r="AH40" s="92">
        <f t="shared" si="25"/>
        <v>19.7</v>
      </c>
      <c r="AI40" s="92">
        <f t="shared" si="25"/>
        <v>8.5</v>
      </c>
      <c r="AJ40" s="92">
        <f t="shared" si="25"/>
        <v>5.0000000000000001E-3</v>
      </c>
      <c r="AK40" s="92">
        <f t="shared" si="25"/>
        <v>47.7</v>
      </c>
      <c r="AL40" s="92">
        <f t="shared" si="25"/>
        <v>4.6500000000000004</v>
      </c>
      <c r="AM40" s="92">
        <f t="shared" si="25"/>
        <v>4.0000000000000001E-3</v>
      </c>
      <c r="AN40" s="92">
        <f t="shared" si="25"/>
        <v>26.5</v>
      </c>
      <c r="AO40" s="92">
        <f t="shared" si="25"/>
        <v>11.2</v>
      </c>
      <c r="AP40" s="92">
        <f t="shared" si="25"/>
        <v>6.0000000000000001E-3</v>
      </c>
      <c r="AQ40" s="92">
        <f t="shared" si="25"/>
        <v>24</v>
      </c>
      <c r="AR40" s="92">
        <v>1934</v>
      </c>
      <c r="AS40" s="92">
        <v>6.0999999999999999E-2</v>
      </c>
      <c r="AT40" s="92">
        <f t="shared" si="26"/>
        <v>1.036</v>
      </c>
      <c r="AU40" s="68" t="s">
        <v>298</v>
      </c>
      <c r="AV40" s="309">
        <f t="shared" si="5"/>
        <v>0.06</v>
      </c>
      <c r="AW40" s="309">
        <f t="shared" si="6"/>
        <v>0.94</v>
      </c>
      <c r="AX40" s="92">
        <f t="shared" si="7"/>
        <v>315</v>
      </c>
      <c r="AY40" s="92">
        <f t="shared" si="7"/>
        <v>25</v>
      </c>
    </row>
    <row r="41" spans="1:51" ht="12.75" customHeight="1">
      <c r="A41" s="130" t="s">
        <v>129</v>
      </c>
      <c r="B41" s="92">
        <v>-3</v>
      </c>
      <c r="C41" s="92">
        <v>85</v>
      </c>
      <c r="D41" s="92">
        <v>71</v>
      </c>
      <c r="E41" s="92">
        <v>6834</v>
      </c>
      <c r="F41" s="92">
        <v>5</v>
      </c>
      <c r="G41" s="92" t="s">
        <v>161</v>
      </c>
      <c r="H41" s="92">
        <f t="shared" si="22"/>
        <v>226</v>
      </c>
      <c r="I41" s="92">
        <f t="shared" si="22"/>
        <v>474</v>
      </c>
      <c r="J41" s="92">
        <f t="shared" si="22"/>
        <v>54.3</v>
      </c>
      <c r="K41" s="92">
        <v>507</v>
      </c>
      <c r="L41" s="92">
        <f t="shared" si="23"/>
        <v>0.113</v>
      </c>
      <c r="M41" s="92">
        <f t="shared" si="23"/>
        <v>0.08</v>
      </c>
      <c r="N41" s="92">
        <f t="shared" si="23"/>
        <v>-2.4E-2</v>
      </c>
      <c r="O41" s="92">
        <f t="shared" si="23"/>
        <v>0</v>
      </c>
      <c r="P41" s="92">
        <f t="shared" si="23"/>
        <v>9.6999999999999993</v>
      </c>
      <c r="Q41" s="92">
        <f t="shared" si="23"/>
        <v>23</v>
      </c>
      <c r="R41" s="92">
        <f t="shared" si="23"/>
        <v>16</v>
      </c>
      <c r="S41" s="92">
        <f t="shared" si="23"/>
        <v>9.1999999999999998E-2</v>
      </c>
      <c r="T41" s="92">
        <f t="shared" si="23"/>
        <v>6.1</v>
      </c>
      <c r="U41" s="92">
        <f t="shared" si="23"/>
        <v>4.3999999999999997E-2</v>
      </c>
      <c r="V41" s="92">
        <f t="shared" si="24"/>
        <v>37.799999999999997</v>
      </c>
      <c r="W41" s="92">
        <f t="shared" si="24"/>
        <v>6.1</v>
      </c>
      <c r="X41" s="92">
        <f t="shared" si="24"/>
        <v>4.3999999999999997E-2</v>
      </c>
      <c r="Y41" s="92">
        <f t="shared" si="24"/>
        <v>37.799999999999997</v>
      </c>
      <c r="Z41" s="92">
        <f t="shared" si="24"/>
        <v>1.7</v>
      </c>
      <c r="AA41" s="92">
        <f t="shared" si="24"/>
        <v>2.5999999999999999E-2</v>
      </c>
      <c r="AB41" s="92">
        <f t="shared" si="24"/>
        <v>15</v>
      </c>
      <c r="AC41" s="92">
        <f t="shared" si="24"/>
        <v>4.8</v>
      </c>
      <c r="AD41" s="92">
        <f t="shared" si="24"/>
        <v>5.0000000000000001E-3</v>
      </c>
      <c r="AE41" s="92">
        <f t="shared" si="24"/>
        <v>15.5</v>
      </c>
      <c r="AF41" s="92">
        <f t="shared" si="25"/>
        <v>5.5500000000000007</v>
      </c>
      <c r="AG41" s="92">
        <f t="shared" si="25"/>
        <v>5.4999999999999997E-3</v>
      </c>
      <c r="AH41" s="92">
        <f t="shared" si="25"/>
        <v>18.599999999999998</v>
      </c>
      <c r="AI41" s="92">
        <f t="shared" si="25"/>
        <v>13.5</v>
      </c>
      <c r="AJ41" s="92">
        <f t="shared" si="25"/>
        <v>1.4E-2</v>
      </c>
      <c r="AK41" s="92">
        <f t="shared" si="25"/>
        <v>44.9</v>
      </c>
      <c r="AL41" s="92">
        <f t="shared" si="25"/>
        <v>7.4</v>
      </c>
      <c r="AM41" s="92">
        <f t="shared" si="25"/>
        <v>8.0000000000000002E-3</v>
      </c>
      <c r="AN41" s="92">
        <f t="shared" si="25"/>
        <v>25.1</v>
      </c>
      <c r="AO41" s="92">
        <f t="shared" si="25"/>
        <v>13.2</v>
      </c>
      <c r="AP41" s="92">
        <f t="shared" si="25"/>
        <v>1.4E-2</v>
      </c>
      <c r="AQ41" s="92">
        <f t="shared" si="25"/>
        <v>23.4</v>
      </c>
      <c r="AR41" s="92">
        <v>1934</v>
      </c>
      <c r="AS41" s="92">
        <v>6.0999999999999999E-2</v>
      </c>
      <c r="AT41" s="92">
        <f t="shared" si="26"/>
        <v>0.99099999999999999</v>
      </c>
      <c r="AU41" s="68" t="s">
        <v>299</v>
      </c>
      <c r="AV41" s="309">
        <f t="shared" si="5"/>
        <v>0.06</v>
      </c>
      <c r="AW41" s="309">
        <f t="shared" si="6"/>
        <v>0.94</v>
      </c>
      <c r="AX41" s="92">
        <f t="shared" si="7"/>
        <v>332</v>
      </c>
      <c r="AY41" s="92">
        <f t="shared" si="7"/>
        <v>26</v>
      </c>
    </row>
    <row r="42" spans="1:51" ht="12.75" customHeight="1">
      <c r="A42" s="130" t="s">
        <v>130</v>
      </c>
      <c r="B42" s="92">
        <v>-5</v>
      </c>
      <c r="C42" s="92">
        <v>86</v>
      </c>
      <c r="D42" s="92">
        <v>70</v>
      </c>
      <c r="E42" s="92">
        <v>7244</v>
      </c>
      <c r="F42" s="92">
        <v>6</v>
      </c>
      <c r="G42" s="92">
        <v>15</v>
      </c>
      <c r="H42" s="92">
        <f t="shared" si="22"/>
        <v>171</v>
      </c>
      <c r="I42" s="92">
        <f t="shared" si="22"/>
        <v>484</v>
      </c>
      <c r="J42" s="92">
        <f t="shared" si="22"/>
        <v>52.3</v>
      </c>
      <c r="K42" s="92">
        <v>438</v>
      </c>
      <c r="L42" s="92">
        <f t="shared" si="23"/>
        <v>7.2999999999999995E-2</v>
      </c>
      <c r="M42" s="92">
        <f t="shared" si="23"/>
        <v>6.8000000000000005E-2</v>
      </c>
      <c r="N42" s="92">
        <f t="shared" si="23"/>
        <v>-2.7E-2</v>
      </c>
      <c r="O42" s="92">
        <f t="shared" si="23"/>
        <v>0</v>
      </c>
      <c r="P42" s="92">
        <f t="shared" si="23"/>
        <v>9.6</v>
      </c>
      <c r="Q42" s="92">
        <f t="shared" si="23"/>
        <v>11</v>
      </c>
      <c r="R42" s="92">
        <f t="shared" si="23"/>
        <v>17</v>
      </c>
      <c r="S42" s="92">
        <f t="shared" si="23"/>
        <v>8.5000000000000006E-2</v>
      </c>
      <c r="T42" s="92">
        <f t="shared" si="23"/>
        <v>6</v>
      </c>
      <c r="U42" s="92">
        <f t="shared" si="23"/>
        <v>2.5999999999999999E-2</v>
      </c>
      <c r="V42" s="92">
        <f t="shared" si="24"/>
        <v>42.7</v>
      </c>
      <c r="W42" s="92">
        <f t="shared" si="24"/>
        <v>6</v>
      </c>
      <c r="X42" s="92">
        <f t="shared" si="24"/>
        <v>2.5999999999999999E-2</v>
      </c>
      <c r="Y42" s="92">
        <f t="shared" si="24"/>
        <v>42.7</v>
      </c>
      <c r="Z42" s="92">
        <f t="shared" si="24"/>
        <v>1.8</v>
      </c>
      <c r="AA42" s="92">
        <f t="shared" si="24"/>
        <v>8.9999999999999993E-3</v>
      </c>
      <c r="AB42" s="92">
        <f t="shared" si="24"/>
        <v>14.9</v>
      </c>
      <c r="AC42" s="92">
        <f t="shared" si="24"/>
        <v>2.8</v>
      </c>
      <c r="AD42" s="92">
        <f t="shared" si="24"/>
        <v>0</v>
      </c>
      <c r="AE42" s="92">
        <f t="shared" si="24"/>
        <v>17.2</v>
      </c>
      <c r="AF42" s="92">
        <f t="shared" si="25"/>
        <v>3.1</v>
      </c>
      <c r="AG42" s="92">
        <f t="shared" si="25"/>
        <v>1.5E-3</v>
      </c>
      <c r="AH42" s="92">
        <f t="shared" si="25"/>
        <v>20.650000000000002</v>
      </c>
      <c r="AI42" s="92">
        <f t="shared" si="25"/>
        <v>7.7</v>
      </c>
      <c r="AJ42" s="92">
        <f t="shared" si="25"/>
        <v>3.0000000000000001E-3</v>
      </c>
      <c r="AK42" s="92">
        <f t="shared" si="25"/>
        <v>49.9</v>
      </c>
      <c r="AL42" s="92">
        <f t="shared" si="25"/>
        <v>4.1500000000000004</v>
      </c>
      <c r="AM42" s="92">
        <f t="shared" si="25"/>
        <v>4.0000000000000001E-3</v>
      </c>
      <c r="AN42" s="92">
        <f t="shared" si="25"/>
        <v>27.85</v>
      </c>
      <c r="AO42" s="92">
        <f t="shared" si="25"/>
        <v>13.6</v>
      </c>
      <c r="AP42" s="92">
        <f t="shared" si="25"/>
        <v>6.0000000000000001E-3</v>
      </c>
      <c r="AQ42" s="92">
        <f t="shared" si="25"/>
        <v>24.2</v>
      </c>
      <c r="AR42" s="92">
        <v>1934</v>
      </c>
      <c r="AS42" s="92">
        <v>6.0999999999999999E-2</v>
      </c>
      <c r="AT42" s="92">
        <f t="shared" si="26"/>
        <v>1.008</v>
      </c>
      <c r="AU42" s="68" t="s">
        <v>297</v>
      </c>
      <c r="AV42" s="309">
        <f t="shared" si="5"/>
        <v>0.03</v>
      </c>
      <c r="AW42" s="309">
        <f t="shared" si="6"/>
        <v>0.97</v>
      </c>
      <c r="AX42" s="92">
        <f t="shared" si="7"/>
        <v>223</v>
      </c>
      <c r="AY42" s="92">
        <f t="shared" si="7"/>
        <v>28</v>
      </c>
    </row>
    <row r="43" spans="1:51" ht="12.75" customHeight="1">
      <c r="A43" s="130" t="s">
        <v>131</v>
      </c>
      <c r="B43" s="92">
        <v>6</v>
      </c>
      <c r="C43" s="92">
        <v>83</v>
      </c>
      <c r="D43" s="92">
        <v>73</v>
      </c>
      <c r="E43" s="92">
        <v>5750</v>
      </c>
      <c r="F43" s="92">
        <v>5</v>
      </c>
      <c r="G43" s="92" t="s">
        <v>165</v>
      </c>
      <c r="H43" s="92">
        <f t="shared" si="22"/>
        <v>282</v>
      </c>
      <c r="I43" s="92">
        <f t="shared" si="22"/>
        <v>291</v>
      </c>
      <c r="J43" s="92">
        <f t="shared" si="22"/>
        <v>55.8</v>
      </c>
      <c r="K43" s="92">
        <v>507</v>
      </c>
      <c r="L43" s="92">
        <f t="shared" si="23"/>
        <v>0.16800000000000001</v>
      </c>
      <c r="M43" s="92">
        <f t="shared" si="23"/>
        <v>9.1999999999999998E-2</v>
      </c>
      <c r="N43" s="92">
        <f t="shared" si="23"/>
        <v>-2.3E-2</v>
      </c>
      <c r="O43" s="92">
        <f t="shared" si="23"/>
        <v>0</v>
      </c>
      <c r="P43" s="92">
        <f t="shared" si="23"/>
        <v>10.7</v>
      </c>
      <c r="Q43" s="92">
        <f t="shared" si="23"/>
        <v>56</v>
      </c>
      <c r="R43" s="92">
        <f t="shared" si="23"/>
        <v>17</v>
      </c>
      <c r="S43" s="92">
        <f t="shared" si="23"/>
        <v>9.8000000000000004E-2</v>
      </c>
      <c r="T43" s="92">
        <f t="shared" si="23"/>
        <v>-0.3</v>
      </c>
      <c r="U43" s="92">
        <f t="shared" si="23"/>
        <v>1.7999999999999999E-2</v>
      </c>
      <c r="V43" s="92">
        <f t="shared" si="24"/>
        <v>38.700000000000003</v>
      </c>
      <c r="W43" s="92">
        <f t="shared" si="24"/>
        <v>-0.3</v>
      </c>
      <c r="X43" s="92">
        <f t="shared" si="24"/>
        <v>1.7999999999999999E-2</v>
      </c>
      <c r="Y43" s="92">
        <f t="shared" si="24"/>
        <v>38.700000000000003</v>
      </c>
      <c r="Z43" s="92">
        <f t="shared" si="24"/>
        <v>-0.9</v>
      </c>
      <c r="AA43" s="92">
        <f t="shared" si="24"/>
        <v>8.9999999999999993E-3</v>
      </c>
      <c r="AB43" s="92">
        <f t="shared" si="24"/>
        <v>13.4</v>
      </c>
      <c r="AC43" s="92">
        <f t="shared" si="24"/>
        <v>3.6</v>
      </c>
      <c r="AD43" s="92">
        <f t="shared" si="24"/>
        <v>3.0000000000000001E-3</v>
      </c>
      <c r="AE43" s="92">
        <f t="shared" si="24"/>
        <v>13</v>
      </c>
      <c r="AF43" s="92">
        <f t="shared" si="25"/>
        <v>3.95</v>
      </c>
      <c r="AG43" s="92">
        <f t="shared" si="25"/>
        <v>1.5E-3</v>
      </c>
      <c r="AH43" s="92">
        <f t="shared" si="25"/>
        <v>15.9</v>
      </c>
      <c r="AI43" s="92">
        <f t="shared" si="25"/>
        <v>9.9</v>
      </c>
      <c r="AJ43" s="92">
        <f t="shared" si="25"/>
        <v>5.0000000000000001E-3</v>
      </c>
      <c r="AK43" s="92">
        <f t="shared" si="25"/>
        <v>38.1</v>
      </c>
      <c r="AL43" s="92">
        <f t="shared" si="25"/>
        <v>5.25</v>
      </c>
      <c r="AM43" s="92">
        <f t="shared" si="25"/>
        <v>4.0000000000000001E-3</v>
      </c>
      <c r="AN43" s="92">
        <f t="shared" si="25"/>
        <v>21.1</v>
      </c>
      <c r="AO43" s="92">
        <f t="shared" si="25"/>
        <v>11.6</v>
      </c>
      <c r="AP43" s="92">
        <f t="shared" si="25"/>
        <v>0</v>
      </c>
      <c r="AQ43" s="92">
        <f t="shared" si="25"/>
        <v>23.6</v>
      </c>
      <c r="AR43" s="92">
        <v>1934</v>
      </c>
      <c r="AS43" s="92">
        <v>6.0999999999999999E-2</v>
      </c>
      <c r="AT43" s="92">
        <f t="shared" si="26"/>
        <v>1.145</v>
      </c>
      <c r="AU43" s="68" t="s">
        <v>301</v>
      </c>
      <c r="AV43" s="309">
        <f t="shared" si="5"/>
        <v>0.06</v>
      </c>
      <c r="AW43" s="309">
        <f t="shared" si="6"/>
        <v>0.94</v>
      </c>
      <c r="AX43" s="92">
        <f t="shared" si="7"/>
        <v>370</v>
      </c>
      <c r="AY43" s="92">
        <f t="shared" si="7"/>
        <v>17</v>
      </c>
    </row>
    <row r="44" spans="1:51" ht="12.75" customHeight="1">
      <c r="A44" s="130" t="s">
        <v>132</v>
      </c>
      <c r="B44" s="92">
        <v>13</v>
      </c>
      <c r="C44" s="92">
        <v>89</v>
      </c>
      <c r="D44" s="92">
        <v>73</v>
      </c>
      <c r="E44" s="92">
        <v>4910</v>
      </c>
      <c r="F44" s="92">
        <v>4</v>
      </c>
      <c r="G44" s="92" t="s">
        <v>164</v>
      </c>
      <c r="H44" s="92">
        <f t="shared" si="22"/>
        <v>364</v>
      </c>
      <c r="I44" s="92">
        <f t="shared" si="22"/>
        <v>219</v>
      </c>
      <c r="J44" s="92">
        <f t="shared" si="22"/>
        <v>61.4</v>
      </c>
      <c r="K44" s="92">
        <v>1096</v>
      </c>
      <c r="L44" s="92">
        <f t="shared" si="23"/>
        <v>0.19400000000000001</v>
      </c>
      <c r="M44" s="92">
        <f t="shared" si="23"/>
        <v>0.10100000000000001</v>
      </c>
      <c r="N44" s="92">
        <f t="shared" si="23"/>
        <v>-2.1000000000000001E-2</v>
      </c>
      <c r="O44" s="92">
        <f t="shared" si="23"/>
        <v>0</v>
      </c>
      <c r="P44" s="92">
        <f t="shared" si="23"/>
        <v>10.7</v>
      </c>
      <c r="Q44" s="92">
        <f t="shared" si="23"/>
        <v>56</v>
      </c>
      <c r="R44" s="92">
        <f t="shared" si="23"/>
        <v>17</v>
      </c>
      <c r="S44" s="92">
        <f t="shared" si="23"/>
        <v>9.8000000000000004E-2</v>
      </c>
      <c r="T44" s="92">
        <f t="shared" si="23"/>
        <v>20.3</v>
      </c>
      <c r="U44" s="92">
        <f t="shared" si="23"/>
        <v>2.5999999999999999E-2</v>
      </c>
      <c r="V44" s="92">
        <f t="shared" si="24"/>
        <v>28.3</v>
      </c>
      <c r="W44" s="92">
        <f t="shared" si="24"/>
        <v>20.3</v>
      </c>
      <c r="X44" s="92">
        <f t="shared" si="24"/>
        <v>2.5999999999999999E-2</v>
      </c>
      <c r="Y44" s="92">
        <f t="shared" si="24"/>
        <v>28.3</v>
      </c>
      <c r="Z44" s="92">
        <f t="shared" si="24"/>
        <v>6.7</v>
      </c>
      <c r="AA44" s="92">
        <f t="shared" si="24"/>
        <v>8.9999999999999993E-3</v>
      </c>
      <c r="AB44" s="92">
        <f t="shared" si="24"/>
        <v>9.4</v>
      </c>
      <c r="AC44" s="92">
        <f t="shared" si="24"/>
        <v>11</v>
      </c>
      <c r="AD44" s="92">
        <f t="shared" si="24"/>
        <v>3.0000000000000001E-3</v>
      </c>
      <c r="AE44" s="92">
        <f t="shared" si="24"/>
        <v>10.7</v>
      </c>
      <c r="AF44" s="92">
        <f t="shared" si="25"/>
        <v>13.05</v>
      </c>
      <c r="AG44" s="92">
        <f t="shared" si="25"/>
        <v>2.5000000000000001E-3</v>
      </c>
      <c r="AH44" s="92">
        <f t="shared" si="25"/>
        <v>12.75</v>
      </c>
      <c r="AI44" s="92">
        <f t="shared" si="25"/>
        <v>31.7</v>
      </c>
      <c r="AJ44" s="92">
        <f t="shared" si="25"/>
        <v>8.0000000000000002E-3</v>
      </c>
      <c r="AK44" s="92">
        <f t="shared" si="25"/>
        <v>30.9</v>
      </c>
      <c r="AL44" s="92">
        <f t="shared" si="25"/>
        <v>17.600000000000001</v>
      </c>
      <c r="AM44" s="92">
        <f t="shared" si="25"/>
        <v>5.4999999999999997E-3</v>
      </c>
      <c r="AN44" s="92">
        <f t="shared" si="25"/>
        <v>17.350000000000001</v>
      </c>
      <c r="AO44" s="92">
        <f t="shared" si="25"/>
        <v>9.1999999999999993</v>
      </c>
      <c r="AP44" s="92">
        <f t="shared" si="25"/>
        <v>6.0000000000000001E-3</v>
      </c>
      <c r="AQ44" s="92">
        <f t="shared" si="25"/>
        <v>17.399999999999999</v>
      </c>
      <c r="AR44" s="92">
        <v>1934</v>
      </c>
      <c r="AS44" s="92">
        <v>6.0999999999999999E-2</v>
      </c>
      <c r="AT44" s="92">
        <f t="shared" si="26"/>
        <v>1.34</v>
      </c>
      <c r="AU44" s="68" t="s">
        <v>260</v>
      </c>
      <c r="AV44" s="309">
        <f t="shared" si="5"/>
        <v>0.15</v>
      </c>
      <c r="AW44" s="309">
        <f t="shared" si="6"/>
        <v>0.85</v>
      </c>
      <c r="AX44" s="92">
        <f t="shared" si="7"/>
        <v>370</v>
      </c>
      <c r="AY44" s="92">
        <f t="shared" si="7"/>
        <v>17</v>
      </c>
    </row>
    <row r="45" spans="1:51" ht="12.75" customHeight="1">
      <c r="A45" s="130" t="s">
        <v>133</v>
      </c>
      <c r="B45" s="92">
        <v>-7</v>
      </c>
      <c r="C45" s="92">
        <v>86</v>
      </c>
      <c r="D45" s="92">
        <v>70</v>
      </c>
      <c r="E45" s="92">
        <v>6894</v>
      </c>
      <c r="F45" s="92">
        <v>5</v>
      </c>
      <c r="G45" s="92" t="s">
        <v>161</v>
      </c>
      <c r="H45" s="92">
        <f t="shared" si="22"/>
        <v>224</v>
      </c>
      <c r="I45" s="92">
        <f t="shared" si="22"/>
        <v>363</v>
      </c>
      <c r="J45" s="92">
        <f t="shared" si="22"/>
        <v>54.3</v>
      </c>
      <c r="K45" s="92">
        <v>507</v>
      </c>
      <c r="L45" s="92">
        <f t="shared" si="23"/>
        <v>0.113</v>
      </c>
      <c r="M45" s="92">
        <f t="shared" si="23"/>
        <v>0.08</v>
      </c>
      <c r="N45" s="92">
        <f t="shared" si="23"/>
        <v>-2.5000000000000001E-2</v>
      </c>
      <c r="O45" s="92">
        <f t="shared" si="23"/>
        <v>0</v>
      </c>
      <c r="P45" s="92">
        <f t="shared" si="23"/>
        <v>9.6999999999999993</v>
      </c>
      <c r="Q45" s="92">
        <f t="shared" si="23"/>
        <v>22</v>
      </c>
      <c r="R45" s="92">
        <f t="shared" si="23"/>
        <v>16</v>
      </c>
      <c r="S45" s="92">
        <f t="shared" si="23"/>
        <v>9.9000000000000005E-2</v>
      </c>
      <c r="T45" s="92">
        <f t="shared" si="23"/>
        <v>6.3</v>
      </c>
      <c r="U45" s="92">
        <f t="shared" si="23"/>
        <v>1.7999999999999999E-2</v>
      </c>
      <c r="V45" s="92">
        <f t="shared" si="24"/>
        <v>39.200000000000003</v>
      </c>
      <c r="W45" s="92">
        <f t="shared" si="24"/>
        <v>6.3</v>
      </c>
      <c r="X45" s="92">
        <f t="shared" si="24"/>
        <v>1.7999999999999999E-2</v>
      </c>
      <c r="Y45" s="92">
        <f t="shared" si="24"/>
        <v>39.200000000000003</v>
      </c>
      <c r="Z45" s="92">
        <f t="shared" si="24"/>
        <v>1.8</v>
      </c>
      <c r="AA45" s="92">
        <f t="shared" si="24"/>
        <v>1.7999999999999999E-2</v>
      </c>
      <c r="AB45" s="92">
        <f t="shared" si="24"/>
        <v>14.1</v>
      </c>
      <c r="AC45" s="92">
        <f t="shared" si="24"/>
        <v>4.3</v>
      </c>
      <c r="AD45" s="92">
        <f t="shared" si="24"/>
        <v>5.0000000000000001E-3</v>
      </c>
      <c r="AE45" s="92">
        <f t="shared" si="24"/>
        <v>15.7</v>
      </c>
      <c r="AF45" s="92">
        <f t="shared" si="25"/>
        <v>5</v>
      </c>
      <c r="AG45" s="92">
        <f t="shared" si="25"/>
        <v>4.0000000000000001E-3</v>
      </c>
      <c r="AH45" s="92">
        <f t="shared" si="25"/>
        <v>19</v>
      </c>
      <c r="AI45" s="92">
        <f t="shared" si="25"/>
        <v>12.2</v>
      </c>
      <c r="AJ45" s="92">
        <f t="shared" si="25"/>
        <v>1.0999999999999999E-2</v>
      </c>
      <c r="AK45" s="92">
        <f t="shared" si="25"/>
        <v>45.6</v>
      </c>
      <c r="AL45" s="92">
        <f t="shared" si="25"/>
        <v>6.6999999999999993</v>
      </c>
      <c r="AM45" s="92">
        <f t="shared" si="25"/>
        <v>6.5000000000000002E-2</v>
      </c>
      <c r="AN45" s="92">
        <f t="shared" si="25"/>
        <v>25.6</v>
      </c>
      <c r="AO45" s="92">
        <f t="shared" si="25"/>
        <v>12.8</v>
      </c>
      <c r="AP45" s="92">
        <f t="shared" si="25"/>
        <v>6.0000000000000001E-3</v>
      </c>
      <c r="AQ45" s="92">
        <f t="shared" si="25"/>
        <v>22.6</v>
      </c>
      <c r="AR45" s="92">
        <v>1934</v>
      </c>
      <c r="AS45" s="92">
        <v>6.0999999999999999E-2</v>
      </c>
      <c r="AT45" s="92">
        <f t="shared" si="26"/>
        <v>1</v>
      </c>
      <c r="AU45" s="68" t="s">
        <v>296</v>
      </c>
      <c r="AV45" s="309">
        <f t="shared" si="5"/>
        <v>0.06</v>
      </c>
      <c r="AW45" s="309">
        <f t="shared" si="6"/>
        <v>0.94</v>
      </c>
      <c r="AX45" s="92">
        <f t="shared" si="7"/>
        <v>346</v>
      </c>
      <c r="AY45" s="92">
        <f t="shared" si="7"/>
        <v>26</v>
      </c>
    </row>
    <row r="46" spans="1:51" ht="12.75" customHeight="1">
      <c r="A46" s="130" t="s">
        <v>134</v>
      </c>
      <c r="B46" s="92">
        <v>13</v>
      </c>
      <c r="C46" s="92">
        <v>89</v>
      </c>
      <c r="D46" s="92">
        <v>73</v>
      </c>
      <c r="E46" s="92">
        <v>4910</v>
      </c>
      <c r="F46" s="92">
        <v>4</v>
      </c>
      <c r="G46" s="92" t="s">
        <v>162</v>
      </c>
      <c r="H46" s="92">
        <f t="shared" si="22"/>
        <v>364</v>
      </c>
      <c r="I46" s="92">
        <f t="shared" si="22"/>
        <v>219</v>
      </c>
      <c r="J46" s="92">
        <f t="shared" si="22"/>
        <v>61.4</v>
      </c>
      <c r="K46" s="92">
        <v>1096</v>
      </c>
      <c r="L46" s="92">
        <f t="shared" si="23"/>
        <v>0.19400000000000001</v>
      </c>
      <c r="M46" s="92">
        <f t="shared" si="23"/>
        <v>0.10100000000000001</v>
      </c>
      <c r="N46" s="92">
        <f t="shared" si="23"/>
        <v>-2.1000000000000001E-2</v>
      </c>
      <c r="O46" s="92">
        <f t="shared" si="23"/>
        <v>0</v>
      </c>
      <c r="P46" s="92">
        <f t="shared" si="23"/>
        <v>10.7</v>
      </c>
      <c r="Q46" s="92">
        <f t="shared" si="23"/>
        <v>56</v>
      </c>
      <c r="R46" s="92">
        <f t="shared" si="23"/>
        <v>17</v>
      </c>
      <c r="S46" s="92">
        <f t="shared" si="23"/>
        <v>9.8000000000000004E-2</v>
      </c>
      <c r="T46" s="92">
        <f t="shared" si="23"/>
        <v>20.3</v>
      </c>
      <c r="U46" s="92">
        <f t="shared" si="23"/>
        <v>2.5999999999999999E-2</v>
      </c>
      <c r="V46" s="92">
        <f t="shared" si="24"/>
        <v>28.3</v>
      </c>
      <c r="W46" s="92">
        <f t="shared" si="24"/>
        <v>20.3</v>
      </c>
      <c r="X46" s="92">
        <f t="shared" si="24"/>
        <v>2.5999999999999999E-2</v>
      </c>
      <c r="Y46" s="92">
        <f t="shared" si="24"/>
        <v>28.3</v>
      </c>
      <c r="Z46" s="92">
        <f t="shared" si="24"/>
        <v>6.7</v>
      </c>
      <c r="AA46" s="92">
        <f t="shared" si="24"/>
        <v>8.9999999999999993E-3</v>
      </c>
      <c r="AB46" s="92">
        <f t="shared" si="24"/>
        <v>9.4</v>
      </c>
      <c r="AC46" s="92">
        <f t="shared" si="24"/>
        <v>11</v>
      </c>
      <c r="AD46" s="92">
        <f t="shared" si="24"/>
        <v>3.0000000000000001E-3</v>
      </c>
      <c r="AE46" s="92">
        <f t="shared" si="24"/>
        <v>10.7</v>
      </c>
      <c r="AF46" s="92">
        <f t="shared" si="25"/>
        <v>13.05</v>
      </c>
      <c r="AG46" s="92">
        <f t="shared" si="25"/>
        <v>2.5000000000000001E-3</v>
      </c>
      <c r="AH46" s="92">
        <f t="shared" si="25"/>
        <v>12.75</v>
      </c>
      <c r="AI46" s="92">
        <f t="shared" si="25"/>
        <v>31.7</v>
      </c>
      <c r="AJ46" s="92">
        <f t="shared" si="25"/>
        <v>8.0000000000000002E-3</v>
      </c>
      <c r="AK46" s="92">
        <f t="shared" si="25"/>
        <v>30.9</v>
      </c>
      <c r="AL46" s="92">
        <f t="shared" si="25"/>
        <v>17.600000000000001</v>
      </c>
      <c r="AM46" s="92">
        <f t="shared" si="25"/>
        <v>5.4999999999999997E-3</v>
      </c>
      <c r="AN46" s="92">
        <f t="shared" si="25"/>
        <v>17.350000000000001</v>
      </c>
      <c r="AO46" s="92">
        <f t="shared" si="25"/>
        <v>9.1999999999999993</v>
      </c>
      <c r="AP46" s="92">
        <f t="shared" si="25"/>
        <v>6.0000000000000001E-3</v>
      </c>
      <c r="AQ46" s="92">
        <f t="shared" si="25"/>
        <v>17.399999999999999</v>
      </c>
      <c r="AR46" s="92">
        <v>1934</v>
      </c>
      <c r="AS46" s="92">
        <v>6.0999999999999999E-2</v>
      </c>
      <c r="AT46" s="92">
        <f t="shared" si="26"/>
        <v>1.34</v>
      </c>
      <c r="AU46" s="68" t="s">
        <v>260</v>
      </c>
      <c r="AV46" s="309">
        <f t="shared" si="5"/>
        <v>0.15</v>
      </c>
      <c r="AW46" s="309">
        <f t="shared" si="6"/>
        <v>0.85</v>
      </c>
      <c r="AX46" s="92">
        <f t="shared" si="7"/>
        <v>370</v>
      </c>
      <c r="AY46" s="92">
        <f t="shared" si="7"/>
        <v>17</v>
      </c>
    </row>
    <row r="47" spans="1:51" ht="12.75" customHeight="1">
      <c r="A47" s="130" t="s">
        <v>135</v>
      </c>
      <c r="B47" s="92">
        <v>13</v>
      </c>
      <c r="C47" s="92">
        <v>89</v>
      </c>
      <c r="D47" s="92">
        <v>73</v>
      </c>
      <c r="E47" s="92">
        <v>4910</v>
      </c>
      <c r="F47" s="92">
        <v>5</v>
      </c>
      <c r="G47" s="92" t="s">
        <v>165</v>
      </c>
      <c r="H47" s="92">
        <f t="shared" si="22"/>
        <v>364</v>
      </c>
      <c r="I47" s="92">
        <f t="shared" si="22"/>
        <v>219</v>
      </c>
      <c r="J47" s="92">
        <f t="shared" si="22"/>
        <v>61.4</v>
      </c>
      <c r="K47" s="92">
        <v>507</v>
      </c>
      <c r="L47" s="92">
        <f t="shared" si="23"/>
        <v>0.19400000000000001</v>
      </c>
      <c r="M47" s="92">
        <f t="shared" si="23"/>
        <v>0.10100000000000001</v>
      </c>
      <c r="N47" s="92">
        <f t="shared" si="23"/>
        <v>-2.1000000000000001E-2</v>
      </c>
      <c r="O47" s="92">
        <f t="shared" si="23"/>
        <v>0</v>
      </c>
      <c r="P47" s="92">
        <f t="shared" si="23"/>
        <v>10.7</v>
      </c>
      <c r="Q47" s="92">
        <f t="shared" si="23"/>
        <v>56</v>
      </c>
      <c r="R47" s="92">
        <f t="shared" si="23"/>
        <v>17</v>
      </c>
      <c r="S47" s="92">
        <f t="shared" si="23"/>
        <v>9.8000000000000004E-2</v>
      </c>
      <c r="T47" s="92">
        <f t="shared" si="23"/>
        <v>20.3</v>
      </c>
      <c r="U47" s="92">
        <f t="shared" si="23"/>
        <v>2.5999999999999999E-2</v>
      </c>
      <c r="V47" s="92">
        <f t="shared" si="24"/>
        <v>28.3</v>
      </c>
      <c r="W47" s="92">
        <f t="shared" si="24"/>
        <v>20.3</v>
      </c>
      <c r="X47" s="92">
        <f t="shared" si="24"/>
        <v>2.5999999999999999E-2</v>
      </c>
      <c r="Y47" s="92">
        <f t="shared" si="24"/>
        <v>28.3</v>
      </c>
      <c r="Z47" s="92">
        <f t="shared" si="24"/>
        <v>6.7</v>
      </c>
      <c r="AA47" s="92">
        <f t="shared" si="24"/>
        <v>8.9999999999999993E-3</v>
      </c>
      <c r="AB47" s="92">
        <f t="shared" si="24"/>
        <v>9.4</v>
      </c>
      <c r="AC47" s="92">
        <f t="shared" si="24"/>
        <v>11</v>
      </c>
      <c r="AD47" s="92">
        <f t="shared" si="24"/>
        <v>3.0000000000000001E-3</v>
      </c>
      <c r="AE47" s="92">
        <f t="shared" si="24"/>
        <v>10.7</v>
      </c>
      <c r="AF47" s="92">
        <f t="shared" si="25"/>
        <v>13.05</v>
      </c>
      <c r="AG47" s="92">
        <f t="shared" si="25"/>
        <v>2.5000000000000001E-3</v>
      </c>
      <c r="AH47" s="92">
        <f t="shared" si="25"/>
        <v>12.75</v>
      </c>
      <c r="AI47" s="92">
        <f t="shared" si="25"/>
        <v>31.7</v>
      </c>
      <c r="AJ47" s="92">
        <f t="shared" si="25"/>
        <v>8.0000000000000002E-3</v>
      </c>
      <c r="AK47" s="92">
        <f t="shared" si="25"/>
        <v>30.9</v>
      </c>
      <c r="AL47" s="92">
        <f t="shared" si="25"/>
        <v>17.600000000000001</v>
      </c>
      <c r="AM47" s="92">
        <f t="shared" si="25"/>
        <v>5.4999999999999997E-3</v>
      </c>
      <c r="AN47" s="92">
        <f t="shared" si="25"/>
        <v>17.350000000000001</v>
      </c>
      <c r="AO47" s="92">
        <f t="shared" si="25"/>
        <v>9.1999999999999993</v>
      </c>
      <c r="AP47" s="92">
        <f t="shared" si="25"/>
        <v>6.0000000000000001E-3</v>
      </c>
      <c r="AQ47" s="92">
        <f t="shared" si="25"/>
        <v>17.399999999999999</v>
      </c>
      <c r="AR47" s="92">
        <v>1934</v>
      </c>
      <c r="AS47" s="92">
        <v>6.0999999999999999E-2</v>
      </c>
      <c r="AT47" s="92">
        <f t="shared" si="26"/>
        <v>1.34</v>
      </c>
      <c r="AU47" s="68" t="s">
        <v>260</v>
      </c>
      <c r="AV47" s="309">
        <f t="shared" si="5"/>
        <v>0.06</v>
      </c>
      <c r="AW47" s="309">
        <f t="shared" si="6"/>
        <v>0.94</v>
      </c>
      <c r="AX47" s="92">
        <f t="shared" si="7"/>
        <v>370</v>
      </c>
      <c r="AY47" s="92">
        <f t="shared" si="7"/>
        <v>17</v>
      </c>
    </row>
    <row r="48" spans="1:51" ht="12.75" customHeight="1">
      <c r="A48" s="131" t="s">
        <v>307</v>
      </c>
      <c r="B48" s="92">
        <v>-15</v>
      </c>
      <c r="C48" s="92">
        <v>84</v>
      </c>
      <c r="D48" s="92">
        <v>70</v>
      </c>
      <c r="E48" s="92">
        <v>8255</v>
      </c>
      <c r="F48" s="92">
        <v>6</v>
      </c>
      <c r="G48" s="92">
        <v>15</v>
      </c>
      <c r="H48" s="92">
        <v>187</v>
      </c>
      <c r="I48" s="92">
        <v>552</v>
      </c>
      <c r="J48" s="92">
        <v>49.5</v>
      </c>
      <c r="K48" s="92">
        <v>438</v>
      </c>
      <c r="L48" s="92">
        <v>9.4E-2</v>
      </c>
      <c r="M48" s="92">
        <v>7.2999999999999995E-2</v>
      </c>
      <c r="N48" s="92">
        <v>-2.5999999999999999E-2</v>
      </c>
      <c r="O48" s="92"/>
      <c r="P48" s="92">
        <v>9.3000000000000007</v>
      </c>
      <c r="Q48" s="92">
        <v>20</v>
      </c>
      <c r="R48" s="92">
        <v>17</v>
      </c>
      <c r="S48" s="92">
        <v>9.8000000000000004E-2</v>
      </c>
      <c r="T48" s="92">
        <v>5.0999999999999996</v>
      </c>
      <c r="U48" s="92">
        <v>1.7999999999999999E-2</v>
      </c>
      <c r="V48" s="92">
        <v>45.1</v>
      </c>
      <c r="W48" s="92">
        <v>5.0999999999999996</v>
      </c>
      <c r="X48" s="92">
        <v>1.7999999999999999E-2</v>
      </c>
      <c r="Y48" s="92">
        <v>45.1</v>
      </c>
      <c r="Z48" s="92">
        <v>1.5</v>
      </c>
      <c r="AA48" s="92">
        <v>8.9999999999999993E-3</v>
      </c>
      <c r="AB48" s="92">
        <v>16</v>
      </c>
      <c r="AC48" s="92">
        <v>5.3</v>
      </c>
      <c r="AD48" s="92">
        <v>8.0000000000000002E-3</v>
      </c>
      <c r="AE48" s="92">
        <v>19</v>
      </c>
      <c r="AF48" s="92">
        <f>(9.9+2.6)/2</f>
        <v>6.25</v>
      </c>
      <c r="AG48" s="92">
        <v>7.0000000000000001E-3</v>
      </c>
      <c r="AH48" s="92">
        <f>(35.3+9.4)/2</f>
        <v>22.349999999999998</v>
      </c>
      <c r="AI48" s="92">
        <v>15.2</v>
      </c>
      <c r="AJ48" s="92">
        <v>1.9E-2</v>
      </c>
      <c r="AK48" s="92">
        <v>54.3</v>
      </c>
      <c r="AL48" s="92">
        <f>(12.1+4.8)/2</f>
        <v>8.4499999999999993</v>
      </c>
      <c r="AM48" s="92">
        <v>9.4999999999999998E-3</v>
      </c>
      <c r="AN48" s="92">
        <f>(43.3+17.3)/2</f>
        <v>30.299999999999997</v>
      </c>
      <c r="AO48" s="92">
        <f>2*5.7</f>
        <v>11.4</v>
      </c>
      <c r="AP48" s="92">
        <f>2*0.003</f>
        <v>6.0000000000000001E-3</v>
      </c>
      <c r="AQ48" s="92">
        <f>2*12.9</f>
        <v>25.8</v>
      </c>
      <c r="AR48" s="92">
        <v>1934</v>
      </c>
      <c r="AS48" s="92">
        <v>6.0999999999999999E-2</v>
      </c>
      <c r="AT48" s="92">
        <v>0.94899999999999995</v>
      </c>
      <c r="AU48" s="68" t="s">
        <v>300</v>
      </c>
      <c r="AV48" s="309">
        <f t="shared" si="5"/>
        <v>0.03</v>
      </c>
      <c r="AW48" s="309">
        <f t="shared" si="6"/>
        <v>0.97</v>
      </c>
      <c r="AX48" s="92">
        <v>229</v>
      </c>
      <c r="AY48" s="92">
        <v>20</v>
      </c>
    </row>
    <row r="49" spans="1:51" ht="12.75" customHeight="1">
      <c r="A49" s="130" t="s">
        <v>136</v>
      </c>
      <c r="B49" s="92">
        <v>-5</v>
      </c>
      <c r="C49" s="92">
        <v>86</v>
      </c>
      <c r="D49" s="92">
        <v>70</v>
      </c>
      <c r="E49" s="92">
        <v>7244</v>
      </c>
      <c r="F49" s="92">
        <v>5</v>
      </c>
      <c r="G49" s="92" t="s">
        <v>161</v>
      </c>
      <c r="H49" s="92">
        <f t="shared" ref="H49:J65" si="27">IF($AU49="Albany",H$4,IF($AU49="Binghamton",H$7,IF($AU49="Buffalo",H$18,IF($AU49="Massena",H$48,IF($AU49="NYC",H$34,IF($AU49="Poughkeepsie",H$17,H$37))))))</f>
        <v>224</v>
      </c>
      <c r="I49" s="92">
        <f t="shared" si="27"/>
        <v>363</v>
      </c>
      <c r="J49" s="92">
        <f t="shared" si="27"/>
        <v>54.3</v>
      </c>
      <c r="K49" s="92">
        <v>507</v>
      </c>
      <c r="L49" s="92">
        <f t="shared" ref="L49:U58" si="28">IF($AU49="Albany",L$4,IF($AU49="Binghamton",L$7,IF($AU49="Buffalo",L$18,IF($AU49="Massena",L$48,IF($AU49="NYC",L$34,IF($AU49="Poughkeepsie",L$17,L$37))))))</f>
        <v>0.113</v>
      </c>
      <c r="M49" s="92">
        <f t="shared" si="28"/>
        <v>0.08</v>
      </c>
      <c r="N49" s="92">
        <f t="shared" si="28"/>
        <v>-2.5000000000000001E-2</v>
      </c>
      <c r="O49" s="92">
        <f t="shared" si="28"/>
        <v>0</v>
      </c>
      <c r="P49" s="92">
        <f t="shared" si="28"/>
        <v>9.6999999999999993</v>
      </c>
      <c r="Q49" s="92">
        <f t="shared" si="28"/>
        <v>22</v>
      </c>
      <c r="R49" s="92">
        <f t="shared" si="28"/>
        <v>16</v>
      </c>
      <c r="S49" s="92">
        <f t="shared" si="28"/>
        <v>9.9000000000000005E-2</v>
      </c>
      <c r="T49" s="92">
        <f t="shared" si="28"/>
        <v>6.3</v>
      </c>
      <c r="U49" s="92">
        <f t="shared" si="28"/>
        <v>1.7999999999999999E-2</v>
      </c>
      <c r="V49" s="92">
        <f t="shared" ref="V49:AE58" si="29">IF($AU49="Albany",V$4,IF($AU49="Binghamton",V$7,IF($AU49="Buffalo",V$18,IF($AU49="Massena",V$48,IF($AU49="NYC",V$34,IF($AU49="Poughkeepsie",V$17,V$37))))))</f>
        <v>39.200000000000003</v>
      </c>
      <c r="W49" s="92">
        <f t="shared" si="29"/>
        <v>6.3</v>
      </c>
      <c r="X49" s="92">
        <f t="shared" si="29"/>
        <v>1.7999999999999999E-2</v>
      </c>
      <c r="Y49" s="92">
        <f t="shared" si="29"/>
        <v>39.200000000000003</v>
      </c>
      <c r="Z49" s="92">
        <f t="shared" si="29"/>
        <v>1.8</v>
      </c>
      <c r="AA49" s="92">
        <f t="shared" si="29"/>
        <v>1.7999999999999999E-2</v>
      </c>
      <c r="AB49" s="92">
        <f t="shared" si="29"/>
        <v>14.1</v>
      </c>
      <c r="AC49" s="92">
        <f t="shared" si="29"/>
        <v>4.3</v>
      </c>
      <c r="AD49" s="92">
        <f t="shared" si="29"/>
        <v>5.0000000000000001E-3</v>
      </c>
      <c r="AE49" s="92">
        <f t="shared" si="29"/>
        <v>15.7</v>
      </c>
      <c r="AF49" s="92">
        <f t="shared" ref="AF49:AQ58" si="30">IF($AU49="Albany",AF$4,IF($AU49="Binghamton",AF$7,IF($AU49="Buffalo",AF$18,IF($AU49="Massena",AF$48,IF($AU49="NYC",AF$34,IF($AU49="Poughkeepsie",AF$17,AF$37))))))</f>
        <v>5</v>
      </c>
      <c r="AG49" s="92">
        <f t="shared" si="30"/>
        <v>4.0000000000000001E-3</v>
      </c>
      <c r="AH49" s="92">
        <f t="shared" si="30"/>
        <v>19</v>
      </c>
      <c r="AI49" s="92">
        <f t="shared" si="30"/>
        <v>12.2</v>
      </c>
      <c r="AJ49" s="92">
        <f t="shared" si="30"/>
        <v>1.0999999999999999E-2</v>
      </c>
      <c r="AK49" s="92">
        <f t="shared" si="30"/>
        <v>45.6</v>
      </c>
      <c r="AL49" s="92">
        <f t="shared" si="30"/>
        <v>6.6999999999999993</v>
      </c>
      <c r="AM49" s="92">
        <f t="shared" si="30"/>
        <v>6.5000000000000002E-2</v>
      </c>
      <c r="AN49" s="92">
        <f t="shared" si="30"/>
        <v>25.6</v>
      </c>
      <c r="AO49" s="92">
        <f t="shared" si="30"/>
        <v>12.8</v>
      </c>
      <c r="AP49" s="92">
        <f t="shared" si="30"/>
        <v>6.0000000000000001E-3</v>
      </c>
      <c r="AQ49" s="92">
        <f t="shared" si="30"/>
        <v>22.6</v>
      </c>
      <c r="AR49" s="92">
        <v>1934</v>
      </c>
      <c r="AS49" s="92">
        <v>6.0999999999999999E-2</v>
      </c>
      <c r="AT49" s="92">
        <f t="shared" ref="AT49:AT65" si="31">IF($AU49="Albany",AT$4,IF($AU49="Binghamton",AT$7,IF($AU49="Buffalo",AT$18,IF($AU49="Massena",AT$48,IF($AU49="NYC",AT$34,IF($AU49="Poughkeepsie",AT$17,AT$37))))))</f>
        <v>1</v>
      </c>
      <c r="AU49" s="68" t="s">
        <v>296</v>
      </c>
      <c r="AV49" s="309">
        <f t="shared" si="5"/>
        <v>0.06</v>
      </c>
      <c r="AW49" s="309">
        <f t="shared" si="6"/>
        <v>0.94</v>
      </c>
      <c r="AX49" s="92">
        <f t="shared" si="7"/>
        <v>346</v>
      </c>
      <c r="AY49" s="92">
        <f t="shared" si="7"/>
        <v>26</v>
      </c>
    </row>
    <row r="50" spans="1:51" ht="12.75" customHeight="1">
      <c r="A50" s="130" t="s">
        <v>137</v>
      </c>
      <c r="B50" s="92">
        <v>-7</v>
      </c>
      <c r="C50" s="92">
        <v>86</v>
      </c>
      <c r="D50" s="92">
        <v>70</v>
      </c>
      <c r="E50" s="92">
        <v>6894</v>
      </c>
      <c r="F50" s="92">
        <v>5</v>
      </c>
      <c r="G50" s="92" t="s">
        <v>161</v>
      </c>
      <c r="H50" s="92">
        <f t="shared" si="27"/>
        <v>224</v>
      </c>
      <c r="I50" s="92">
        <f t="shared" si="27"/>
        <v>363</v>
      </c>
      <c r="J50" s="92">
        <f t="shared" si="27"/>
        <v>54.3</v>
      </c>
      <c r="K50" s="92">
        <v>507</v>
      </c>
      <c r="L50" s="92">
        <f t="shared" si="28"/>
        <v>0.113</v>
      </c>
      <c r="M50" s="92">
        <f t="shared" si="28"/>
        <v>0.08</v>
      </c>
      <c r="N50" s="92">
        <f t="shared" si="28"/>
        <v>-2.5000000000000001E-2</v>
      </c>
      <c r="O50" s="92">
        <f t="shared" si="28"/>
        <v>0</v>
      </c>
      <c r="P50" s="92">
        <f t="shared" si="28"/>
        <v>9.6999999999999993</v>
      </c>
      <c r="Q50" s="92">
        <f t="shared" si="28"/>
        <v>22</v>
      </c>
      <c r="R50" s="92">
        <f t="shared" si="28"/>
        <v>16</v>
      </c>
      <c r="S50" s="92">
        <f t="shared" si="28"/>
        <v>9.9000000000000005E-2</v>
      </c>
      <c r="T50" s="92">
        <f t="shared" si="28"/>
        <v>6.3</v>
      </c>
      <c r="U50" s="92">
        <f t="shared" si="28"/>
        <v>1.7999999999999999E-2</v>
      </c>
      <c r="V50" s="92">
        <f t="shared" si="29"/>
        <v>39.200000000000003</v>
      </c>
      <c r="W50" s="92">
        <f t="shared" si="29"/>
        <v>6.3</v>
      </c>
      <c r="X50" s="92">
        <f t="shared" si="29"/>
        <v>1.7999999999999999E-2</v>
      </c>
      <c r="Y50" s="92">
        <f t="shared" si="29"/>
        <v>39.200000000000003</v>
      </c>
      <c r="Z50" s="92">
        <f t="shared" si="29"/>
        <v>1.8</v>
      </c>
      <c r="AA50" s="92">
        <f t="shared" si="29"/>
        <v>1.7999999999999999E-2</v>
      </c>
      <c r="AB50" s="92">
        <f t="shared" si="29"/>
        <v>14.1</v>
      </c>
      <c r="AC50" s="92">
        <f t="shared" si="29"/>
        <v>4.3</v>
      </c>
      <c r="AD50" s="92">
        <f t="shared" si="29"/>
        <v>5.0000000000000001E-3</v>
      </c>
      <c r="AE50" s="92">
        <f t="shared" si="29"/>
        <v>15.7</v>
      </c>
      <c r="AF50" s="92">
        <f t="shared" si="30"/>
        <v>5</v>
      </c>
      <c r="AG50" s="92">
        <f t="shared" si="30"/>
        <v>4.0000000000000001E-3</v>
      </c>
      <c r="AH50" s="92">
        <f t="shared" si="30"/>
        <v>19</v>
      </c>
      <c r="AI50" s="92">
        <f t="shared" si="30"/>
        <v>12.2</v>
      </c>
      <c r="AJ50" s="92">
        <f t="shared" si="30"/>
        <v>1.0999999999999999E-2</v>
      </c>
      <c r="AK50" s="92">
        <f t="shared" si="30"/>
        <v>45.6</v>
      </c>
      <c r="AL50" s="92">
        <f t="shared" si="30"/>
        <v>6.6999999999999993</v>
      </c>
      <c r="AM50" s="92">
        <f t="shared" si="30"/>
        <v>6.5000000000000002E-2</v>
      </c>
      <c r="AN50" s="92">
        <f t="shared" si="30"/>
        <v>25.6</v>
      </c>
      <c r="AO50" s="92">
        <f t="shared" si="30"/>
        <v>12.8</v>
      </c>
      <c r="AP50" s="92">
        <f t="shared" si="30"/>
        <v>6.0000000000000001E-3</v>
      </c>
      <c r="AQ50" s="92">
        <f t="shared" si="30"/>
        <v>22.6</v>
      </c>
      <c r="AR50" s="92">
        <v>1934</v>
      </c>
      <c r="AS50" s="92">
        <v>6.0999999999999999E-2</v>
      </c>
      <c r="AT50" s="92">
        <f t="shared" si="31"/>
        <v>1</v>
      </c>
      <c r="AU50" s="68" t="s">
        <v>296</v>
      </c>
      <c r="AV50" s="309">
        <f t="shared" si="5"/>
        <v>0.06</v>
      </c>
      <c r="AW50" s="309">
        <f t="shared" si="6"/>
        <v>0.94</v>
      </c>
      <c r="AX50" s="92">
        <f t="shared" si="7"/>
        <v>346</v>
      </c>
      <c r="AY50" s="92">
        <f t="shared" si="7"/>
        <v>26</v>
      </c>
    </row>
    <row r="51" spans="1:51" ht="12.75" customHeight="1">
      <c r="A51" s="130" t="s">
        <v>138</v>
      </c>
      <c r="B51" s="92">
        <v>-7</v>
      </c>
      <c r="C51" s="92">
        <v>86</v>
      </c>
      <c r="D51" s="92">
        <v>70</v>
      </c>
      <c r="E51" s="92">
        <v>6894</v>
      </c>
      <c r="F51" s="92">
        <v>6</v>
      </c>
      <c r="G51" s="92">
        <v>15</v>
      </c>
      <c r="H51" s="92">
        <f t="shared" si="27"/>
        <v>224</v>
      </c>
      <c r="I51" s="92">
        <f t="shared" si="27"/>
        <v>363</v>
      </c>
      <c r="J51" s="92">
        <f t="shared" si="27"/>
        <v>54.3</v>
      </c>
      <c r="K51" s="92">
        <v>438</v>
      </c>
      <c r="L51" s="92">
        <f t="shared" si="28"/>
        <v>0.113</v>
      </c>
      <c r="M51" s="92">
        <f t="shared" si="28"/>
        <v>0.08</v>
      </c>
      <c r="N51" s="92">
        <f t="shared" si="28"/>
        <v>-2.5000000000000001E-2</v>
      </c>
      <c r="O51" s="92">
        <f t="shared" si="28"/>
        <v>0</v>
      </c>
      <c r="P51" s="92">
        <f t="shared" si="28"/>
        <v>9.6999999999999993</v>
      </c>
      <c r="Q51" s="92">
        <f t="shared" si="28"/>
        <v>22</v>
      </c>
      <c r="R51" s="92">
        <f t="shared" si="28"/>
        <v>16</v>
      </c>
      <c r="S51" s="92">
        <f t="shared" si="28"/>
        <v>9.9000000000000005E-2</v>
      </c>
      <c r="T51" s="92">
        <f t="shared" si="28"/>
        <v>6.3</v>
      </c>
      <c r="U51" s="92">
        <f t="shared" si="28"/>
        <v>1.7999999999999999E-2</v>
      </c>
      <c r="V51" s="92">
        <f t="shared" si="29"/>
        <v>39.200000000000003</v>
      </c>
      <c r="W51" s="92">
        <f t="shared" si="29"/>
        <v>6.3</v>
      </c>
      <c r="X51" s="92">
        <f t="shared" si="29"/>
        <v>1.7999999999999999E-2</v>
      </c>
      <c r="Y51" s="92">
        <f t="shared" si="29"/>
        <v>39.200000000000003</v>
      </c>
      <c r="Z51" s="92">
        <f t="shared" si="29"/>
        <v>1.8</v>
      </c>
      <c r="AA51" s="92">
        <f t="shared" si="29"/>
        <v>1.7999999999999999E-2</v>
      </c>
      <c r="AB51" s="92">
        <f t="shared" si="29"/>
        <v>14.1</v>
      </c>
      <c r="AC51" s="92">
        <f t="shared" si="29"/>
        <v>4.3</v>
      </c>
      <c r="AD51" s="92">
        <f t="shared" si="29"/>
        <v>5.0000000000000001E-3</v>
      </c>
      <c r="AE51" s="92">
        <f t="shared" si="29"/>
        <v>15.7</v>
      </c>
      <c r="AF51" s="92">
        <f t="shared" si="30"/>
        <v>5</v>
      </c>
      <c r="AG51" s="92">
        <f t="shared" si="30"/>
        <v>4.0000000000000001E-3</v>
      </c>
      <c r="AH51" s="92">
        <f t="shared" si="30"/>
        <v>19</v>
      </c>
      <c r="AI51" s="92">
        <f t="shared" si="30"/>
        <v>12.2</v>
      </c>
      <c r="AJ51" s="92">
        <f t="shared" si="30"/>
        <v>1.0999999999999999E-2</v>
      </c>
      <c r="AK51" s="92">
        <f t="shared" si="30"/>
        <v>45.6</v>
      </c>
      <c r="AL51" s="92">
        <f t="shared" si="30"/>
        <v>6.6999999999999993</v>
      </c>
      <c r="AM51" s="92">
        <f t="shared" si="30"/>
        <v>6.5000000000000002E-2</v>
      </c>
      <c r="AN51" s="92">
        <f t="shared" si="30"/>
        <v>25.6</v>
      </c>
      <c r="AO51" s="92">
        <f t="shared" si="30"/>
        <v>12.8</v>
      </c>
      <c r="AP51" s="92">
        <f t="shared" si="30"/>
        <v>6.0000000000000001E-3</v>
      </c>
      <c r="AQ51" s="92">
        <f t="shared" si="30"/>
        <v>22.6</v>
      </c>
      <c r="AR51" s="92">
        <v>1934</v>
      </c>
      <c r="AS51" s="92">
        <v>6.0999999999999999E-2</v>
      </c>
      <c r="AT51" s="92">
        <f t="shared" si="31"/>
        <v>1</v>
      </c>
      <c r="AU51" s="68" t="s">
        <v>296</v>
      </c>
      <c r="AV51" s="309">
        <f t="shared" si="5"/>
        <v>0.03</v>
      </c>
      <c r="AW51" s="309">
        <f t="shared" si="6"/>
        <v>0.97</v>
      </c>
      <c r="AX51" s="92">
        <f t="shared" si="7"/>
        <v>346</v>
      </c>
      <c r="AY51" s="92">
        <f t="shared" si="7"/>
        <v>26</v>
      </c>
    </row>
    <row r="52" spans="1:51" ht="12.75" customHeight="1">
      <c r="A52" s="130" t="s">
        <v>139</v>
      </c>
      <c r="B52" s="92">
        <v>-2</v>
      </c>
      <c r="C52" s="92">
        <v>87</v>
      </c>
      <c r="D52" s="92">
        <v>71</v>
      </c>
      <c r="E52" s="92">
        <v>6845</v>
      </c>
      <c r="F52" s="92">
        <v>6</v>
      </c>
      <c r="G52" s="92">
        <v>15</v>
      </c>
      <c r="H52" s="92">
        <f t="shared" si="27"/>
        <v>226</v>
      </c>
      <c r="I52" s="92">
        <f t="shared" si="27"/>
        <v>474</v>
      </c>
      <c r="J52" s="92">
        <f t="shared" si="27"/>
        <v>54.3</v>
      </c>
      <c r="K52" s="92">
        <v>438</v>
      </c>
      <c r="L52" s="92">
        <f t="shared" si="28"/>
        <v>0.113</v>
      </c>
      <c r="M52" s="92">
        <f t="shared" si="28"/>
        <v>0.08</v>
      </c>
      <c r="N52" s="92">
        <f t="shared" si="28"/>
        <v>-2.4E-2</v>
      </c>
      <c r="O52" s="92">
        <f t="shared" si="28"/>
        <v>0</v>
      </c>
      <c r="P52" s="92">
        <f t="shared" si="28"/>
        <v>9.6999999999999993</v>
      </c>
      <c r="Q52" s="92">
        <f t="shared" si="28"/>
        <v>23</v>
      </c>
      <c r="R52" s="92">
        <f t="shared" si="28"/>
        <v>16</v>
      </c>
      <c r="S52" s="92">
        <f t="shared" si="28"/>
        <v>9.1999999999999998E-2</v>
      </c>
      <c r="T52" s="92">
        <f t="shared" si="28"/>
        <v>6.1</v>
      </c>
      <c r="U52" s="92">
        <f t="shared" si="28"/>
        <v>4.3999999999999997E-2</v>
      </c>
      <c r="V52" s="92">
        <f t="shared" si="29"/>
        <v>37.799999999999997</v>
      </c>
      <c r="W52" s="92">
        <f t="shared" si="29"/>
        <v>6.1</v>
      </c>
      <c r="X52" s="92">
        <f t="shared" si="29"/>
        <v>4.3999999999999997E-2</v>
      </c>
      <c r="Y52" s="92">
        <f t="shared" si="29"/>
        <v>37.799999999999997</v>
      </c>
      <c r="Z52" s="92">
        <f t="shared" si="29"/>
        <v>1.7</v>
      </c>
      <c r="AA52" s="92">
        <f t="shared" si="29"/>
        <v>2.5999999999999999E-2</v>
      </c>
      <c r="AB52" s="92">
        <f t="shared" si="29"/>
        <v>15</v>
      </c>
      <c r="AC52" s="92">
        <f t="shared" si="29"/>
        <v>4.8</v>
      </c>
      <c r="AD52" s="92">
        <f t="shared" si="29"/>
        <v>5.0000000000000001E-3</v>
      </c>
      <c r="AE52" s="92">
        <f t="shared" si="29"/>
        <v>15.5</v>
      </c>
      <c r="AF52" s="92">
        <f t="shared" si="30"/>
        <v>5.5500000000000007</v>
      </c>
      <c r="AG52" s="92">
        <f t="shared" si="30"/>
        <v>5.4999999999999997E-3</v>
      </c>
      <c r="AH52" s="92">
        <f t="shared" si="30"/>
        <v>18.599999999999998</v>
      </c>
      <c r="AI52" s="92">
        <f t="shared" si="30"/>
        <v>13.5</v>
      </c>
      <c r="AJ52" s="92">
        <f t="shared" si="30"/>
        <v>1.4E-2</v>
      </c>
      <c r="AK52" s="92">
        <f t="shared" si="30"/>
        <v>44.9</v>
      </c>
      <c r="AL52" s="92">
        <f t="shared" si="30"/>
        <v>7.4</v>
      </c>
      <c r="AM52" s="92">
        <f t="shared" si="30"/>
        <v>8.0000000000000002E-3</v>
      </c>
      <c r="AN52" s="92">
        <f t="shared" si="30"/>
        <v>25.1</v>
      </c>
      <c r="AO52" s="92">
        <f t="shared" si="30"/>
        <v>13.2</v>
      </c>
      <c r="AP52" s="92">
        <f t="shared" si="30"/>
        <v>1.4E-2</v>
      </c>
      <c r="AQ52" s="92">
        <f t="shared" si="30"/>
        <v>23.4</v>
      </c>
      <c r="AR52" s="92">
        <v>1934</v>
      </c>
      <c r="AS52" s="92">
        <v>6.0999999999999999E-2</v>
      </c>
      <c r="AT52" s="92">
        <f t="shared" si="31"/>
        <v>0.99099999999999999</v>
      </c>
      <c r="AU52" s="68" t="s">
        <v>299</v>
      </c>
      <c r="AV52" s="309">
        <f t="shared" si="5"/>
        <v>0.03</v>
      </c>
      <c r="AW52" s="309">
        <f t="shared" si="6"/>
        <v>0.97</v>
      </c>
      <c r="AX52" s="92">
        <f t="shared" si="7"/>
        <v>332</v>
      </c>
      <c r="AY52" s="92">
        <f t="shared" si="7"/>
        <v>26</v>
      </c>
    </row>
    <row r="53" spans="1:51" ht="12.75" customHeight="1">
      <c r="A53" s="130" t="s">
        <v>140</v>
      </c>
      <c r="B53" s="92">
        <v>1</v>
      </c>
      <c r="C53" s="92">
        <v>86</v>
      </c>
      <c r="D53" s="92">
        <v>71</v>
      </c>
      <c r="E53" s="92">
        <v>6734</v>
      </c>
      <c r="F53" s="92">
        <v>5</v>
      </c>
      <c r="G53" s="92" t="s">
        <v>161</v>
      </c>
      <c r="H53" s="92">
        <f t="shared" si="27"/>
        <v>226</v>
      </c>
      <c r="I53" s="92">
        <f t="shared" si="27"/>
        <v>474</v>
      </c>
      <c r="J53" s="92">
        <f t="shared" si="27"/>
        <v>54.3</v>
      </c>
      <c r="K53" s="92">
        <v>507</v>
      </c>
      <c r="L53" s="92">
        <f t="shared" si="28"/>
        <v>0.113</v>
      </c>
      <c r="M53" s="92">
        <f t="shared" si="28"/>
        <v>0.08</v>
      </c>
      <c r="N53" s="92">
        <f t="shared" si="28"/>
        <v>-2.4E-2</v>
      </c>
      <c r="O53" s="92">
        <f t="shared" si="28"/>
        <v>0</v>
      </c>
      <c r="P53" s="92">
        <f t="shared" si="28"/>
        <v>9.6999999999999993</v>
      </c>
      <c r="Q53" s="92">
        <f t="shared" si="28"/>
        <v>23</v>
      </c>
      <c r="R53" s="92">
        <f t="shared" si="28"/>
        <v>16</v>
      </c>
      <c r="S53" s="92">
        <f t="shared" si="28"/>
        <v>9.1999999999999998E-2</v>
      </c>
      <c r="T53" s="92">
        <f t="shared" si="28"/>
        <v>6.1</v>
      </c>
      <c r="U53" s="92">
        <f t="shared" si="28"/>
        <v>4.3999999999999997E-2</v>
      </c>
      <c r="V53" s="92">
        <f t="shared" si="29"/>
        <v>37.799999999999997</v>
      </c>
      <c r="W53" s="92">
        <f t="shared" si="29"/>
        <v>6.1</v>
      </c>
      <c r="X53" s="92">
        <f t="shared" si="29"/>
        <v>4.3999999999999997E-2</v>
      </c>
      <c r="Y53" s="92">
        <f t="shared" si="29"/>
        <v>37.799999999999997</v>
      </c>
      <c r="Z53" s="92">
        <f t="shared" si="29"/>
        <v>1.7</v>
      </c>
      <c r="AA53" s="92">
        <f t="shared" si="29"/>
        <v>2.5999999999999999E-2</v>
      </c>
      <c r="AB53" s="92">
        <f t="shared" si="29"/>
        <v>15</v>
      </c>
      <c r="AC53" s="92">
        <f t="shared" si="29"/>
        <v>4.8</v>
      </c>
      <c r="AD53" s="92">
        <f t="shared" si="29"/>
        <v>5.0000000000000001E-3</v>
      </c>
      <c r="AE53" s="92">
        <f t="shared" si="29"/>
        <v>15.5</v>
      </c>
      <c r="AF53" s="92">
        <f t="shared" si="30"/>
        <v>5.5500000000000007</v>
      </c>
      <c r="AG53" s="92">
        <f t="shared" si="30"/>
        <v>5.4999999999999997E-3</v>
      </c>
      <c r="AH53" s="92">
        <f t="shared" si="30"/>
        <v>18.599999999999998</v>
      </c>
      <c r="AI53" s="92">
        <f t="shared" si="30"/>
        <v>13.5</v>
      </c>
      <c r="AJ53" s="92">
        <f t="shared" si="30"/>
        <v>1.4E-2</v>
      </c>
      <c r="AK53" s="92">
        <f t="shared" si="30"/>
        <v>44.9</v>
      </c>
      <c r="AL53" s="92">
        <f t="shared" si="30"/>
        <v>7.4</v>
      </c>
      <c r="AM53" s="92">
        <f t="shared" si="30"/>
        <v>8.0000000000000002E-3</v>
      </c>
      <c r="AN53" s="92">
        <f t="shared" si="30"/>
        <v>25.1</v>
      </c>
      <c r="AO53" s="92">
        <f t="shared" si="30"/>
        <v>13.2</v>
      </c>
      <c r="AP53" s="92">
        <f t="shared" si="30"/>
        <v>1.4E-2</v>
      </c>
      <c r="AQ53" s="92">
        <f t="shared" si="30"/>
        <v>23.4</v>
      </c>
      <c r="AR53" s="92">
        <v>1934</v>
      </c>
      <c r="AS53" s="92">
        <v>6.0999999999999999E-2</v>
      </c>
      <c r="AT53" s="92">
        <f t="shared" si="31"/>
        <v>0.99099999999999999</v>
      </c>
      <c r="AU53" s="68" t="s">
        <v>299</v>
      </c>
      <c r="AV53" s="309">
        <f t="shared" si="5"/>
        <v>0.06</v>
      </c>
      <c r="AW53" s="309">
        <f t="shared" si="6"/>
        <v>0.94</v>
      </c>
      <c r="AX53" s="92">
        <f t="shared" si="7"/>
        <v>332</v>
      </c>
      <c r="AY53" s="92">
        <f t="shared" si="7"/>
        <v>26</v>
      </c>
    </row>
    <row r="54" spans="1:51" ht="12.75" customHeight="1">
      <c r="A54" s="130" t="s">
        <v>141</v>
      </c>
      <c r="B54" s="92">
        <v>1</v>
      </c>
      <c r="C54" s="92">
        <v>86</v>
      </c>
      <c r="D54" s="92">
        <v>71</v>
      </c>
      <c r="E54" s="92">
        <v>6734</v>
      </c>
      <c r="F54" s="92">
        <v>6</v>
      </c>
      <c r="G54" s="92">
        <v>15</v>
      </c>
      <c r="H54" s="92">
        <f t="shared" si="27"/>
        <v>171</v>
      </c>
      <c r="I54" s="92">
        <f t="shared" si="27"/>
        <v>484</v>
      </c>
      <c r="J54" s="92">
        <f t="shared" si="27"/>
        <v>52.3</v>
      </c>
      <c r="K54" s="92">
        <v>438</v>
      </c>
      <c r="L54" s="92">
        <f t="shared" si="28"/>
        <v>7.2999999999999995E-2</v>
      </c>
      <c r="M54" s="92">
        <f t="shared" si="28"/>
        <v>6.8000000000000005E-2</v>
      </c>
      <c r="N54" s="92">
        <f t="shared" si="28"/>
        <v>-2.7E-2</v>
      </c>
      <c r="O54" s="92">
        <f t="shared" si="28"/>
        <v>0</v>
      </c>
      <c r="P54" s="92">
        <f t="shared" si="28"/>
        <v>9.6</v>
      </c>
      <c r="Q54" s="92">
        <f t="shared" si="28"/>
        <v>11</v>
      </c>
      <c r="R54" s="92">
        <f t="shared" si="28"/>
        <v>17</v>
      </c>
      <c r="S54" s="92">
        <f t="shared" si="28"/>
        <v>8.5000000000000006E-2</v>
      </c>
      <c r="T54" s="92">
        <f t="shared" si="28"/>
        <v>6</v>
      </c>
      <c r="U54" s="92">
        <f t="shared" si="28"/>
        <v>2.5999999999999999E-2</v>
      </c>
      <c r="V54" s="92">
        <f t="shared" si="29"/>
        <v>42.7</v>
      </c>
      <c r="W54" s="92">
        <f t="shared" si="29"/>
        <v>6</v>
      </c>
      <c r="X54" s="92">
        <f t="shared" si="29"/>
        <v>2.5999999999999999E-2</v>
      </c>
      <c r="Y54" s="92">
        <f t="shared" si="29"/>
        <v>42.7</v>
      </c>
      <c r="Z54" s="92">
        <f t="shared" si="29"/>
        <v>1.8</v>
      </c>
      <c r="AA54" s="92">
        <f t="shared" si="29"/>
        <v>8.9999999999999993E-3</v>
      </c>
      <c r="AB54" s="92">
        <f t="shared" si="29"/>
        <v>14.9</v>
      </c>
      <c r="AC54" s="92">
        <f t="shared" si="29"/>
        <v>2.8</v>
      </c>
      <c r="AD54" s="92">
        <f t="shared" si="29"/>
        <v>0</v>
      </c>
      <c r="AE54" s="92">
        <f t="shared" si="29"/>
        <v>17.2</v>
      </c>
      <c r="AF54" s="92">
        <f t="shared" si="30"/>
        <v>3.1</v>
      </c>
      <c r="AG54" s="92">
        <f t="shared" si="30"/>
        <v>1.5E-3</v>
      </c>
      <c r="AH54" s="92">
        <f t="shared" si="30"/>
        <v>20.650000000000002</v>
      </c>
      <c r="AI54" s="92">
        <f t="shared" si="30"/>
        <v>7.7</v>
      </c>
      <c r="AJ54" s="92">
        <f t="shared" si="30"/>
        <v>3.0000000000000001E-3</v>
      </c>
      <c r="AK54" s="92">
        <f t="shared" si="30"/>
        <v>49.9</v>
      </c>
      <c r="AL54" s="92">
        <f t="shared" si="30"/>
        <v>4.1500000000000004</v>
      </c>
      <c r="AM54" s="92">
        <f t="shared" si="30"/>
        <v>4.0000000000000001E-3</v>
      </c>
      <c r="AN54" s="92">
        <f t="shared" si="30"/>
        <v>27.85</v>
      </c>
      <c r="AO54" s="92">
        <f t="shared" si="30"/>
        <v>13.6</v>
      </c>
      <c r="AP54" s="92">
        <f t="shared" si="30"/>
        <v>6.0000000000000001E-3</v>
      </c>
      <c r="AQ54" s="92">
        <f t="shared" si="30"/>
        <v>24.2</v>
      </c>
      <c r="AR54" s="92">
        <v>1934</v>
      </c>
      <c r="AS54" s="92">
        <v>6.0999999999999999E-2</v>
      </c>
      <c r="AT54" s="92">
        <f t="shared" si="31"/>
        <v>1.008</v>
      </c>
      <c r="AU54" s="68" t="s">
        <v>297</v>
      </c>
      <c r="AV54" s="309">
        <f t="shared" si="5"/>
        <v>0.03</v>
      </c>
      <c r="AW54" s="309">
        <f t="shared" si="6"/>
        <v>0.97</v>
      </c>
      <c r="AX54" s="92">
        <f t="shared" si="7"/>
        <v>223</v>
      </c>
      <c r="AY54" s="92">
        <f t="shared" si="7"/>
        <v>28</v>
      </c>
    </row>
    <row r="55" spans="1:51" ht="12.75" customHeight="1">
      <c r="A55" s="130" t="s">
        <v>142</v>
      </c>
      <c r="B55" s="92">
        <v>11</v>
      </c>
      <c r="C55" s="92">
        <v>83</v>
      </c>
      <c r="D55" s="92">
        <v>74</v>
      </c>
      <c r="E55" s="92">
        <v>5750</v>
      </c>
      <c r="F55" s="92">
        <v>4</v>
      </c>
      <c r="G55" s="92" t="s">
        <v>162</v>
      </c>
      <c r="H55" s="92">
        <f t="shared" si="27"/>
        <v>364</v>
      </c>
      <c r="I55" s="92">
        <f t="shared" si="27"/>
        <v>219</v>
      </c>
      <c r="J55" s="92">
        <f t="shared" si="27"/>
        <v>61.4</v>
      </c>
      <c r="K55" s="92">
        <v>1096</v>
      </c>
      <c r="L55" s="92">
        <f t="shared" si="28"/>
        <v>0.19400000000000001</v>
      </c>
      <c r="M55" s="92">
        <f t="shared" si="28"/>
        <v>0.10100000000000001</v>
      </c>
      <c r="N55" s="92">
        <f t="shared" si="28"/>
        <v>-2.1000000000000001E-2</v>
      </c>
      <c r="O55" s="92">
        <f t="shared" si="28"/>
        <v>0</v>
      </c>
      <c r="P55" s="92">
        <f t="shared" si="28"/>
        <v>10.7</v>
      </c>
      <c r="Q55" s="92">
        <f t="shared" si="28"/>
        <v>56</v>
      </c>
      <c r="R55" s="92">
        <f t="shared" si="28"/>
        <v>17</v>
      </c>
      <c r="S55" s="92">
        <f t="shared" si="28"/>
        <v>9.8000000000000004E-2</v>
      </c>
      <c r="T55" s="92">
        <f t="shared" si="28"/>
        <v>20.3</v>
      </c>
      <c r="U55" s="92">
        <f t="shared" si="28"/>
        <v>2.5999999999999999E-2</v>
      </c>
      <c r="V55" s="92">
        <f t="shared" si="29"/>
        <v>28.3</v>
      </c>
      <c r="W55" s="92">
        <f t="shared" si="29"/>
        <v>20.3</v>
      </c>
      <c r="X55" s="92">
        <f t="shared" si="29"/>
        <v>2.5999999999999999E-2</v>
      </c>
      <c r="Y55" s="92">
        <f t="shared" si="29"/>
        <v>28.3</v>
      </c>
      <c r="Z55" s="92">
        <f t="shared" si="29"/>
        <v>6.7</v>
      </c>
      <c r="AA55" s="92">
        <f t="shared" si="29"/>
        <v>8.9999999999999993E-3</v>
      </c>
      <c r="AB55" s="92">
        <f t="shared" si="29"/>
        <v>9.4</v>
      </c>
      <c r="AC55" s="92">
        <f t="shared" si="29"/>
        <v>11</v>
      </c>
      <c r="AD55" s="92">
        <f t="shared" si="29"/>
        <v>3.0000000000000001E-3</v>
      </c>
      <c r="AE55" s="92">
        <f t="shared" si="29"/>
        <v>10.7</v>
      </c>
      <c r="AF55" s="92">
        <f t="shared" si="30"/>
        <v>13.05</v>
      </c>
      <c r="AG55" s="92">
        <f t="shared" si="30"/>
        <v>2.5000000000000001E-3</v>
      </c>
      <c r="AH55" s="92">
        <f t="shared" si="30"/>
        <v>12.75</v>
      </c>
      <c r="AI55" s="92">
        <f t="shared" si="30"/>
        <v>31.7</v>
      </c>
      <c r="AJ55" s="92">
        <f t="shared" si="30"/>
        <v>8.0000000000000002E-3</v>
      </c>
      <c r="AK55" s="92">
        <f t="shared" si="30"/>
        <v>30.9</v>
      </c>
      <c r="AL55" s="92">
        <f t="shared" si="30"/>
        <v>17.600000000000001</v>
      </c>
      <c r="AM55" s="92">
        <f t="shared" si="30"/>
        <v>5.4999999999999997E-3</v>
      </c>
      <c r="AN55" s="92">
        <f t="shared" si="30"/>
        <v>17.350000000000001</v>
      </c>
      <c r="AO55" s="92">
        <f t="shared" si="30"/>
        <v>9.1999999999999993</v>
      </c>
      <c r="AP55" s="92">
        <f t="shared" si="30"/>
        <v>6.0000000000000001E-3</v>
      </c>
      <c r="AQ55" s="92">
        <f t="shared" si="30"/>
        <v>17.399999999999999</v>
      </c>
      <c r="AR55" s="92">
        <v>1934</v>
      </c>
      <c r="AS55" s="92">
        <v>6.0999999999999999E-2</v>
      </c>
      <c r="AT55" s="92">
        <f t="shared" si="31"/>
        <v>1.34</v>
      </c>
      <c r="AU55" s="68" t="s">
        <v>260</v>
      </c>
      <c r="AV55" s="309">
        <f t="shared" si="5"/>
        <v>0.15</v>
      </c>
      <c r="AW55" s="309">
        <f t="shared" si="6"/>
        <v>0.85</v>
      </c>
      <c r="AX55" s="92">
        <f t="shared" si="7"/>
        <v>370</v>
      </c>
      <c r="AY55" s="92">
        <f t="shared" si="7"/>
        <v>17</v>
      </c>
    </row>
    <row r="56" spans="1:51" ht="12.75" customHeight="1">
      <c r="A56" s="130" t="s">
        <v>143</v>
      </c>
      <c r="B56" s="92">
        <v>6</v>
      </c>
      <c r="C56" s="92">
        <v>83</v>
      </c>
      <c r="D56" s="92">
        <v>73</v>
      </c>
      <c r="E56" s="92">
        <v>6750</v>
      </c>
      <c r="F56" s="92">
        <v>6</v>
      </c>
      <c r="G56" s="92">
        <v>15</v>
      </c>
      <c r="H56" s="92">
        <f t="shared" si="27"/>
        <v>282</v>
      </c>
      <c r="I56" s="92">
        <f t="shared" si="27"/>
        <v>291</v>
      </c>
      <c r="J56" s="92">
        <f t="shared" si="27"/>
        <v>55.8</v>
      </c>
      <c r="K56" s="92">
        <v>438</v>
      </c>
      <c r="L56" s="92">
        <f t="shared" si="28"/>
        <v>0.16800000000000001</v>
      </c>
      <c r="M56" s="92">
        <f t="shared" si="28"/>
        <v>9.1999999999999998E-2</v>
      </c>
      <c r="N56" s="92">
        <f t="shared" si="28"/>
        <v>-2.3E-2</v>
      </c>
      <c r="O56" s="92">
        <f t="shared" si="28"/>
        <v>0</v>
      </c>
      <c r="P56" s="92">
        <f t="shared" si="28"/>
        <v>10.7</v>
      </c>
      <c r="Q56" s="92">
        <f t="shared" si="28"/>
        <v>56</v>
      </c>
      <c r="R56" s="92">
        <f t="shared" si="28"/>
        <v>17</v>
      </c>
      <c r="S56" s="92">
        <f t="shared" si="28"/>
        <v>9.8000000000000004E-2</v>
      </c>
      <c r="T56" s="92">
        <f t="shared" si="28"/>
        <v>-0.3</v>
      </c>
      <c r="U56" s="92">
        <f t="shared" si="28"/>
        <v>1.7999999999999999E-2</v>
      </c>
      <c r="V56" s="92">
        <f t="shared" si="29"/>
        <v>38.700000000000003</v>
      </c>
      <c r="W56" s="92">
        <f t="shared" si="29"/>
        <v>-0.3</v>
      </c>
      <c r="X56" s="92">
        <f t="shared" si="29"/>
        <v>1.7999999999999999E-2</v>
      </c>
      <c r="Y56" s="92">
        <f t="shared" si="29"/>
        <v>38.700000000000003</v>
      </c>
      <c r="Z56" s="92">
        <f t="shared" si="29"/>
        <v>-0.9</v>
      </c>
      <c r="AA56" s="92">
        <f t="shared" si="29"/>
        <v>8.9999999999999993E-3</v>
      </c>
      <c r="AB56" s="92">
        <f t="shared" si="29"/>
        <v>13.4</v>
      </c>
      <c r="AC56" s="92">
        <f t="shared" si="29"/>
        <v>3.6</v>
      </c>
      <c r="AD56" s="92">
        <f t="shared" si="29"/>
        <v>3.0000000000000001E-3</v>
      </c>
      <c r="AE56" s="92">
        <f t="shared" si="29"/>
        <v>13</v>
      </c>
      <c r="AF56" s="92">
        <f t="shared" si="30"/>
        <v>3.95</v>
      </c>
      <c r="AG56" s="92">
        <f t="shared" si="30"/>
        <v>1.5E-3</v>
      </c>
      <c r="AH56" s="92">
        <f t="shared" si="30"/>
        <v>15.9</v>
      </c>
      <c r="AI56" s="92">
        <f t="shared" si="30"/>
        <v>9.9</v>
      </c>
      <c r="AJ56" s="92">
        <f t="shared" si="30"/>
        <v>5.0000000000000001E-3</v>
      </c>
      <c r="AK56" s="92">
        <f t="shared" si="30"/>
        <v>38.1</v>
      </c>
      <c r="AL56" s="92">
        <f t="shared" si="30"/>
        <v>5.25</v>
      </c>
      <c r="AM56" s="92">
        <f t="shared" si="30"/>
        <v>4.0000000000000001E-3</v>
      </c>
      <c r="AN56" s="92">
        <f t="shared" si="30"/>
        <v>21.1</v>
      </c>
      <c r="AO56" s="92">
        <f t="shared" si="30"/>
        <v>11.6</v>
      </c>
      <c r="AP56" s="92">
        <f t="shared" si="30"/>
        <v>0</v>
      </c>
      <c r="AQ56" s="92">
        <f t="shared" si="30"/>
        <v>23.6</v>
      </c>
      <c r="AR56" s="92">
        <v>1934</v>
      </c>
      <c r="AS56" s="92">
        <v>6.0999999999999999E-2</v>
      </c>
      <c r="AT56" s="92">
        <f t="shared" si="31"/>
        <v>1.145</v>
      </c>
      <c r="AU56" s="68" t="s">
        <v>301</v>
      </c>
      <c r="AV56" s="309">
        <f t="shared" si="5"/>
        <v>0.03</v>
      </c>
      <c r="AW56" s="309">
        <f t="shared" si="6"/>
        <v>0.97</v>
      </c>
      <c r="AX56" s="92">
        <f t="shared" si="7"/>
        <v>370</v>
      </c>
      <c r="AY56" s="92">
        <f t="shared" si="7"/>
        <v>17</v>
      </c>
    </row>
    <row r="57" spans="1:51" ht="12.75" customHeight="1">
      <c r="A57" s="130" t="s">
        <v>144</v>
      </c>
      <c r="B57" s="92">
        <v>-2</v>
      </c>
      <c r="C57" s="92">
        <v>87</v>
      </c>
      <c r="D57" s="92">
        <v>71</v>
      </c>
      <c r="E57" s="92">
        <v>6845</v>
      </c>
      <c r="F57" s="92">
        <v>5</v>
      </c>
      <c r="G57" s="92">
        <v>15</v>
      </c>
      <c r="H57" s="92">
        <f t="shared" si="27"/>
        <v>171</v>
      </c>
      <c r="I57" s="92">
        <f t="shared" si="27"/>
        <v>484</v>
      </c>
      <c r="J57" s="92">
        <f t="shared" si="27"/>
        <v>52.3</v>
      </c>
      <c r="K57" s="92">
        <v>507</v>
      </c>
      <c r="L57" s="92">
        <f t="shared" si="28"/>
        <v>7.2999999999999995E-2</v>
      </c>
      <c r="M57" s="92">
        <f t="shared" si="28"/>
        <v>6.8000000000000005E-2</v>
      </c>
      <c r="N57" s="92">
        <f t="shared" si="28"/>
        <v>-2.7E-2</v>
      </c>
      <c r="O57" s="92">
        <f t="shared" si="28"/>
        <v>0</v>
      </c>
      <c r="P57" s="92">
        <f t="shared" si="28"/>
        <v>9.6</v>
      </c>
      <c r="Q57" s="92">
        <f t="shared" si="28"/>
        <v>11</v>
      </c>
      <c r="R57" s="92">
        <f t="shared" si="28"/>
        <v>17</v>
      </c>
      <c r="S57" s="92">
        <f t="shared" si="28"/>
        <v>8.5000000000000006E-2</v>
      </c>
      <c r="T57" s="92">
        <f t="shared" si="28"/>
        <v>6</v>
      </c>
      <c r="U57" s="92">
        <f t="shared" si="28"/>
        <v>2.5999999999999999E-2</v>
      </c>
      <c r="V57" s="92">
        <f t="shared" si="29"/>
        <v>42.7</v>
      </c>
      <c r="W57" s="92">
        <f t="shared" si="29"/>
        <v>6</v>
      </c>
      <c r="X57" s="92">
        <f t="shared" si="29"/>
        <v>2.5999999999999999E-2</v>
      </c>
      <c r="Y57" s="92">
        <f t="shared" si="29"/>
        <v>42.7</v>
      </c>
      <c r="Z57" s="92">
        <f t="shared" si="29"/>
        <v>1.8</v>
      </c>
      <c r="AA57" s="92">
        <f t="shared" si="29"/>
        <v>8.9999999999999993E-3</v>
      </c>
      <c r="AB57" s="92">
        <f t="shared" si="29"/>
        <v>14.9</v>
      </c>
      <c r="AC57" s="92">
        <f t="shared" si="29"/>
        <v>2.8</v>
      </c>
      <c r="AD57" s="92">
        <f t="shared" si="29"/>
        <v>0</v>
      </c>
      <c r="AE57" s="92">
        <f t="shared" si="29"/>
        <v>17.2</v>
      </c>
      <c r="AF57" s="92">
        <f t="shared" si="30"/>
        <v>3.1</v>
      </c>
      <c r="AG57" s="92">
        <f t="shared" si="30"/>
        <v>1.5E-3</v>
      </c>
      <c r="AH57" s="92">
        <f t="shared" si="30"/>
        <v>20.650000000000002</v>
      </c>
      <c r="AI57" s="92">
        <f t="shared" si="30"/>
        <v>7.7</v>
      </c>
      <c r="AJ57" s="92">
        <f t="shared" si="30"/>
        <v>3.0000000000000001E-3</v>
      </c>
      <c r="AK57" s="92">
        <f t="shared" si="30"/>
        <v>49.9</v>
      </c>
      <c r="AL57" s="92">
        <f t="shared" si="30"/>
        <v>4.1500000000000004</v>
      </c>
      <c r="AM57" s="92">
        <f t="shared" si="30"/>
        <v>4.0000000000000001E-3</v>
      </c>
      <c r="AN57" s="92">
        <f t="shared" si="30"/>
        <v>27.85</v>
      </c>
      <c r="AO57" s="92">
        <f t="shared" si="30"/>
        <v>13.6</v>
      </c>
      <c r="AP57" s="92">
        <f t="shared" si="30"/>
        <v>6.0000000000000001E-3</v>
      </c>
      <c r="AQ57" s="92">
        <f t="shared" si="30"/>
        <v>24.2</v>
      </c>
      <c r="AR57" s="92">
        <v>1934</v>
      </c>
      <c r="AS57" s="92">
        <v>6.0999999999999999E-2</v>
      </c>
      <c r="AT57" s="92">
        <f t="shared" si="31"/>
        <v>1.008</v>
      </c>
      <c r="AU57" s="68" t="s">
        <v>297</v>
      </c>
      <c r="AV57" s="309">
        <f t="shared" si="5"/>
        <v>0.06</v>
      </c>
      <c r="AW57" s="309">
        <f t="shared" si="6"/>
        <v>0.94</v>
      </c>
      <c r="AX57" s="92">
        <f t="shared" si="7"/>
        <v>223</v>
      </c>
      <c r="AY57" s="92">
        <f t="shared" si="7"/>
        <v>28</v>
      </c>
    </row>
    <row r="58" spans="1:51" ht="12.75" customHeight="1">
      <c r="A58" s="130" t="s">
        <v>145</v>
      </c>
      <c r="B58" s="92">
        <v>-2</v>
      </c>
      <c r="C58" s="92">
        <v>82</v>
      </c>
      <c r="D58" s="92">
        <v>69</v>
      </c>
      <c r="E58" s="92">
        <v>7273</v>
      </c>
      <c r="F58" s="92">
        <v>6</v>
      </c>
      <c r="G58" s="92">
        <v>15</v>
      </c>
      <c r="H58" s="92">
        <f t="shared" si="27"/>
        <v>171</v>
      </c>
      <c r="I58" s="92">
        <f t="shared" si="27"/>
        <v>484</v>
      </c>
      <c r="J58" s="92">
        <f t="shared" si="27"/>
        <v>52.3</v>
      </c>
      <c r="K58" s="92">
        <v>438</v>
      </c>
      <c r="L58" s="92">
        <f t="shared" si="28"/>
        <v>7.2999999999999995E-2</v>
      </c>
      <c r="M58" s="92">
        <f t="shared" si="28"/>
        <v>6.8000000000000005E-2</v>
      </c>
      <c r="N58" s="92">
        <f t="shared" si="28"/>
        <v>-2.7E-2</v>
      </c>
      <c r="O58" s="92">
        <f t="shared" si="28"/>
        <v>0</v>
      </c>
      <c r="P58" s="92">
        <f t="shared" si="28"/>
        <v>9.6</v>
      </c>
      <c r="Q58" s="92">
        <f t="shared" si="28"/>
        <v>11</v>
      </c>
      <c r="R58" s="92">
        <f t="shared" si="28"/>
        <v>17</v>
      </c>
      <c r="S58" s="92">
        <f t="shared" si="28"/>
        <v>8.5000000000000006E-2</v>
      </c>
      <c r="T58" s="92">
        <f t="shared" si="28"/>
        <v>6</v>
      </c>
      <c r="U58" s="92">
        <f t="shared" si="28"/>
        <v>2.5999999999999999E-2</v>
      </c>
      <c r="V58" s="92">
        <f t="shared" si="29"/>
        <v>42.7</v>
      </c>
      <c r="W58" s="92">
        <f t="shared" si="29"/>
        <v>6</v>
      </c>
      <c r="X58" s="92">
        <f t="shared" si="29"/>
        <v>2.5999999999999999E-2</v>
      </c>
      <c r="Y58" s="92">
        <f t="shared" si="29"/>
        <v>42.7</v>
      </c>
      <c r="Z58" s="92">
        <f t="shared" si="29"/>
        <v>1.8</v>
      </c>
      <c r="AA58" s="92">
        <f t="shared" si="29"/>
        <v>8.9999999999999993E-3</v>
      </c>
      <c r="AB58" s="92">
        <f t="shared" si="29"/>
        <v>14.9</v>
      </c>
      <c r="AC58" s="92">
        <f t="shared" si="29"/>
        <v>2.8</v>
      </c>
      <c r="AD58" s="92">
        <f t="shared" si="29"/>
        <v>0</v>
      </c>
      <c r="AE58" s="92">
        <f t="shared" si="29"/>
        <v>17.2</v>
      </c>
      <c r="AF58" s="92">
        <f t="shared" si="30"/>
        <v>3.1</v>
      </c>
      <c r="AG58" s="92">
        <f t="shared" si="30"/>
        <v>1.5E-3</v>
      </c>
      <c r="AH58" s="92">
        <f t="shared" si="30"/>
        <v>20.650000000000002</v>
      </c>
      <c r="AI58" s="92">
        <f t="shared" si="30"/>
        <v>7.7</v>
      </c>
      <c r="AJ58" s="92">
        <f t="shared" si="30"/>
        <v>3.0000000000000001E-3</v>
      </c>
      <c r="AK58" s="92">
        <f t="shared" si="30"/>
        <v>49.9</v>
      </c>
      <c r="AL58" s="92">
        <f t="shared" si="30"/>
        <v>4.1500000000000004</v>
      </c>
      <c r="AM58" s="92">
        <f t="shared" si="30"/>
        <v>4.0000000000000001E-3</v>
      </c>
      <c r="AN58" s="92">
        <f t="shared" si="30"/>
        <v>27.85</v>
      </c>
      <c r="AO58" s="92">
        <f t="shared" si="30"/>
        <v>13.6</v>
      </c>
      <c r="AP58" s="92">
        <f t="shared" si="30"/>
        <v>6.0000000000000001E-3</v>
      </c>
      <c r="AQ58" s="92">
        <f t="shared" si="30"/>
        <v>24.2</v>
      </c>
      <c r="AR58" s="92">
        <v>1934</v>
      </c>
      <c r="AS58" s="92">
        <v>6.0999999999999999E-2</v>
      </c>
      <c r="AT58" s="92">
        <f t="shared" si="31"/>
        <v>1.008</v>
      </c>
      <c r="AU58" s="68" t="s">
        <v>297</v>
      </c>
      <c r="AV58" s="309">
        <f t="shared" si="5"/>
        <v>0.03</v>
      </c>
      <c r="AW58" s="309">
        <f t="shared" si="6"/>
        <v>0.97</v>
      </c>
      <c r="AX58" s="92">
        <f t="shared" si="7"/>
        <v>223</v>
      </c>
      <c r="AY58" s="92">
        <f t="shared" si="7"/>
        <v>28</v>
      </c>
    </row>
    <row r="59" spans="1:51" ht="12.75" customHeight="1">
      <c r="A59" s="130" t="s">
        <v>146</v>
      </c>
      <c r="B59" s="92">
        <v>6</v>
      </c>
      <c r="C59" s="92">
        <v>83</v>
      </c>
      <c r="D59" s="92">
        <v>73</v>
      </c>
      <c r="E59" s="92">
        <v>6750</v>
      </c>
      <c r="F59" s="92">
        <v>6</v>
      </c>
      <c r="G59" s="92">
        <v>15</v>
      </c>
      <c r="H59" s="92">
        <f t="shared" si="27"/>
        <v>282</v>
      </c>
      <c r="I59" s="92">
        <f t="shared" si="27"/>
        <v>291</v>
      </c>
      <c r="J59" s="92">
        <f t="shared" si="27"/>
        <v>55.8</v>
      </c>
      <c r="K59" s="92">
        <v>438</v>
      </c>
      <c r="L59" s="92">
        <f t="shared" ref="L59:U65" si="32">IF($AU59="Albany",L$4,IF($AU59="Binghamton",L$7,IF($AU59="Buffalo",L$18,IF($AU59="Massena",L$48,IF($AU59="NYC",L$34,IF($AU59="Poughkeepsie",L$17,L$37))))))</f>
        <v>0.16800000000000001</v>
      </c>
      <c r="M59" s="92">
        <f t="shared" si="32"/>
        <v>9.1999999999999998E-2</v>
      </c>
      <c r="N59" s="92">
        <f t="shared" si="32"/>
        <v>-2.3E-2</v>
      </c>
      <c r="O59" s="92">
        <f t="shared" si="32"/>
        <v>0</v>
      </c>
      <c r="P59" s="92">
        <f t="shared" si="32"/>
        <v>10.7</v>
      </c>
      <c r="Q59" s="92">
        <f t="shared" si="32"/>
        <v>56</v>
      </c>
      <c r="R59" s="92">
        <f t="shared" si="32"/>
        <v>17</v>
      </c>
      <c r="S59" s="92">
        <f t="shared" si="32"/>
        <v>9.8000000000000004E-2</v>
      </c>
      <c r="T59" s="92">
        <f t="shared" si="32"/>
        <v>-0.3</v>
      </c>
      <c r="U59" s="92">
        <f t="shared" si="32"/>
        <v>1.7999999999999999E-2</v>
      </c>
      <c r="V59" s="92">
        <f t="shared" ref="V59:AE65" si="33">IF($AU59="Albany",V$4,IF($AU59="Binghamton",V$7,IF($AU59="Buffalo",V$18,IF($AU59="Massena",V$48,IF($AU59="NYC",V$34,IF($AU59="Poughkeepsie",V$17,V$37))))))</f>
        <v>38.700000000000003</v>
      </c>
      <c r="W59" s="92">
        <f t="shared" si="33"/>
        <v>-0.3</v>
      </c>
      <c r="X59" s="92">
        <f t="shared" si="33"/>
        <v>1.7999999999999999E-2</v>
      </c>
      <c r="Y59" s="92">
        <f t="shared" si="33"/>
        <v>38.700000000000003</v>
      </c>
      <c r="Z59" s="92">
        <f t="shared" si="33"/>
        <v>-0.9</v>
      </c>
      <c r="AA59" s="92">
        <f t="shared" si="33"/>
        <v>8.9999999999999993E-3</v>
      </c>
      <c r="AB59" s="92">
        <f t="shared" si="33"/>
        <v>13.4</v>
      </c>
      <c r="AC59" s="92">
        <f t="shared" si="33"/>
        <v>3.6</v>
      </c>
      <c r="AD59" s="92">
        <f t="shared" si="33"/>
        <v>3.0000000000000001E-3</v>
      </c>
      <c r="AE59" s="92">
        <f t="shared" si="33"/>
        <v>13</v>
      </c>
      <c r="AF59" s="92">
        <f t="shared" ref="AF59:AQ65" si="34">IF($AU59="Albany",AF$4,IF($AU59="Binghamton",AF$7,IF($AU59="Buffalo",AF$18,IF($AU59="Massena",AF$48,IF($AU59="NYC",AF$34,IF($AU59="Poughkeepsie",AF$17,AF$37))))))</f>
        <v>3.95</v>
      </c>
      <c r="AG59" s="92">
        <f t="shared" si="34"/>
        <v>1.5E-3</v>
      </c>
      <c r="AH59" s="92">
        <f t="shared" si="34"/>
        <v>15.9</v>
      </c>
      <c r="AI59" s="92">
        <f t="shared" si="34"/>
        <v>9.9</v>
      </c>
      <c r="AJ59" s="92">
        <f t="shared" si="34"/>
        <v>5.0000000000000001E-3</v>
      </c>
      <c r="AK59" s="92">
        <f t="shared" si="34"/>
        <v>38.1</v>
      </c>
      <c r="AL59" s="92">
        <f t="shared" si="34"/>
        <v>5.25</v>
      </c>
      <c r="AM59" s="92">
        <f t="shared" si="34"/>
        <v>4.0000000000000001E-3</v>
      </c>
      <c r="AN59" s="92">
        <f t="shared" si="34"/>
        <v>21.1</v>
      </c>
      <c r="AO59" s="92">
        <f t="shared" si="34"/>
        <v>11.6</v>
      </c>
      <c r="AP59" s="92">
        <f t="shared" si="34"/>
        <v>0</v>
      </c>
      <c r="AQ59" s="92">
        <f t="shared" si="34"/>
        <v>23.6</v>
      </c>
      <c r="AR59" s="92">
        <v>1934</v>
      </c>
      <c r="AS59" s="92">
        <v>6.0999999999999999E-2</v>
      </c>
      <c r="AT59" s="92">
        <f t="shared" si="31"/>
        <v>1.145</v>
      </c>
      <c r="AU59" s="68" t="s">
        <v>301</v>
      </c>
      <c r="AV59" s="309">
        <f t="shared" si="5"/>
        <v>0.03</v>
      </c>
      <c r="AW59" s="309">
        <f t="shared" si="6"/>
        <v>0.97</v>
      </c>
      <c r="AX59" s="92">
        <f t="shared" si="7"/>
        <v>370</v>
      </c>
      <c r="AY59" s="92">
        <f t="shared" si="7"/>
        <v>17</v>
      </c>
    </row>
    <row r="60" spans="1:51" ht="12.75" customHeight="1">
      <c r="A60" s="130" t="s">
        <v>147</v>
      </c>
      <c r="B60" s="92">
        <v>-10</v>
      </c>
      <c r="C60" s="92">
        <v>85</v>
      </c>
      <c r="D60" s="92">
        <v>71</v>
      </c>
      <c r="E60" s="92">
        <v>7635</v>
      </c>
      <c r="F60" s="92">
        <v>6</v>
      </c>
      <c r="G60" s="92">
        <v>15</v>
      </c>
      <c r="H60" s="92">
        <f t="shared" si="27"/>
        <v>224</v>
      </c>
      <c r="I60" s="92">
        <f t="shared" si="27"/>
        <v>363</v>
      </c>
      <c r="J60" s="92">
        <f t="shared" si="27"/>
        <v>54.3</v>
      </c>
      <c r="K60" s="92">
        <v>438</v>
      </c>
      <c r="L60" s="92">
        <f t="shared" si="32"/>
        <v>0.113</v>
      </c>
      <c r="M60" s="92">
        <f t="shared" si="32"/>
        <v>0.08</v>
      </c>
      <c r="N60" s="92">
        <f t="shared" si="32"/>
        <v>-2.5000000000000001E-2</v>
      </c>
      <c r="O60" s="92">
        <f t="shared" si="32"/>
        <v>0</v>
      </c>
      <c r="P60" s="92">
        <f t="shared" si="32"/>
        <v>9.6999999999999993</v>
      </c>
      <c r="Q60" s="92">
        <f t="shared" si="32"/>
        <v>22</v>
      </c>
      <c r="R60" s="92">
        <f t="shared" si="32"/>
        <v>16</v>
      </c>
      <c r="S60" s="92">
        <f t="shared" si="32"/>
        <v>9.9000000000000005E-2</v>
      </c>
      <c r="T60" s="92">
        <f t="shared" si="32"/>
        <v>6.3</v>
      </c>
      <c r="U60" s="92">
        <f t="shared" si="32"/>
        <v>1.7999999999999999E-2</v>
      </c>
      <c r="V60" s="92">
        <f t="shared" si="33"/>
        <v>39.200000000000003</v>
      </c>
      <c r="W60" s="92">
        <f t="shared" si="33"/>
        <v>6.3</v>
      </c>
      <c r="X60" s="92">
        <f t="shared" si="33"/>
        <v>1.7999999999999999E-2</v>
      </c>
      <c r="Y60" s="92">
        <f t="shared" si="33"/>
        <v>39.200000000000003</v>
      </c>
      <c r="Z60" s="92">
        <f t="shared" si="33"/>
        <v>1.8</v>
      </c>
      <c r="AA60" s="92">
        <f t="shared" si="33"/>
        <v>1.7999999999999999E-2</v>
      </c>
      <c r="AB60" s="92">
        <f t="shared" si="33"/>
        <v>14.1</v>
      </c>
      <c r="AC60" s="92">
        <f t="shared" si="33"/>
        <v>4.3</v>
      </c>
      <c r="AD60" s="92">
        <f t="shared" si="33"/>
        <v>5.0000000000000001E-3</v>
      </c>
      <c r="AE60" s="92">
        <f t="shared" si="33"/>
        <v>15.7</v>
      </c>
      <c r="AF60" s="92">
        <f t="shared" si="34"/>
        <v>5</v>
      </c>
      <c r="AG60" s="92">
        <f t="shared" si="34"/>
        <v>4.0000000000000001E-3</v>
      </c>
      <c r="AH60" s="92">
        <f t="shared" si="34"/>
        <v>19</v>
      </c>
      <c r="AI60" s="92">
        <f t="shared" si="34"/>
        <v>12.2</v>
      </c>
      <c r="AJ60" s="92">
        <f t="shared" si="34"/>
        <v>1.0999999999999999E-2</v>
      </c>
      <c r="AK60" s="92">
        <f t="shared" si="34"/>
        <v>45.6</v>
      </c>
      <c r="AL60" s="92">
        <f t="shared" si="34"/>
        <v>6.6999999999999993</v>
      </c>
      <c r="AM60" s="92">
        <f t="shared" si="34"/>
        <v>6.5000000000000002E-2</v>
      </c>
      <c r="AN60" s="92">
        <f t="shared" si="34"/>
        <v>25.6</v>
      </c>
      <c r="AO60" s="92">
        <f t="shared" si="34"/>
        <v>12.8</v>
      </c>
      <c r="AP60" s="92">
        <f t="shared" si="34"/>
        <v>6.0000000000000001E-3</v>
      </c>
      <c r="AQ60" s="92">
        <f t="shared" si="34"/>
        <v>22.6</v>
      </c>
      <c r="AR60" s="92">
        <v>1934</v>
      </c>
      <c r="AS60" s="92">
        <v>6.0999999999999999E-2</v>
      </c>
      <c r="AT60" s="92">
        <f t="shared" si="31"/>
        <v>1</v>
      </c>
      <c r="AU60" s="68" t="s">
        <v>296</v>
      </c>
      <c r="AV60" s="309">
        <f t="shared" si="5"/>
        <v>0.03</v>
      </c>
      <c r="AW60" s="309">
        <f t="shared" si="6"/>
        <v>0.97</v>
      </c>
      <c r="AX60" s="92">
        <f t="shared" si="7"/>
        <v>346</v>
      </c>
      <c r="AY60" s="92">
        <f t="shared" si="7"/>
        <v>26</v>
      </c>
    </row>
    <row r="61" spans="1:51" ht="12.75" customHeight="1">
      <c r="A61" s="130" t="s">
        <v>148</v>
      </c>
      <c r="B61" s="92">
        <v>-10</v>
      </c>
      <c r="C61" s="92">
        <v>85</v>
      </c>
      <c r="D61" s="92">
        <v>71</v>
      </c>
      <c r="E61" s="92">
        <v>7635</v>
      </c>
      <c r="F61" s="92">
        <v>5</v>
      </c>
      <c r="G61" s="92">
        <v>15</v>
      </c>
      <c r="H61" s="92">
        <f t="shared" si="27"/>
        <v>224</v>
      </c>
      <c r="I61" s="92">
        <f t="shared" si="27"/>
        <v>363</v>
      </c>
      <c r="J61" s="92">
        <f t="shared" si="27"/>
        <v>54.3</v>
      </c>
      <c r="K61" s="92">
        <v>507</v>
      </c>
      <c r="L61" s="92">
        <f t="shared" si="32"/>
        <v>0.113</v>
      </c>
      <c r="M61" s="92">
        <f t="shared" si="32"/>
        <v>0.08</v>
      </c>
      <c r="N61" s="92">
        <f t="shared" si="32"/>
        <v>-2.5000000000000001E-2</v>
      </c>
      <c r="O61" s="92">
        <f t="shared" si="32"/>
        <v>0</v>
      </c>
      <c r="P61" s="92">
        <f t="shared" si="32"/>
        <v>9.6999999999999993</v>
      </c>
      <c r="Q61" s="92">
        <f t="shared" si="32"/>
        <v>22</v>
      </c>
      <c r="R61" s="92">
        <f t="shared" si="32"/>
        <v>16</v>
      </c>
      <c r="S61" s="92">
        <f t="shared" si="32"/>
        <v>9.9000000000000005E-2</v>
      </c>
      <c r="T61" s="92">
        <f t="shared" si="32"/>
        <v>6.3</v>
      </c>
      <c r="U61" s="92">
        <f t="shared" si="32"/>
        <v>1.7999999999999999E-2</v>
      </c>
      <c r="V61" s="92">
        <f t="shared" si="33"/>
        <v>39.200000000000003</v>
      </c>
      <c r="W61" s="92">
        <f t="shared" si="33"/>
        <v>6.3</v>
      </c>
      <c r="X61" s="92">
        <f t="shared" si="33"/>
        <v>1.7999999999999999E-2</v>
      </c>
      <c r="Y61" s="92">
        <f t="shared" si="33"/>
        <v>39.200000000000003</v>
      </c>
      <c r="Z61" s="92">
        <f t="shared" si="33"/>
        <v>1.8</v>
      </c>
      <c r="AA61" s="92">
        <f t="shared" si="33"/>
        <v>1.7999999999999999E-2</v>
      </c>
      <c r="AB61" s="92">
        <f t="shared" si="33"/>
        <v>14.1</v>
      </c>
      <c r="AC61" s="92">
        <f t="shared" si="33"/>
        <v>4.3</v>
      </c>
      <c r="AD61" s="92">
        <f t="shared" si="33"/>
        <v>5.0000000000000001E-3</v>
      </c>
      <c r="AE61" s="92">
        <f t="shared" si="33"/>
        <v>15.7</v>
      </c>
      <c r="AF61" s="92">
        <f t="shared" si="34"/>
        <v>5</v>
      </c>
      <c r="AG61" s="92">
        <f t="shared" si="34"/>
        <v>4.0000000000000001E-3</v>
      </c>
      <c r="AH61" s="92">
        <f t="shared" si="34"/>
        <v>19</v>
      </c>
      <c r="AI61" s="92">
        <f t="shared" si="34"/>
        <v>12.2</v>
      </c>
      <c r="AJ61" s="92">
        <f t="shared" si="34"/>
        <v>1.0999999999999999E-2</v>
      </c>
      <c r="AK61" s="92">
        <f t="shared" si="34"/>
        <v>45.6</v>
      </c>
      <c r="AL61" s="92">
        <f t="shared" si="34"/>
        <v>6.6999999999999993</v>
      </c>
      <c r="AM61" s="92">
        <f t="shared" si="34"/>
        <v>6.5000000000000002E-2</v>
      </c>
      <c r="AN61" s="92">
        <f t="shared" si="34"/>
        <v>25.6</v>
      </c>
      <c r="AO61" s="92">
        <f t="shared" si="34"/>
        <v>12.8</v>
      </c>
      <c r="AP61" s="92">
        <f t="shared" si="34"/>
        <v>6.0000000000000001E-3</v>
      </c>
      <c r="AQ61" s="92">
        <f t="shared" si="34"/>
        <v>22.6</v>
      </c>
      <c r="AR61" s="92">
        <v>1934</v>
      </c>
      <c r="AS61" s="92">
        <v>6.0999999999999999E-2</v>
      </c>
      <c r="AT61" s="92">
        <f t="shared" si="31"/>
        <v>1</v>
      </c>
      <c r="AU61" s="68" t="s">
        <v>296</v>
      </c>
      <c r="AV61" s="309">
        <f t="shared" si="5"/>
        <v>0.06</v>
      </c>
      <c r="AW61" s="309">
        <f t="shared" si="6"/>
        <v>0.94</v>
      </c>
      <c r="AX61" s="92">
        <f t="shared" si="7"/>
        <v>346</v>
      </c>
      <c r="AY61" s="92">
        <f t="shared" si="7"/>
        <v>26</v>
      </c>
    </row>
    <row r="62" spans="1:51" ht="12.75" customHeight="1">
      <c r="A62" s="130" t="s">
        <v>149</v>
      </c>
      <c r="B62" s="92">
        <v>1</v>
      </c>
      <c r="C62" s="92">
        <v>86</v>
      </c>
      <c r="D62" s="92">
        <v>71</v>
      </c>
      <c r="E62" s="92">
        <v>6734</v>
      </c>
      <c r="F62" s="92">
        <v>5</v>
      </c>
      <c r="G62" s="92" t="s">
        <v>161</v>
      </c>
      <c r="H62" s="92">
        <f t="shared" si="27"/>
        <v>226</v>
      </c>
      <c r="I62" s="92">
        <f t="shared" si="27"/>
        <v>474</v>
      </c>
      <c r="J62" s="92">
        <f t="shared" si="27"/>
        <v>54.3</v>
      </c>
      <c r="K62" s="92">
        <v>507</v>
      </c>
      <c r="L62" s="92">
        <f t="shared" si="32"/>
        <v>0.113</v>
      </c>
      <c r="M62" s="92">
        <f t="shared" si="32"/>
        <v>0.08</v>
      </c>
      <c r="N62" s="92">
        <f t="shared" si="32"/>
        <v>-2.4E-2</v>
      </c>
      <c r="O62" s="92">
        <f t="shared" si="32"/>
        <v>0</v>
      </c>
      <c r="P62" s="92">
        <f t="shared" si="32"/>
        <v>9.6999999999999993</v>
      </c>
      <c r="Q62" s="92">
        <f t="shared" si="32"/>
        <v>23</v>
      </c>
      <c r="R62" s="92">
        <f t="shared" si="32"/>
        <v>16</v>
      </c>
      <c r="S62" s="92">
        <f t="shared" si="32"/>
        <v>9.1999999999999998E-2</v>
      </c>
      <c r="T62" s="92">
        <f t="shared" si="32"/>
        <v>6.1</v>
      </c>
      <c r="U62" s="92">
        <f t="shared" si="32"/>
        <v>4.3999999999999997E-2</v>
      </c>
      <c r="V62" s="92">
        <f t="shared" si="33"/>
        <v>37.799999999999997</v>
      </c>
      <c r="W62" s="92">
        <f t="shared" si="33"/>
        <v>6.1</v>
      </c>
      <c r="X62" s="92">
        <f t="shared" si="33"/>
        <v>4.3999999999999997E-2</v>
      </c>
      <c r="Y62" s="92">
        <f t="shared" si="33"/>
        <v>37.799999999999997</v>
      </c>
      <c r="Z62" s="92">
        <f t="shared" si="33"/>
        <v>1.7</v>
      </c>
      <c r="AA62" s="92">
        <f t="shared" si="33"/>
        <v>2.5999999999999999E-2</v>
      </c>
      <c r="AB62" s="92">
        <f t="shared" si="33"/>
        <v>15</v>
      </c>
      <c r="AC62" s="92">
        <f t="shared" si="33"/>
        <v>4.8</v>
      </c>
      <c r="AD62" s="92">
        <f t="shared" si="33"/>
        <v>5.0000000000000001E-3</v>
      </c>
      <c r="AE62" s="92">
        <f t="shared" si="33"/>
        <v>15.5</v>
      </c>
      <c r="AF62" s="92">
        <f t="shared" si="34"/>
        <v>5.5500000000000007</v>
      </c>
      <c r="AG62" s="92">
        <f t="shared" si="34"/>
        <v>5.4999999999999997E-3</v>
      </c>
      <c r="AH62" s="92">
        <f t="shared" si="34"/>
        <v>18.599999999999998</v>
      </c>
      <c r="AI62" s="92">
        <f t="shared" si="34"/>
        <v>13.5</v>
      </c>
      <c r="AJ62" s="92">
        <f t="shared" si="34"/>
        <v>1.4E-2</v>
      </c>
      <c r="AK62" s="92">
        <f t="shared" si="34"/>
        <v>44.9</v>
      </c>
      <c r="AL62" s="92">
        <f t="shared" si="34"/>
        <v>7.4</v>
      </c>
      <c r="AM62" s="92">
        <f t="shared" si="34"/>
        <v>8.0000000000000002E-3</v>
      </c>
      <c r="AN62" s="92">
        <f t="shared" si="34"/>
        <v>25.1</v>
      </c>
      <c r="AO62" s="92">
        <f t="shared" si="34"/>
        <v>13.2</v>
      </c>
      <c r="AP62" s="92">
        <f t="shared" si="34"/>
        <v>1.4E-2</v>
      </c>
      <c r="AQ62" s="92">
        <f t="shared" si="34"/>
        <v>23.4</v>
      </c>
      <c r="AR62" s="92">
        <v>1934</v>
      </c>
      <c r="AS62" s="92">
        <v>6.0999999999999999E-2</v>
      </c>
      <c r="AT62" s="92">
        <f t="shared" si="31"/>
        <v>0.99099999999999999</v>
      </c>
      <c r="AU62" s="68" t="s">
        <v>299</v>
      </c>
      <c r="AV62" s="309">
        <f t="shared" si="5"/>
        <v>0.06</v>
      </c>
      <c r="AW62" s="309">
        <f t="shared" si="6"/>
        <v>0.94</v>
      </c>
      <c r="AX62" s="92">
        <f t="shared" si="7"/>
        <v>332</v>
      </c>
      <c r="AY62" s="92">
        <f t="shared" si="7"/>
        <v>26</v>
      </c>
    </row>
    <row r="63" spans="1:51" ht="12.75" customHeight="1">
      <c r="A63" s="130" t="s">
        <v>150</v>
      </c>
      <c r="B63" s="92">
        <v>7</v>
      </c>
      <c r="C63" s="92">
        <v>84</v>
      </c>
      <c r="D63" s="92">
        <v>73</v>
      </c>
      <c r="E63" s="92">
        <v>5750</v>
      </c>
      <c r="F63" s="92">
        <v>4</v>
      </c>
      <c r="G63" s="92" t="s">
        <v>165</v>
      </c>
      <c r="H63" s="92">
        <f t="shared" si="27"/>
        <v>364</v>
      </c>
      <c r="I63" s="92">
        <f t="shared" si="27"/>
        <v>219</v>
      </c>
      <c r="J63" s="92">
        <f t="shared" si="27"/>
        <v>61.4</v>
      </c>
      <c r="K63" s="92">
        <v>1096</v>
      </c>
      <c r="L63" s="92">
        <f t="shared" si="32"/>
        <v>0.19400000000000001</v>
      </c>
      <c r="M63" s="92">
        <f t="shared" si="32"/>
        <v>0.10100000000000001</v>
      </c>
      <c r="N63" s="92">
        <f t="shared" si="32"/>
        <v>-2.1000000000000001E-2</v>
      </c>
      <c r="O63" s="92">
        <f t="shared" si="32"/>
        <v>0</v>
      </c>
      <c r="P63" s="92">
        <f t="shared" si="32"/>
        <v>10.7</v>
      </c>
      <c r="Q63" s="92">
        <f t="shared" si="32"/>
        <v>56</v>
      </c>
      <c r="R63" s="92">
        <f t="shared" si="32"/>
        <v>17</v>
      </c>
      <c r="S63" s="92">
        <f t="shared" si="32"/>
        <v>9.8000000000000004E-2</v>
      </c>
      <c r="T63" s="92">
        <f t="shared" si="32"/>
        <v>20.3</v>
      </c>
      <c r="U63" s="92">
        <f t="shared" si="32"/>
        <v>2.5999999999999999E-2</v>
      </c>
      <c r="V63" s="92">
        <f t="shared" si="33"/>
        <v>28.3</v>
      </c>
      <c r="W63" s="92">
        <f t="shared" si="33"/>
        <v>20.3</v>
      </c>
      <c r="X63" s="92">
        <f t="shared" si="33"/>
        <v>2.5999999999999999E-2</v>
      </c>
      <c r="Y63" s="92">
        <f t="shared" si="33"/>
        <v>28.3</v>
      </c>
      <c r="Z63" s="92">
        <f t="shared" si="33"/>
        <v>6.7</v>
      </c>
      <c r="AA63" s="92">
        <f t="shared" si="33"/>
        <v>8.9999999999999993E-3</v>
      </c>
      <c r="AB63" s="92">
        <f t="shared" si="33"/>
        <v>9.4</v>
      </c>
      <c r="AC63" s="92">
        <f t="shared" si="33"/>
        <v>11</v>
      </c>
      <c r="AD63" s="92">
        <f t="shared" si="33"/>
        <v>3.0000000000000001E-3</v>
      </c>
      <c r="AE63" s="92">
        <f t="shared" si="33"/>
        <v>10.7</v>
      </c>
      <c r="AF63" s="92">
        <f t="shared" si="34"/>
        <v>13.05</v>
      </c>
      <c r="AG63" s="92">
        <f t="shared" si="34"/>
        <v>2.5000000000000001E-3</v>
      </c>
      <c r="AH63" s="92">
        <f t="shared" si="34"/>
        <v>12.75</v>
      </c>
      <c r="AI63" s="92">
        <f t="shared" si="34"/>
        <v>31.7</v>
      </c>
      <c r="AJ63" s="92">
        <f t="shared" si="34"/>
        <v>8.0000000000000002E-3</v>
      </c>
      <c r="AK63" s="92">
        <f t="shared" si="34"/>
        <v>30.9</v>
      </c>
      <c r="AL63" s="92">
        <f t="shared" si="34"/>
        <v>17.600000000000001</v>
      </c>
      <c r="AM63" s="92">
        <f t="shared" si="34"/>
        <v>5.4999999999999997E-3</v>
      </c>
      <c r="AN63" s="92">
        <f t="shared" si="34"/>
        <v>17.350000000000001</v>
      </c>
      <c r="AO63" s="92">
        <f t="shared" si="34"/>
        <v>9.1999999999999993</v>
      </c>
      <c r="AP63" s="92">
        <f t="shared" si="34"/>
        <v>6.0000000000000001E-3</v>
      </c>
      <c r="AQ63" s="92">
        <f t="shared" si="34"/>
        <v>17.399999999999999</v>
      </c>
      <c r="AR63" s="92">
        <v>1934</v>
      </c>
      <c r="AS63" s="92">
        <v>6.0999999999999999E-2</v>
      </c>
      <c r="AT63" s="92">
        <f t="shared" si="31"/>
        <v>1.34</v>
      </c>
      <c r="AU63" s="68" t="s">
        <v>260</v>
      </c>
      <c r="AV63" s="309">
        <f t="shared" si="5"/>
        <v>0.15</v>
      </c>
      <c r="AW63" s="309">
        <f t="shared" si="6"/>
        <v>0.85</v>
      </c>
      <c r="AX63" s="92">
        <f t="shared" si="7"/>
        <v>370</v>
      </c>
      <c r="AY63" s="92">
        <f t="shared" si="7"/>
        <v>17</v>
      </c>
    </row>
    <row r="64" spans="1:51" ht="12.75" customHeight="1">
      <c r="A64" s="130" t="s">
        <v>151</v>
      </c>
      <c r="B64" s="92">
        <v>1</v>
      </c>
      <c r="C64" s="92">
        <v>86</v>
      </c>
      <c r="D64" s="92">
        <v>71</v>
      </c>
      <c r="E64" s="92">
        <v>6734</v>
      </c>
      <c r="F64" s="92">
        <v>6</v>
      </c>
      <c r="G64" s="92" t="s">
        <v>161</v>
      </c>
      <c r="H64" s="92">
        <f t="shared" si="27"/>
        <v>219</v>
      </c>
      <c r="I64" s="92">
        <f t="shared" si="27"/>
        <v>471</v>
      </c>
      <c r="J64" s="92">
        <f t="shared" si="27"/>
        <v>54.3</v>
      </c>
      <c r="K64" s="92">
        <v>438</v>
      </c>
      <c r="L64" s="92">
        <f t="shared" si="32"/>
        <v>0.113</v>
      </c>
      <c r="M64" s="92">
        <f t="shared" si="32"/>
        <v>7.1999999999999995E-2</v>
      </c>
      <c r="N64" s="92">
        <f t="shared" si="32"/>
        <v>-2.5999999999999999E-2</v>
      </c>
      <c r="O64" s="92">
        <f t="shared" si="32"/>
        <v>0</v>
      </c>
      <c r="P64" s="92">
        <f t="shared" si="32"/>
        <v>9.9</v>
      </c>
      <c r="Q64" s="92">
        <f t="shared" si="32"/>
        <v>20</v>
      </c>
      <c r="R64" s="92">
        <f t="shared" si="32"/>
        <v>19</v>
      </c>
      <c r="S64" s="92">
        <f t="shared" si="32"/>
        <v>7.9000000000000001E-2</v>
      </c>
      <c r="T64" s="92">
        <f t="shared" si="32"/>
        <v>3.1</v>
      </c>
      <c r="U64" s="92">
        <f t="shared" si="32"/>
        <v>1.8E-3</v>
      </c>
      <c r="V64" s="92">
        <f t="shared" si="33"/>
        <v>38.6</v>
      </c>
      <c r="W64" s="92">
        <f t="shared" si="33"/>
        <v>3.1</v>
      </c>
      <c r="X64" s="92">
        <f t="shared" si="33"/>
        <v>1.7999999999999999E-2</v>
      </c>
      <c r="Y64" s="92">
        <f t="shared" si="33"/>
        <v>38.6</v>
      </c>
      <c r="Z64" s="92">
        <f t="shared" si="33"/>
        <v>0.7</v>
      </c>
      <c r="AA64" s="92">
        <f t="shared" si="33"/>
        <v>0</v>
      </c>
      <c r="AB64" s="92">
        <f t="shared" si="33"/>
        <v>13.9</v>
      </c>
      <c r="AC64" s="92">
        <f t="shared" si="33"/>
        <v>3</v>
      </c>
      <c r="AD64" s="92">
        <f t="shared" si="33"/>
        <v>3.0000000000000001E-3</v>
      </c>
      <c r="AE64" s="92">
        <f t="shared" si="33"/>
        <v>16.5</v>
      </c>
      <c r="AF64" s="92">
        <f t="shared" si="34"/>
        <v>3.45</v>
      </c>
      <c r="AG64" s="92">
        <f t="shared" si="34"/>
        <v>1.5E-3</v>
      </c>
      <c r="AH64" s="92">
        <f t="shared" si="34"/>
        <v>19.7</v>
      </c>
      <c r="AI64" s="92">
        <f t="shared" si="34"/>
        <v>8.5</v>
      </c>
      <c r="AJ64" s="92">
        <f t="shared" si="34"/>
        <v>5.0000000000000001E-3</v>
      </c>
      <c r="AK64" s="92">
        <f t="shared" si="34"/>
        <v>47.7</v>
      </c>
      <c r="AL64" s="92">
        <f t="shared" si="34"/>
        <v>4.6500000000000004</v>
      </c>
      <c r="AM64" s="92">
        <f t="shared" si="34"/>
        <v>4.0000000000000001E-3</v>
      </c>
      <c r="AN64" s="92">
        <f t="shared" si="34"/>
        <v>26.5</v>
      </c>
      <c r="AO64" s="92">
        <f t="shared" si="34"/>
        <v>11.2</v>
      </c>
      <c r="AP64" s="92">
        <f t="shared" si="34"/>
        <v>6.0000000000000001E-3</v>
      </c>
      <c r="AQ64" s="92">
        <f t="shared" si="34"/>
        <v>24</v>
      </c>
      <c r="AR64" s="92">
        <v>1934</v>
      </c>
      <c r="AS64" s="92">
        <v>6.0999999999999999E-2</v>
      </c>
      <c r="AT64" s="92">
        <f t="shared" si="31"/>
        <v>1.036</v>
      </c>
      <c r="AU64" s="68" t="s">
        <v>298</v>
      </c>
      <c r="AV64" s="309">
        <f t="shared" si="5"/>
        <v>0.03</v>
      </c>
      <c r="AW64" s="309">
        <f t="shared" si="6"/>
        <v>0.97</v>
      </c>
      <c r="AX64" s="92">
        <f t="shared" si="7"/>
        <v>315</v>
      </c>
      <c r="AY64" s="92">
        <f t="shared" si="7"/>
        <v>25</v>
      </c>
    </row>
    <row r="65" spans="1:51" ht="12.75" customHeight="1">
      <c r="A65" s="130" t="s">
        <v>152</v>
      </c>
      <c r="B65" s="92">
        <v>1</v>
      </c>
      <c r="C65" s="92">
        <v>86</v>
      </c>
      <c r="D65" s="92">
        <v>71</v>
      </c>
      <c r="E65" s="92">
        <v>6734</v>
      </c>
      <c r="F65" s="92">
        <v>5</v>
      </c>
      <c r="G65" s="92" t="s">
        <v>161</v>
      </c>
      <c r="H65" s="92">
        <f t="shared" si="27"/>
        <v>226</v>
      </c>
      <c r="I65" s="92">
        <f t="shared" si="27"/>
        <v>474</v>
      </c>
      <c r="J65" s="92">
        <f t="shared" si="27"/>
        <v>54.3</v>
      </c>
      <c r="K65" s="92">
        <v>507</v>
      </c>
      <c r="L65" s="92">
        <f t="shared" si="32"/>
        <v>0.113</v>
      </c>
      <c r="M65" s="92">
        <f t="shared" si="32"/>
        <v>0.08</v>
      </c>
      <c r="N65" s="92">
        <f t="shared" si="32"/>
        <v>-2.4E-2</v>
      </c>
      <c r="O65" s="92">
        <f t="shared" si="32"/>
        <v>0</v>
      </c>
      <c r="P65" s="92">
        <f t="shared" si="32"/>
        <v>9.6999999999999993</v>
      </c>
      <c r="Q65" s="92">
        <f t="shared" si="32"/>
        <v>23</v>
      </c>
      <c r="R65" s="92">
        <f t="shared" si="32"/>
        <v>16</v>
      </c>
      <c r="S65" s="92">
        <f t="shared" si="32"/>
        <v>9.1999999999999998E-2</v>
      </c>
      <c r="T65" s="92">
        <f t="shared" si="32"/>
        <v>6.1</v>
      </c>
      <c r="U65" s="92">
        <f t="shared" si="32"/>
        <v>4.3999999999999997E-2</v>
      </c>
      <c r="V65" s="92">
        <f t="shared" si="33"/>
        <v>37.799999999999997</v>
      </c>
      <c r="W65" s="92">
        <f t="shared" si="33"/>
        <v>6.1</v>
      </c>
      <c r="X65" s="92">
        <f t="shared" si="33"/>
        <v>4.3999999999999997E-2</v>
      </c>
      <c r="Y65" s="92">
        <f t="shared" si="33"/>
        <v>37.799999999999997</v>
      </c>
      <c r="Z65" s="92">
        <f t="shared" si="33"/>
        <v>1.7</v>
      </c>
      <c r="AA65" s="92">
        <f t="shared" si="33"/>
        <v>2.5999999999999999E-2</v>
      </c>
      <c r="AB65" s="92">
        <f t="shared" si="33"/>
        <v>15</v>
      </c>
      <c r="AC65" s="92">
        <f t="shared" si="33"/>
        <v>4.8</v>
      </c>
      <c r="AD65" s="92">
        <f t="shared" si="33"/>
        <v>5.0000000000000001E-3</v>
      </c>
      <c r="AE65" s="92">
        <f t="shared" si="33"/>
        <v>15.5</v>
      </c>
      <c r="AF65" s="92">
        <f t="shared" si="34"/>
        <v>5.5500000000000007</v>
      </c>
      <c r="AG65" s="92">
        <f t="shared" si="34"/>
        <v>5.4999999999999997E-3</v>
      </c>
      <c r="AH65" s="92">
        <f t="shared" si="34"/>
        <v>18.599999999999998</v>
      </c>
      <c r="AI65" s="92">
        <f t="shared" si="34"/>
        <v>13.5</v>
      </c>
      <c r="AJ65" s="92">
        <f t="shared" si="34"/>
        <v>1.4E-2</v>
      </c>
      <c r="AK65" s="92">
        <f t="shared" si="34"/>
        <v>44.9</v>
      </c>
      <c r="AL65" s="92">
        <f t="shared" si="34"/>
        <v>7.4</v>
      </c>
      <c r="AM65" s="92">
        <f t="shared" si="34"/>
        <v>8.0000000000000002E-3</v>
      </c>
      <c r="AN65" s="92">
        <f t="shared" si="34"/>
        <v>25.1</v>
      </c>
      <c r="AO65" s="92">
        <f t="shared" si="34"/>
        <v>13.2</v>
      </c>
      <c r="AP65" s="92">
        <f t="shared" si="34"/>
        <v>1.4E-2</v>
      </c>
      <c r="AQ65" s="92">
        <f t="shared" si="34"/>
        <v>23.4</v>
      </c>
      <c r="AR65" s="92">
        <v>1934</v>
      </c>
      <c r="AS65" s="92">
        <v>6.0999999999999999E-2</v>
      </c>
      <c r="AT65" s="92">
        <f t="shared" si="31"/>
        <v>0.99099999999999999</v>
      </c>
      <c r="AU65" s="68" t="s">
        <v>299</v>
      </c>
      <c r="AV65" s="309">
        <f t="shared" si="5"/>
        <v>0.06</v>
      </c>
      <c r="AW65" s="309">
        <f t="shared" si="6"/>
        <v>0.94</v>
      </c>
      <c r="AX65" s="92">
        <f t="shared" si="7"/>
        <v>332</v>
      </c>
      <c r="AY65" s="92">
        <f t="shared" si="7"/>
        <v>26</v>
      </c>
    </row>
    <row r="66" spans="1:51" ht="12.75" customHeight="1">
      <c r="K66" s="21"/>
    </row>
    <row r="67" spans="1:51" ht="12.75" customHeight="1">
      <c r="K67" s="21"/>
    </row>
    <row r="68" spans="1:51" ht="12.75" customHeight="1">
      <c r="K68" s="21"/>
    </row>
    <row r="69" spans="1:51" ht="12.75" customHeight="1">
      <c r="K69" s="21"/>
    </row>
    <row r="70" spans="1:51" ht="12.75" customHeight="1">
      <c r="K70" s="21"/>
    </row>
    <row r="71" spans="1:51" ht="12.75" customHeight="1">
      <c r="K71" s="21"/>
    </row>
    <row r="72" spans="1:51" ht="12.75" customHeight="1">
      <c r="K72" s="21"/>
    </row>
    <row r="73" spans="1:51" ht="12.75" customHeight="1">
      <c r="K73" s="21"/>
    </row>
    <row r="74" spans="1:51" ht="12.75" customHeight="1">
      <c r="K74" s="21"/>
    </row>
    <row r="75" spans="1:51" ht="12.75" customHeight="1">
      <c r="K75" s="21"/>
    </row>
    <row r="76" spans="1:51" ht="12.75" customHeight="1">
      <c r="K76" s="21"/>
    </row>
    <row r="77" spans="1:51" ht="12.75" customHeight="1">
      <c r="K77" s="21"/>
    </row>
    <row r="78" spans="1:51" ht="12.75" customHeight="1">
      <c r="K78" s="21"/>
    </row>
    <row r="79" spans="1:51" ht="12.75" customHeight="1">
      <c r="K79" s="21"/>
    </row>
    <row r="80" spans="1:51" ht="12.75" customHeight="1">
      <c r="K80" s="21"/>
    </row>
    <row r="81" spans="11:11" ht="12.75" customHeight="1">
      <c r="K81" s="21"/>
    </row>
    <row r="82" spans="11:11" ht="12.75" customHeight="1">
      <c r="K82" s="21"/>
    </row>
    <row r="83" spans="11:11" ht="12.75" customHeight="1">
      <c r="K83" s="21"/>
    </row>
    <row r="84" spans="11:11" ht="12.75" customHeight="1">
      <c r="K84" s="21"/>
    </row>
    <row r="85" spans="11:11" ht="12.75" customHeight="1">
      <c r="K85" s="21"/>
    </row>
    <row r="86" spans="11:11" ht="12.75" customHeight="1">
      <c r="K86" s="21"/>
    </row>
  </sheetData>
  <sheetProtection algorithmName="SHA-512" hashValue="H2bs/FP5YHjTV5bx5wqHTZYeRBvEA6UiTkoyiZfIyL2UJfX+yi6wTL2IpVKQO+TGo8FCCsQ1me/K0pVexzqEvw==" saltValue="PAMDtpaEQQ3t3gm9M5eAmA==" spinCount="100000" sheet="1" objects="1" scenarios="1"/>
  <mergeCells count="27">
    <mergeCell ref="W2:Y2"/>
    <mergeCell ref="AL2:AN2"/>
    <mergeCell ref="AI2:AK2"/>
    <mergeCell ref="AF2:AH2"/>
    <mergeCell ref="AC2:AE2"/>
    <mergeCell ref="Z2:AB2"/>
    <mergeCell ref="B2:B3"/>
    <mergeCell ref="C2:C3"/>
    <mergeCell ref="D2:D3"/>
    <mergeCell ref="E2:E3"/>
    <mergeCell ref="F2:G2"/>
    <mergeCell ref="AU2:AU3"/>
    <mergeCell ref="H2:H3"/>
    <mergeCell ref="I2:I3"/>
    <mergeCell ref="J2:J3"/>
    <mergeCell ref="Q2:S2"/>
    <mergeCell ref="AT2:AT3"/>
    <mergeCell ref="K2:K3"/>
    <mergeCell ref="O2:O3"/>
    <mergeCell ref="P2:P3"/>
    <mergeCell ref="L2:L3"/>
    <mergeCell ref="M2:M3"/>
    <mergeCell ref="N2:N3"/>
    <mergeCell ref="AR2:AR3"/>
    <mergeCell ref="AS2:AS3"/>
    <mergeCell ref="AO2:AQ2"/>
    <mergeCell ref="T2:V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O30"/>
  <sheetViews>
    <sheetView topLeftCell="A2" workbookViewId="0">
      <selection activeCell="D22" sqref="D22"/>
    </sheetView>
  </sheetViews>
  <sheetFormatPr defaultRowHeight="15"/>
  <cols>
    <col min="1" max="1" width="19.28515625" style="69" bestFit="1" customWidth="1"/>
    <col min="2" max="2" width="11.42578125" style="69" customWidth="1"/>
    <col min="3" max="3" width="11.140625" style="69" customWidth="1"/>
    <col min="4" max="4" width="16.85546875" style="69" customWidth="1"/>
    <col min="5" max="5" width="15.85546875" style="69" customWidth="1"/>
    <col min="6" max="7" width="12.140625" style="69" customWidth="1"/>
    <col min="8" max="10" width="11.140625" style="69" customWidth="1"/>
    <col min="11" max="19" width="12.140625" style="69" customWidth="1"/>
    <col min="20" max="22" width="11.140625" style="69" customWidth="1"/>
    <col min="23" max="34" width="12.140625" style="69" customWidth="1"/>
    <col min="35" max="40" width="11.28515625" style="69" customWidth="1"/>
    <col min="41" max="56" width="12.28515625" style="69" customWidth="1"/>
    <col min="57" max="58" width="9.140625" style="69" customWidth="1"/>
    <col min="59" max="67" width="9.7109375" style="69" customWidth="1"/>
    <col min="68" max="16384" width="9.140625" style="69"/>
  </cols>
  <sheetData>
    <row r="1" spans="1:67" ht="15.75" hidden="1" thickBot="1">
      <c r="A1" s="69">
        <v>1</v>
      </c>
      <c r="B1" s="69">
        <v>2</v>
      </c>
      <c r="C1" s="69">
        <v>3</v>
      </c>
      <c r="D1" s="69">
        <v>4</v>
      </c>
      <c r="E1" s="69">
        <v>5</v>
      </c>
      <c r="F1" s="69">
        <v>6</v>
      </c>
      <c r="G1" s="69">
        <v>7</v>
      </c>
      <c r="H1" s="69">
        <v>8</v>
      </c>
      <c r="I1" s="69">
        <v>9</v>
      </c>
      <c r="J1" s="69">
        <v>10</v>
      </c>
      <c r="K1" s="69">
        <v>11</v>
      </c>
      <c r="L1" s="69">
        <v>12</v>
      </c>
      <c r="M1" s="69">
        <v>13</v>
      </c>
      <c r="N1" s="69">
        <v>14</v>
      </c>
      <c r="O1" s="69">
        <v>15</v>
      </c>
      <c r="P1" s="69">
        <v>16</v>
      </c>
      <c r="Q1" s="69">
        <v>17</v>
      </c>
      <c r="R1" s="69">
        <v>18</v>
      </c>
      <c r="S1" s="69">
        <v>19</v>
      </c>
      <c r="T1" s="69">
        <v>20</v>
      </c>
      <c r="U1" s="69">
        <v>21</v>
      </c>
      <c r="V1" s="69">
        <v>22</v>
      </c>
      <c r="W1" s="69">
        <v>23</v>
      </c>
      <c r="X1" s="69">
        <v>24</v>
      </c>
      <c r="Y1" s="69">
        <v>25</v>
      </c>
      <c r="Z1" s="69">
        <v>26</v>
      </c>
      <c r="AA1" s="69">
        <v>27</v>
      </c>
      <c r="AB1" s="69">
        <v>28</v>
      </c>
      <c r="AC1" s="69">
        <v>29</v>
      </c>
      <c r="AD1" s="69">
        <v>30</v>
      </c>
      <c r="AE1" s="69">
        <v>31</v>
      </c>
      <c r="AF1" s="69">
        <v>32</v>
      </c>
      <c r="AG1" s="69">
        <v>33</v>
      </c>
      <c r="AH1" s="69">
        <v>34</v>
      </c>
      <c r="AI1" s="69">
        <v>35</v>
      </c>
      <c r="AJ1" s="69">
        <v>36</v>
      </c>
      <c r="AK1" s="69">
        <v>37</v>
      </c>
      <c r="AL1" s="69">
        <v>38</v>
      </c>
      <c r="AM1" s="69">
        <v>39</v>
      </c>
      <c r="AN1" s="69">
        <v>40</v>
      </c>
      <c r="AO1" s="69">
        <v>41</v>
      </c>
      <c r="AP1" s="69">
        <v>42</v>
      </c>
      <c r="AQ1" s="69">
        <v>43</v>
      </c>
      <c r="AR1" s="69">
        <v>44</v>
      </c>
      <c r="AS1" s="69">
        <v>45</v>
      </c>
      <c r="AT1" s="69">
        <v>46</v>
      </c>
      <c r="AU1" s="69">
        <v>47</v>
      </c>
      <c r="AV1" s="69">
        <v>48</v>
      </c>
      <c r="AW1" s="69">
        <v>49</v>
      </c>
      <c r="AX1" s="69">
        <v>50</v>
      </c>
      <c r="AY1" s="69">
        <v>51</v>
      </c>
      <c r="AZ1" s="69">
        <v>52</v>
      </c>
      <c r="BA1" s="69">
        <v>53</v>
      </c>
      <c r="BB1" s="69">
        <v>54</v>
      </c>
      <c r="BC1" s="69">
        <v>55</v>
      </c>
      <c r="BD1" s="69">
        <v>56</v>
      </c>
      <c r="BE1" s="69">
        <v>57</v>
      </c>
      <c r="BF1" s="69">
        <v>58</v>
      </c>
      <c r="BG1" s="69">
        <v>59</v>
      </c>
      <c r="BH1" s="69">
        <v>60</v>
      </c>
      <c r="BI1" s="69">
        <v>61</v>
      </c>
      <c r="BJ1" s="69">
        <v>62</v>
      </c>
      <c r="BK1" s="69">
        <v>63</v>
      </c>
      <c r="BL1" s="69">
        <v>64</v>
      </c>
      <c r="BM1" s="69">
        <v>65</v>
      </c>
      <c r="BN1" s="69">
        <v>66</v>
      </c>
      <c r="BO1" s="69">
        <v>67</v>
      </c>
    </row>
    <row r="2" spans="1:67">
      <c r="A2" s="1124" t="s">
        <v>540</v>
      </c>
      <c r="B2" s="1119" t="s">
        <v>541</v>
      </c>
      <c r="C2" s="1120"/>
      <c r="D2" s="1121"/>
      <c r="E2" s="1119" t="s">
        <v>542</v>
      </c>
      <c r="F2" s="1120"/>
      <c r="G2" s="1121"/>
      <c r="H2" s="1119" t="s">
        <v>543</v>
      </c>
      <c r="I2" s="1120"/>
      <c r="J2" s="1121"/>
      <c r="K2" s="1119" t="s">
        <v>544</v>
      </c>
      <c r="L2" s="1120"/>
      <c r="M2" s="1121"/>
      <c r="N2" s="1119" t="s">
        <v>545</v>
      </c>
      <c r="O2" s="1120"/>
      <c r="P2" s="1121"/>
      <c r="Q2" s="1119" t="s">
        <v>546</v>
      </c>
      <c r="R2" s="1120"/>
      <c r="S2" s="1121"/>
      <c r="T2" s="1119" t="s">
        <v>547</v>
      </c>
      <c r="U2" s="1120"/>
      <c r="V2" s="1121"/>
      <c r="W2" s="1119" t="s">
        <v>548</v>
      </c>
      <c r="X2" s="1120"/>
      <c r="Y2" s="1121"/>
      <c r="Z2" s="1119" t="s">
        <v>549</v>
      </c>
      <c r="AA2" s="1120"/>
      <c r="AB2" s="1121"/>
      <c r="AC2" s="1119" t="s">
        <v>550</v>
      </c>
      <c r="AD2" s="1120"/>
      <c r="AE2" s="1121"/>
      <c r="AF2" s="1119" t="s">
        <v>551</v>
      </c>
      <c r="AG2" s="1120"/>
      <c r="AH2" s="1121"/>
      <c r="AI2" s="1119" t="s">
        <v>552</v>
      </c>
      <c r="AJ2" s="1120"/>
      <c r="AK2" s="1121"/>
      <c r="AL2" s="1119" t="s">
        <v>553</v>
      </c>
      <c r="AM2" s="1120"/>
      <c r="AN2" s="1121"/>
      <c r="AO2" s="1119" t="s">
        <v>554</v>
      </c>
      <c r="AP2" s="1120"/>
      <c r="AQ2" s="1121"/>
      <c r="AR2" s="1119" t="s">
        <v>555</v>
      </c>
      <c r="AS2" s="1120"/>
      <c r="AT2" s="1121"/>
      <c r="AU2" s="1119" t="s">
        <v>556</v>
      </c>
      <c r="AV2" s="1120"/>
      <c r="AW2" s="1121"/>
      <c r="AX2" s="1119" t="s">
        <v>557</v>
      </c>
      <c r="AY2" s="1120"/>
      <c r="AZ2" s="1121"/>
      <c r="BA2" s="1119" t="s">
        <v>558</v>
      </c>
      <c r="BB2" s="1120"/>
      <c r="BC2" s="1121"/>
      <c r="BD2" s="1119" t="s">
        <v>559</v>
      </c>
      <c r="BE2" s="1120"/>
      <c r="BF2" s="1121"/>
      <c r="BG2" s="1119" t="s">
        <v>537</v>
      </c>
      <c r="BH2" s="1120"/>
      <c r="BI2" s="1121"/>
      <c r="BJ2" s="1119" t="s">
        <v>538</v>
      </c>
      <c r="BK2" s="1120"/>
      <c r="BL2" s="1121"/>
      <c r="BM2" s="1119" t="s">
        <v>539</v>
      </c>
      <c r="BN2" s="1120"/>
      <c r="BO2" s="1121"/>
    </row>
    <row r="3" spans="1:67" ht="26.25" thickBot="1">
      <c r="A3" s="1124"/>
      <c r="B3" s="164" t="s">
        <v>560</v>
      </c>
      <c r="C3" s="165" t="s">
        <v>561</v>
      </c>
      <c r="D3" s="166" t="s">
        <v>562</v>
      </c>
      <c r="E3" s="164" t="s">
        <v>560</v>
      </c>
      <c r="F3" s="165" t="s">
        <v>561</v>
      </c>
      <c r="G3" s="166" t="s">
        <v>562</v>
      </c>
      <c r="H3" s="164" t="s">
        <v>560</v>
      </c>
      <c r="I3" s="165" t="s">
        <v>561</v>
      </c>
      <c r="J3" s="166" t="s">
        <v>562</v>
      </c>
      <c r="K3" s="164" t="s">
        <v>560</v>
      </c>
      <c r="L3" s="165" t="s">
        <v>561</v>
      </c>
      <c r="M3" s="166" t="s">
        <v>562</v>
      </c>
      <c r="N3" s="164" t="s">
        <v>560</v>
      </c>
      <c r="O3" s="165" t="s">
        <v>561</v>
      </c>
      <c r="P3" s="166" t="s">
        <v>562</v>
      </c>
      <c r="Q3" s="164" t="s">
        <v>560</v>
      </c>
      <c r="R3" s="165" t="s">
        <v>561</v>
      </c>
      <c r="S3" s="166" t="s">
        <v>562</v>
      </c>
      <c r="T3" s="164" t="s">
        <v>560</v>
      </c>
      <c r="U3" s="165" t="s">
        <v>561</v>
      </c>
      <c r="V3" s="166" t="s">
        <v>562</v>
      </c>
      <c r="W3" s="164" t="s">
        <v>560</v>
      </c>
      <c r="X3" s="165" t="s">
        <v>561</v>
      </c>
      <c r="Y3" s="166" t="s">
        <v>562</v>
      </c>
      <c r="Z3" s="164" t="s">
        <v>560</v>
      </c>
      <c r="AA3" s="165" t="s">
        <v>561</v>
      </c>
      <c r="AB3" s="166" t="s">
        <v>562</v>
      </c>
      <c r="AC3" s="164" t="s">
        <v>560</v>
      </c>
      <c r="AD3" s="165" t="s">
        <v>561</v>
      </c>
      <c r="AE3" s="166" t="s">
        <v>562</v>
      </c>
      <c r="AF3" s="164" t="s">
        <v>560</v>
      </c>
      <c r="AG3" s="165" t="s">
        <v>561</v>
      </c>
      <c r="AH3" s="166" t="s">
        <v>562</v>
      </c>
      <c r="AI3" s="164" t="s">
        <v>560</v>
      </c>
      <c r="AJ3" s="165" t="s">
        <v>561</v>
      </c>
      <c r="AK3" s="166" t="s">
        <v>562</v>
      </c>
      <c r="AL3" s="164" t="s">
        <v>560</v>
      </c>
      <c r="AM3" s="165" t="s">
        <v>561</v>
      </c>
      <c r="AN3" s="166" t="s">
        <v>562</v>
      </c>
      <c r="AO3" s="164" t="s">
        <v>560</v>
      </c>
      <c r="AP3" s="165" t="s">
        <v>561</v>
      </c>
      <c r="AQ3" s="166" t="s">
        <v>562</v>
      </c>
      <c r="AR3" s="164" t="s">
        <v>560</v>
      </c>
      <c r="AS3" s="165" t="s">
        <v>561</v>
      </c>
      <c r="AT3" s="166" t="s">
        <v>562</v>
      </c>
      <c r="AU3" s="164" t="s">
        <v>560</v>
      </c>
      <c r="AV3" s="165" t="s">
        <v>561</v>
      </c>
      <c r="AW3" s="166" t="s">
        <v>562</v>
      </c>
      <c r="AX3" s="164" t="s">
        <v>560</v>
      </c>
      <c r="AY3" s="165" t="s">
        <v>561</v>
      </c>
      <c r="AZ3" s="166" t="s">
        <v>562</v>
      </c>
      <c r="BA3" s="164" t="s">
        <v>560</v>
      </c>
      <c r="BB3" s="165" t="s">
        <v>561</v>
      </c>
      <c r="BC3" s="166" t="s">
        <v>562</v>
      </c>
      <c r="BD3" s="164" t="s">
        <v>560</v>
      </c>
      <c r="BE3" s="165" t="s">
        <v>561</v>
      </c>
      <c r="BF3" s="166" t="s">
        <v>562</v>
      </c>
      <c r="BG3" s="164" t="s">
        <v>310</v>
      </c>
      <c r="BH3" s="165" t="s">
        <v>311</v>
      </c>
      <c r="BI3" s="166" t="s">
        <v>563</v>
      </c>
      <c r="BJ3" s="164" t="s">
        <v>310</v>
      </c>
      <c r="BK3" s="165" t="s">
        <v>311</v>
      </c>
      <c r="BL3" s="166" t="s">
        <v>563</v>
      </c>
      <c r="BM3" s="164" t="s">
        <v>310</v>
      </c>
      <c r="BN3" s="165" t="s">
        <v>311</v>
      </c>
      <c r="BO3" s="166" t="s">
        <v>563</v>
      </c>
    </row>
    <row r="4" spans="1:67">
      <c r="A4" s="167" t="s">
        <v>296</v>
      </c>
      <c r="B4" s="170">
        <v>18.899999999999999</v>
      </c>
      <c r="C4" s="171">
        <v>1.4E-2</v>
      </c>
      <c r="D4" s="172">
        <v>67</v>
      </c>
      <c r="E4" s="170">
        <v>4.3</v>
      </c>
      <c r="F4" s="171">
        <v>5.0000000000000001E-3</v>
      </c>
      <c r="G4" s="172">
        <v>15.7</v>
      </c>
      <c r="H4" s="170">
        <v>26.8</v>
      </c>
      <c r="I4" s="171">
        <v>1.9E-2</v>
      </c>
      <c r="J4" s="172">
        <v>96.9</v>
      </c>
      <c r="K4" s="170">
        <v>12.2</v>
      </c>
      <c r="L4" s="171">
        <v>1.0999999999999999E-2</v>
      </c>
      <c r="M4" s="172">
        <v>45.6</v>
      </c>
      <c r="N4" s="170">
        <v>7.9</v>
      </c>
      <c r="O4" s="171">
        <v>5.0000000000000001E-3</v>
      </c>
      <c r="P4" s="172">
        <v>29.9</v>
      </c>
      <c r="Q4" s="170">
        <v>2.1</v>
      </c>
      <c r="R4" s="171">
        <v>3.0000000000000001E-3</v>
      </c>
      <c r="S4" s="172">
        <v>8.1</v>
      </c>
      <c r="T4" s="170">
        <v>28.5</v>
      </c>
      <c r="U4" s="171">
        <v>2.1999999999999999E-2</v>
      </c>
      <c r="V4" s="172">
        <v>103.6</v>
      </c>
      <c r="W4" s="170">
        <v>13.9</v>
      </c>
      <c r="X4" s="171">
        <v>1.4E-2</v>
      </c>
      <c r="Y4" s="172">
        <v>52.2</v>
      </c>
      <c r="Z4" s="170">
        <v>9.6</v>
      </c>
      <c r="AA4" s="171">
        <v>8.0000000000000002E-3</v>
      </c>
      <c r="AB4" s="172">
        <v>36.5</v>
      </c>
      <c r="AC4" s="170">
        <v>3.8</v>
      </c>
      <c r="AD4" s="171">
        <v>5.0000000000000001E-3</v>
      </c>
      <c r="AE4" s="172">
        <v>14.7</v>
      </c>
      <c r="AF4" s="170">
        <v>1.7</v>
      </c>
      <c r="AG4" s="171">
        <v>3.0000000000000001E-3</v>
      </c>
      <c r="AH4" s="172">
        <v>6.6</v>
      </c>
      <c r="AI4" s="170">
        <v>156.80000000000001</v>
      </c>
      <c r="AJ4" s="171">
        <v>0.28100000000000003</v>
      </c>
      <c r="AK4" s="172">
        <v>515.6</v>
      </c>
      <c r="AL4" s="170">
        <v>18.8</v>
      </c>
      <c r="AM4" s="171">
        <v>2.5999999999999999E-2</v>
      </c>
      <c r="AN4" s="172">
        <v>104.2</v>
      </c>
      <c r="AO4" s="170">
        <v>6.3</v>
      </c>
      <c r="AP4" s="171">
        <v>1.7999999999999999E-2</v>
      </c>
      <c r="AQ4" s="172">
        <v>39.200000000000003</v>
      </c>
      <c r="AR4" s="170">
        <v>160.9</v>
      </c>
      <c r="AS4" s="171">
        <v>0.29799999999999999</v>
      </c>
      <c r="AT4" s="172">
        <v>545.20000000000005</v>
      </c>
      <c r="AU4" s="170">
        <v>22.9</v>
      </c>
      <c r="AV4" s="171">
        <v>4.3999999999999997E-2</v>
      </c>
      <c r="AW4" s="172">
        <v>133.9</v>
      </c>
      <c r="AX4" s="170">
        <v>10.4</v>
      </c>
      <c r="AY4" s="171">
        <v>3.5000000000000003E-2</v>
      </c>
      <c r="AZ4" s="172">
        <v>68.8</v>
      </c>
      <c r="BA4" s="170">
        <v>4.0999999999999996</v>
      </c>
      <c r="BB4" s="171">
        <v>1.7999999999999999E-2</v>
      </c>
      <c r="BC4" s="172">
        <v>29.6</v>
      </c>
      <c r="BD4" s="170">
        <v>1.8</v>
      </c>
      <c r="BE4" s="171">
        <v>1.7999999999999999E-2</v>
      </c>
      <c r="BF4" s="172">
        <v>14.1</v>
      </c>
      <c r="BG4" s="170">
        <v>148.4</v>
      </c>
      <c r="BH4" s="171">
        <v>0.22800000000000001</v>
      </c>
      <c r="BI4" s="172">
        <v>87.9</v>
      </c>
      <c r="BJ4" s="170">
        <v>72.099999999999994</v>
      </c>
      <c r="BK4" s="171">
        <v>0.11700000000000001</v>
      </c>
      <c r="BL4" s="172">
        <v>36.299999999999997</v>
      </c>
      <c r="BM4" s="170">
        <v>6.4</v>
      </c>
      <c r="BN4" s="171">
        <v>3.0000000000000001E-3</v>
      </c>
      <c r="BO4" s="172">
        <v>11.3</v>
      </c>
    </row>
    <row r="5" spans="1:67">
      <c r="A5" s="168" t="s">
        <v>297</v>
      </c>
      <c r="B5" s="173">
        <v>12.5</v>
      </c>
      <c r="C5" s="174">
        <v>5.0000000000000001E-3</v>
      </c>
      <c r="D5" s="175">
        <v>72.8</v>
      </c>
      <c r="E5" s="173">
        <v>2.8</v>
      </c>
      <c r="F5" s="174">
        <v>0</v>
      </c>
      <c r="G5" s="175">
        <v>17.2</v>
      </c>
      <c r="H5" s="173">
        <v>17.5</v>
      </c>
      <c r="I5" s="174">
        <v>8.0000000000000002E-3</v>
      </c>
      <c r="J5" s="175">
        <v>105.5</v>
      </c>
      <c r="K5" s="173">
        <v>7.7</v>
      </c>
      <c r="L5" s="174">
        <v>3.0000000000000001E-3</v>
      </c>
      <c r="M5" s="175">
        <v>49.9</v>
      </c>
      <c r="N5" s="173">
        <v>4.9000000000000004</v>
      </c>
      <c r="O5" s="174">
        <v>3.0000000000000001E-3</v>
      </c>
      <c r="P5" s="175">
        <v>32.700000000000003</v>
      </c>
      <c r="Q5" s="173">
        <v>1.3</v>
      </c>
      <c r="R5" s="174">
        <v>0</v>
      </c>
      <c r="S5" s="175">
        <v>8.6</v>
      </c>
      <c r="T5" s="173">
        <v>18.5</v>
      </c>
      <c r="U5" s="174">
        <v>1.0999999999999999E-2</v>
      </c>
      <c r="V5" s="175">
        <v>112.7</v>
      </c>
      <c r="W5" s="173">
        <v>8.6999999999999993</v>
      </c>
      <c r="X5" s="174">
        <v>5.0000000000000001E-3</v>
      </c>
      <c r="Y5" s="175">
        <v>57.1</v>
      </c>
      <c r="Z5" s="173">
        <v>6</v>
      </c>
      <c r="AA5" s="174">
        <v>5.0000000000000001E-3</v>
      </c>
      <c r="AB5" s="175">
        <v>39.9</v>
      </c>
      <c r="AC5" s="173">
        <v>2.2999999999999998</v>
      </c>
      <c r="AD5" s="174">
        <v>3.0000000000000001E-3</v>
      </c>
      <c r="AE5" s="175">
        <v>15.8</v>
      </c>
      <c r="AF5" s="173">
        <v>1</v>
      </c>
      <c r="AG5" s="174">
        <v>3.0000000000000001E-3</v>
      </c>
      <c r="AH5" s="175">
        <v>7.2</v>
      </c>
      <c r="AI5" s="173">
        <v>158.9</v>
      </c>
      <c r="AJ5" s="174">
        <v>0.123</v>
      </c>
      <c r="AK5" s="175">
        <v>531.70000000000005</v>
      </c>
      <c r="AL5" s="173">
        <v>18.100000000000001</v>
      </c>
      <c r="AM5" s="174">
        <v>3.5000000000000003E-2</v>
      </c>
      <c r="AN5" s="175">
        <v>110.8</v>
      </c>
      <c r="AO5" s="173">
        <v>6</v>
      </c>
      <c r="AP5" s="174">
        <v>2.5999999999999999E-2</v>
      </c>
      <c r="AQ5" s="175">
        <v>42.7</v>
      </c>
      <c r="AR5" s="173">
        <v>162.80000000000001</v>
      </c>
      <c r="AS5" s="174">
        <v>0.14000000000000001</v>
      </c>
      <c r="AT5" s="175">
        <v>562.9</v>
      </c>
      <c r="AU5" s="173">
        <v>22</v>
      </c>
      <c r="AV5" s="174">
        <v>5.2999999999999999E-2</v>
      </c>
      <c r="AW5" s="175">
        <v>142</v>
      </c>
      <c r="AX5" s="173">
        <v>9.9</v>
      </c>
      <c r="AY5" s="174">
        <v>4.3999999999999997E-2</v>
      </c>
      <c r="AZ5" s="175">
        <v>73.900000000000006</v>
      </c>
      <c r="BA5" s="173">
        <v>3.9</v>
      </c>
      <c r="BB5" s="174">
        <v>1.7999999999999999E-2</v>
      </c>
      <c r="BC5" s="175">
        <v>31.2</v>
      </c>
      <c r="BD5" s="173">
        <v>1.8</v>
      </c>
      <c r="BE5" s="174">
        <v>8.9999999999999993E-3</v>
      </c>
      <c r="BF5" s="175">
        <v>14.9</v>
      </c>
      <c r="BG5" s="173">
        <v>122.3</v>
      </c>
      <c r="BH5" s="174">
        <v>0.17399999999999999</v>
      </c>
      <c r="BI5" s="175">
        <v>99.3</v>
      </c>
      <c r="BJ5" s="173">
        <v>57.3</v>
      </c>
      <c r="BK5" s="174">
        <v>9.0999999999999998E-2</v>
      </c>
      <c r="BL5" s="175">
        <v>42.1</v>
      </c>
      <c r="BM5" s="173">
        <v>6.8</v>
      </c>
      <c r="BN5" s="174">
        <v>3.0000000000000001E-3</v>
      </c>
      <c r="BO5" s="175">
        <v>12.1</v>
      </c>
    </row>
    <row r="6" spans="1:67">
      <c r="A6" s="168" t="s">
        <v>298</v>
      </c>
      <c r="B6" s="173">
        <v>13.2</v>
      </c>
      <c r="C6" s="174">
        <v>8.0000000000000002E-3</v>
      </c>
      <c r="D6" s="175">
        <v>68.8</v>
      </c>
      <c r="E6" s="173">
        <v>3</v>
      </c>
      <c r="F6" s="174">
        <v>3.0000000000000001E-3</v>
      </c>
      <c r="G6" s="175">
        <v>16.5</v>
      </c>
      <c r="H6" s="173">
        <v>18.7</v>
      </c>
      <c r="I6" s="174">
        <v>1.0999999999999999E-2</v>
      </c>
      <c r="J6" s="175">
        <v>100</v>
      </c>
      <c r="K6" s="173">
        <v>8.5</v>
      </c>
      <c r="L6" s="174">
        <v>5.0000000000000001E-3</v>
      </c>
      <c r="M6" s="175">
        <v>47.7</v>
      </c>
      <c r="N6" s="173">
        <v>5.5</v>
      </c>
      <c r="O6" s="174">
        <v>3.0000000000000001E-3</v>
      </c>
      <c r="P6" s="175">
        <v>31.2</v>
      </c>
      <c r="Q6" s="173">
        <v>1.4</v>
      </c>
      <c r="R6" s="174">
        <v>0</v>
      </c>
      <c r="S6" s="175">
        <v>8.1999999999999993</v>
      </c>
      <c r="T6" s="173">
        <v>19.899999999999999</v>
      </c>
      <c r="U6" s="174">
        <v>1.4E-2</v>
      </c>
      <c r="V6" s="175">
        <v>106.8</v>
      </c>
      <c r="W6" s="173">
        <v>9.6999999999999993</v>
      </c>
      <c r="X6" s="174">
        <v>8.0000000000000002E-3</v>
      </c>
      <c r="Y6" s="175">
        <v>54.5</v>
      </c>
      <c r="Z6" s="173">
        <v>6.7</v>
      </c>
      <c r="AA6" s="174">
        <v>5.0000000000000001E-3</v>
      </c>
      <c r="AB6" s="175">
        <v>38</v>
      </c>
      <c r="AC6" s="173">
        <v>2.6</v>
      </c>
      <c r="AD6" s="174">
        <v>3.0000000000000001E-3</v>
      </c>
      <c r="AE6" s="175">
        <v>15</v>
      </c>
      <c r="AF6" s="173">
        <v>1.2</v>
      </c>
      <c r="AG6" s="174">
        <v>3.0000000000000001E-3</v>
      </c>
      <c r="AH6" s="175">
        <v>6.8</v>
      </c>
      <c r="AI6" s="173">
        <v>120.1</v>
      </c>
      <c r="AJ6" s="174">
        <v>0.123</v>
      </c>
      <c r="AK6" s="175">
        <v>506.7</v>
      </c>
      <c r="AL6" s="173">
        <v>10.1</v>
      </c>
      <c r="AM6" s="174">
        <v>4.3999999999999997E-2</v>
      </c>
      <c r="AN6" s="175">
        <v>100.3</v>
      </c>
      <c r="AO6" s="173">
        <v>3.1</v>
      </c>
      <c r="AP6" s="174">
        <v>1.7999999999999999E-2</v>
      </c>
      <c r="AQ6" s="175">
        <v>38.6</v>
      </c>
      <c r="AR6" s="173">
        <v>121.7</v>
      </c>
      <c r="AS6" s="174">
        <v>0.13100000000000001</v>
      </c>
      <c r="AT6" s="175">
        <v>535.6</v>
      </c>
      <c r="AU6" s="173">
        <v>11.7</v>
      </c>
      <c r="AV6" s="174">
        <v>5.2999999999999999E-2</v>
      </c>
      <c r="AW6" s="175">
        <v>129.1</v>
      </c>
      <c r="AX6" s="173">
        <v>4.5999999999999996</v>
      </c>
      <c r="AY6" s="174">
        <v>2.5999999999999999E-2</v>
      </c>
      <c r="AZ6" s="175">
        <v>67.400000000000006</v>
      </c>
      <c r="BA6" s="173">
        <v>1.6</v>
      </c>
      <c r="BB6" s="174">
        <v>8.9999999999999993E-3</v>
      </c>
      <c r="BC6" s="175">
        <v>28.8</v>
      </c>
      <c r="BD6" s="173">
        <v>0.7</v>
      </c>
      <c r="BE6" s="174">
        <v>0</v>
      </c>
      <c r="BF6" s="175">
        <v>13.9</v>
      </c>
      <c r="BG6" s="173">
        <v>121.1</v>
      </c>
      <c r="BH6" s="174">
        <v>0.16400000000000001</v>
      </c>
      <c r="BI6" s="175">
        <v>90.8</v>
      </c>
      <c r="BJ6" s="173">
        <v>56.3</v>
      </c>
      <c r="BK6" s="174">
        <v>8.4000000000000005E-2</v>
      </c>
      <c r="BL6" s="175">
        <v>37.299999999999997</v>
      </c>
      <c r="BM6" s="173">
        <v>5.6</v>
      </c>
      <c r="BN6" s="174">
        <v>3.0000000000000001E-3</v>
      </c>
      <c r="BO6" s="175">
        <v>12</v>
      </c>
    </row>
    <row r="7" spans="1:67">
      <c r="A7" s="168" t="s">
        <v>300</v>
      </c>
      <c r="B7" s="173">
        <v>23.2</v>
      </c>
      <c r="C7" s="174">
        <v>2.4E-2</v>
      </c>
      <c r="D7" s="175">
        <v>80.3</v>
      </c>
      <c r="E7" s="173">
        <v>5.3</v>
      </c>
      <c r="F7" s="174">
        <v>8.0000000000000002E-3</v>
      </c>
      <c r="G7" s="175">
        <v>19</v>
      </c>
      <c r="H7" s="173">
        <v>33.1</v>
      </c>
      <c r="I7" s="174">
        <v>3.5000000000000003E-2</v>
      </c>
      <c r="J7" s="175">
        <v>115.6</v>
      </c>
      <c r="K7" s="173">
        <v>15.2</v>
      </c>
      <c r="L7" s="174">
        <v>1.9E-2</v>
      </c>
      <c r="M7" s="175">
        <v>54.3</v>
      </c>
      <c r="N7" s="173">
        <v>9.9</v>
      </c>
      <c r="O7" s="174">
        <v>1.0999999999999999E-2</v>
      </c>
      <c r="P7" s="175">
        <v>35.299999999999997</v>
      </c>
      <c r="Q7" s="173">
        <v>2.6</v>
      </c>
      <c r="R7" s="174">
        <v>3.0000000000000001E-3</v>
      </c>
      <c r="S7" s="175">
        <v>9.4</v>
      </c>
      <c r="T7" s="173">
        <v>35.299999999999997</v>
      </c>
      <c r="U7" s="174">
        <v>3.7999999999999999E-2</v>
      </c>
      <c r="V7" s="175">
        <v>123.6</v>
      </c>
      <c r="W7" s="173">
        <v>17.399999999999999</v>
      </c>
      <c r="X7" s="174">
        <v>2.1999999999999999E-2</v>
      </c>
      <c r="Y7" s="175">
        <v>62.3</v>
      </c>
      <c r="Z7" s="173">
        <v>12.1</v>
      </c>
      <c r="AA7" s="174">
        <v>1.4E-2</v>
      </c>
      <c r="AB7" s="175">
        <v>43.3</v>
      </c>
      <c r="AC7" s="173">
        <v>4.8</v>
      </c>
      <c r="AD7" s="174">
        <v>5.0000000000000001E-3</v>
      </c>
      <c r="AE7" s="175">
        <v>17.3</v>
      </c>
      <c r="AF7" s="173">
        <v>2.2000000000000002</v>
      </c>
      <c r="AG7" s="174">
        <v>3.0000000000000001E-3</v>
      </c>
      <c r="AH7" s="175">
        <v>8</v>
      </c>
      <c r="AI7" s="173">
        <v>145.5</v>
      </c>
      <c r="AJ7" s="174">
        <v>0.193</v>
      </c>
      <c r="AK7" s="175">
        <v>601.4</v>
      </c>
      <c r="AL7" s="173">
        <v>15.2</v>
      </c>
      <c r="AM7" s="174">
        <v>4.3999999999999997E-2</v>
      </c>
      <c r="AN7" s="175">
        <v>119.5</v>
      </c>
      <c r="AO7" s="173">
        <v>5.0999999999999996</v>
      </c>
      <c r="AP7" s="174">
        <v>1.7999999999999999E-2</v>
      </c>
      <c r="AQ7" s="175">
        <v>45.1</v>
      </c>
      <c r="AR7" s="173">
        <v>148.80000000000001</v>
      </c>
      <c r="AS7" s="174">
        <v>0.219</v>
      </c>
      <c r="AT7" s="175">
        <v>635.5</v>
      </c>
      <c r="AU7" s="173">
        <v>18.399999999999999</v>
      </c>
      <c r="AV7" s="174">
        <v>7.0000000000000007E-2</v>
      </c>
      <c r="AW7" s="175">
        <v>153.6</v>
      </c>
      <c r="AX7" s="173">
        <v>8.3000000000000007</v>
      </c>
      <c r="AY7" s="174">
        <v>4.3999999999999997E-2</v>
      </c>
      <c r="AZ7" s="175">
        <v>79.2</v>
      </c>
      <c r="BA7" s="173">
        <v>3.2</v>
      </c>
      <c r="BB7" s="174">
        <v>2.5999999999999999E-2</v>
      </c>
      <c r="BC7" s="175">
        <v>34.1</v>
      </c>
      <c r="BD7" s="173">
        <v>1.5</v>
      </c>
      <c r="BE7" s="174">
        <v>8.9999999999999993E-3</v>
      </c>
      <c r="BF7" s="175">
        <v>16</v>
      </c>
      <c r="BG7" s="173">
        <v>132.4</v>
      </c>
      <c r="BH7" s="174">
        <v>0.17100000000000001</v>
      </c>
      <c r="BI7" s="175">
        <v>100.4</v>
      </c>
      <c r="BJ7" s="173">
        <v>62.6</v>
      </c>
      <c r="BK7" s="174">
        <v>9.0999999999999998E-2</v>
      </c>
      <c r="BL7" s="175">
        <v>41.5</v>
      </c>
      <c r="BM7" s="173">
        <v>5.7</v>
      </c>
      <c r="BN7" s="174">
        <v>3.0000000000000001E-3</v>
      </c>
      <c r="BO7" s="175">
        <v>12.9</v>
      </c>
    </row>
    <row r="8" spans="1:67">
      <c r="A8" s="168" t="s">
        <v>260</v>
      </c>
      <c r="B8" s="173">
        <v>47.2</v>
      </c>
      <c r="C8" s="174">
        <v>1.0999999999999999E-2</v>
      </c>
      <c r="D8" s="175">
        <v>46.2</v>
      </c>
      <c r="E8" s="173">
        <v>11</v>
      </c>
      <c r="F8" s="174">
        <v>3.0000000000000001E-3</v>
      </c>
      <c r="G8" s="175">
        <v>10.7</v>
      </c>
      <c r="H8" s="173">
        <v>67.900000000000006</v>
      </c>
      <c r="I8" s="174">
        <v>1.6E-2</v>
      </c>
      <c r="J8" s="175">
        <v>66.5</v>
      </c>
      <c r="K8" s="173">
        <v>31.7</v>
      </c>
      <c r="L8" s="174">
        <v>8.0000000000000002E-3</v>
      </c>
      <c r="M8" s="175">
        <v>30.9</v>
      </c>
      <c r="N8" s="173">
        <v>20.6</v>
      </c>
      <c r="O8" s="174">
        <v>5.0000000000000001E-3</v>
      </c>
      <c r="P8" s="175">
        <v>20.3</v>
      </c>
      <c r="Q8" s="173">
        <v>5.5</v>
      </c>
      <c r="R8" s="174">
        <v>0</v>
      </c>
      <c r="S8" s="175">
        <v>5.2</v>
      </c>
      <c r="T8" s="173">
        <v>72.400000000000006</v>
      </c>
      <c r="U8" s="174">
        <v>1.9E-2</v>
      </c>
      <c r="V8" s="175">
        <v>71.099999999999994</v>
      </c>
      <c r="W8" s="173">
        <v>36.200000000000003</v>
      </c>
      <c r="X8" s="174">
        <v>1.0999999999999999E-2</v>
      </c>
      <c r="Y8" s="175">
        <v>35.5</v>
      </c>
      <c r="Z8" s="173">
        <v>25.2</v>
      </c>
      <c r="AA8" s="174">
        <v>8.0000000000000002E-3</v>
      </c>
      <c r="AB8" s="175">
        <v>24.9</v>
      </c>
      <c r="AC8" s="173">
        <v>10</v>
      </c>
      <c r="AD8" s="174">
        <v>3.0000000000000001E-3</v>
      </c>
      <c r="AE8" s="175">
        <v>9.8000000000000007</v>
      </c>
      <c r="AF8" s="173">
        <v>4.5</v>
      </c>
      <c r="AG8" s="174">
        <v>3.0000000000000001E-3</v>
      </c>
      <c r="AH8" s="175">
        <v>4.5999999999999996</v>
      </c>
      <c r="AI8" s="173">
        <v>335.8</v>
      </c>
      <c r="AJ8" s="174">
        <v>0.17499999999999999</v>
      </c>
      <c r="AK8" s="175">
        <v>361.7</v>
      </c>
      <c r="AL8" s="173">
        <v>55.9</v>
      </c>
      <c r="AM8" s="174">
        <v>6.0999999999999999E-2</v>
      </c>
      <c r="AN8" s="175">
        <v>75.8</v>
      </c>
      <c r="AO8" s="173">
        <v>20.3</v>
      </c>
      <c r="AP8" s="174">
        <v>2.5999999999999999E-2</v>
      </c>
      <c r="AQ8" s="175">
        <v>28.3</v>
      </c>
      <c r="AR8" s="173">
        <v>350.4</v>
      </c>
      <c r="AS8" s="174">
        <v>0.193</v>
      </c>
      <c r="AT8" s="175">
        <v>382.9</v>
      </c>
      <c r="AU8" s="173">
        <v>70.5</v>
      </c>
      <c r="AV8" s="174">
        <v>7.9000000000000001E-2</v>
      </c>
      <c r="AW8" s="175">
        <v>97</v>
      </c>
      <c r="AX8" s="173">
        <v>34.9</v>
      </c>
      <c r="AY8" s="174">
        <v>4.3999999999999997E-2</v>
      </c>
      <c r="AZ8" s="175">
        <v>49.5</v>
      </c>
      <c r="BA8" s="173">
        <v>14.6</v>
      </c>
      <c r="BB8" s="174">
        <v>1.7999999999999999E-2</v>
      </c>
      <c r="BC8" s="175">
        <v>21.2</v>
      </c>
      <c r="BD8" s="173">
        <v>6.7</v>
      </c>
      <c r="BE8" s="174">
        <v>8.9999999999999993E-3</v>
      </c>
      <c r="BF8" s="175">
        <v>9.4</v>
      </c>
      <c r="BG8" s="173">
        <v>184.9</v>
      </c>
      <c r="BH8" s="174">
        <v>0.188</v>
      </c>
      <c r="BI8" s="175">
        <v>56.6</v>
      </c>
      <c r="BJ8" s="173">
        <v>94.1</v>
      </c>
      <c r="BK8" s="174">
        <v>9.7000000000000003E-2</v>
      </c>
      <c r="BL8" s="175">
        <v>21.7</v>
      </c>
      <c r="BM8" s="173">
        <v>4.5999999999999996</v>
      </c>
      <c r="BN8" s="174">
        <v>3.0000000000000001E-3</v>
      </c>
      <c r="BO8" s="175">
        <v>8.6999999999999993</v>
      </c>
    </row>
    <row r="9" spans="1:67">
      <c r="A9" s="168" t="s">
        <v>301</v>
      </c>
      <c r="B9" s="173">
        <v>16.2</v>
      </c>
      <c r="C9" s="174">
        <v>1.0999999999999999E-2</v>
      </c>
      <c r="D9" s="175">
        <v>53.5</v>
      </c>
      <c r="E9" s="173">
        <v>3.6</v>
      </c>
      <c r="F9" s="174">
        <v>3.0000000000000001E-3</v>
      </c>
      <c r="G9" s="175">
        <v>13</v>
      </c>
      <c r="H9" s="173">
        <v>22.5</v>
      </c>
      <c r="I9" s="174">
        <v>1.4E-2</v>
      </c>
      <c r="J9" s="175">
        <v>78.599999999999994</v>
      </c>
      <c r="K9" s="173">
        <v>9.9</v>
      </c>
      <c r="L9" s="174">
        <v>5.0000000000000001E-3</v>
      </c>
      <c r="M9" s="175">
        <v>38.1</v>
      </c>
      <c r="N9" s="173">
        <v>6.3</v>
      </c>
      <c r="O9" s="174">
        <v>3.0000000000000001E-3</v>
      </c>
      <c r="P9" s="175">
        <v>25.1</v>
      </c>
      <c r="Q9" s="173">
        <v>1.6</v>
      </c>
      <c r="R9" s="174">
        <v>0</v>
      </c>
      <c r="S9" s="175">
        <v>6.7</v>
      </c>
      <c r="T9" s="173">
        <v>23.8</v>
      </c>
      <c r="U9" s="174">
        <v>1.6E-2</v>
      </c>
      <c r="V9" s="175">
        <v>83.8</v>
      </c>
      <c r="W9" s="173">
        <v>11.2</v>
      </c>
      <c r="X9" s="174">
        <v>8.0000000000000002E-3</v>
      </c>
      <c r="Y9" s="175">
        <v>43.4</v>
      </c>
      <c r="Z9" s="173">
        <v>7.6</v>
      </c>
      <c r="AA9" s="174">
        <v>5.0000000000000001E-3</v>
      </c>
      <c r="AB9" s="175">
        <v>30.3</v>
      </c>
      <c r="AC9" s="173">
        <v>2.9</v>
      </c>
      <c r="AD9" s="174">
        <v>3.0000000000000001E-3</v>
      </c>
      <c r="AE9" s="175">
        <v>11.9</v>
      </c>
      <c r="AF9" s="173">
        <v>1.3</v>
      </c>
      <c r="AG9" s="174">
        <v>3.0000000000000001E-3</v>
      </c>
      <c r="AH9" s="175">
        <v>5.2</v>
      </c>
      <c r="AI9" s="173">
        <v>109.7</v>
      </c>
      <c r="AJ9" s="174">
        <v>0.16700000000000001</v>
      </c>
      <c r="AK9" s="175">
        <v>495.1</v>
      </c>
      <c r="AL9" s="173">
        <v>2.2999999999999998</v>
      </c>
      <c r="AM9" s="174">
        <v>6.0999999999999999E-2</v>
      </c>
      <c r="AN9" s="175">
        <v>102.1</v>
      </c>
      <c r="AO9" s="173">
        <v>-0.3</v>
      </c>
      <c r="AP9" s="174">
        <v>1.7999999999999999E-2</v>
      </c>
      <c r="AQ9" s="175">
        <v>38.700000000000003</v>
      </c>
      <c r="AR9" s="173">
        <v>108.1</v>
      </c>
      <c r="AS9" s="174">
        <v>0.184</v>
      </c>
      <c r="AT9" s="175">
        <v>525.4</v>
      </c>
      <c r="AU9" s="173">
        <v>0.7</v>
      </c>
      <c r="AV9" s="174">
        <v>7.9000000000000001E-2</v>
      </c>
      <c r="AW9" s="175">
        <v>132.5</v>
      </c>
      <c r="AX9" s="173">
        <v>-1.8</v>
      </c>
      <c r="AY9" s="174">
        <v>3.5000000000000003E-2</v>
      </c>
      <c r="AZ9" s="175">
        <v>69.099999999999994</v>
      </c>
      <c r="BA9" s="173">
        <v>-1.6</v>
      </c>
      <c r="BB9" s="174">
        <v>1.7999999999999999E-2</v>
      </c>
      <c r="BC9" s="175">
        <v>30.3</v>
      </c>
      <c r="BD9" s="173">
        <v>-0.9</v>
      </c>
      <c r="BE9" s="174">
        <v>8.9999999999999993E-3</v>
      </c>
      <c r="BF9" s="175">
        <v>13.4</v>
      </c>
      <c r="BG9" s="173">
        <v>147.80000000000001</v>
      </c>
      <c r="BH9" s="174">
        <v>0.158</v>
      </c>
      <c r="BI9" s="175">
        <v>74.3</v>
      </c>
      <c r="BJ9" s="173">
        <v>74.099999999999994</v>
      </c>
      <c r="BK9" s="174">
        <v>7.6999999999999999E-2</v>
      </c>
      <c r="BL9" s="175">
        <v>30.3</v>
      </c>
      <c r="BM9" s="173">
        <v>5.8</v>
      </c>
      <c r="BN9" s="174">
        <v>0</v>
      </c>
      <c r="BO9" s="175">
        <v>11.8</v>
      </c>
    </row>
    <row r="10" spans="1:67" ht="15.75" thickBot="1">
      <c r="A10" s="169" t="s">
        <v>299</v>
      </c>
      <c r="B10" s="176">
        <v>20.9</v>
      </c>
      <c r="C10" s="177">
        <v>1.9E-2</v>
      </c>
      <c r="D10" s="178">
        <v>66.099999999999994</v>
      </c>
      <c r="E10" s="176">
        <v>4.8</v>
      </c>
      <c r="F10" s="177">
        <v>5.0000000000000001E-3</v>
      </c>
      <c r="G10" s="178">
        <v>15.5</v>
      </c>
      <c r="H10" s="176">
        <v>29.6</v>
      </c>
      <c r="I10" s="177">
        <v>2.7E-2</v>
      </c>
      <c r="J10" s="178">
        <v>95.5</v>
      </c>
      <c r="K10" s="176">
        <v>13.5</v>
      </c>
      <c r="L10" s="177">
        <v>1.4E-2</v>
      </c>
      <c r="M10" s="178">
        <v>44.9</v>
      </c>
      <c r="N10" s="176">
        <v>8.8000000000000007</v>
      </c>
      <c r="O10" s="177">
        <v>8.0000000000000002E-3</v>
      </c>
      <c r="P10" s="178">
        <v>29.4</v>
      </c>
      <c r="Q10" s="176">
        <v>2.2999999999999998</v>
      </c>
      <c r="R10" s="177">
        <v>3.0000000000000001E-3</v>
      </c>
      <c r="S10" s="178">
        <v>7.8</v>
      </c>
      <c r="T10" s="176">
        <v>31.5</v>
      </c>
      <c r="U10" s="177">
        <v>0.03</v>
      </c>
      <c r="V10" s="178">
        <v>102</v>
      </c>
      <c r="W10" s="176">
        <v>15.4</v>
      </c>
      <c r="X10" s="177">
        <v>1.6E-2</v>
      </c>
      <c r="Y10" s="178">
        <v>51.4</v>
      </c>
      <c r="Z10" s="176">
        <v>10.6</v>
      </c>
      <c r="AA10" s="177">
        <v>1.0999999999999999E-2</v>
      </c>
      <c r="AB10" s="178">
        <v>35.9</v>
      </c>
      <c r="AC10" s="176">
        <v>4.2</v>
      </c>
      <c r="AD10" s="177">
        <v>5.0000000000000001E-3</v>
      </c>
      <c r="AE10" s="178">
        <v>14.3</v>
      </c>
      <c r="AF10" s="176">
        <v>1.9</v>
      </c>
      <c r="AG10" s="177">
        <v>3.0000000000000001E-3</v>
      </c>
      <c r="AH10" s="178">
        <v>6.4</v>
      </c>
      <c r="AI10" s="176">
        <v>172.8</v>
      </c>
      <c r="AJ10" s="177">
        <v>0.40300000000000002</v>
      </c>
      <c r="AK10" s="178">
        <v>503.8</v>
      </c>
      <c r="AL10" s="176">
        <v>18.899999999999999</v>
      </c>
      <c r="AM10" s="177">
        <v>0.114</v>
      </c>
      <c r="AN10" s="178">
        <v>100.8</v>
      </c>
      <c r="AO10" s="176">
        <v>6.1</v>
      </c>
      <c r="AP10" s="177">
        <v>4.3999999999999997E-2</v>
      </c>
      <c r="AQ10" s="178">
        <v>37.799999999999997</v>
      </c>
      <c r="AR10" s="176">
        <v>176.5</v>
      </c>
      <c r="AS10" s="177">
        <v>0.44700000000000001</v>
      </c>
      <c r="AT10" s="178">
        <v>534.9</v>
      </c>
      <c r="AU10" s="176">
        <v>22.6</v>
      </c>
      <c r="AV10" s="177">
        <v>0.158</v>
      </c>
      <c r="AW10" s="178">
        <v>131.9</v>
      </c>
      <c r="AX10" s="176">
        <v>9.8000000000000007</v>
      </c>
      <c r="AY10" s="177">
        <v>8.7999999999999995E-2</v>
      </c>
      <c r="AZ10" s="178">
        <v>68.900000000000006</v>
      </c>
      <c r="BA10" s="176">
        <v>3.7</v>
      </c>
      <c r="BB10" s="177">
        <v>4.3999999999999997E-2</v>
      </c>
      <c r="BC10" s="178">
        <v>31.1</v>
      </c>
      <c r="BD10" s="176">
        <v>1.7</v>
      </c>
      <c r="BE10" s="177">
        <v>2.5999999999999999E-2</v>
      </c>
      <c r="BF10" s="178">
        <v>15</v>
      </c>
      <c r="BG10" s="176">
        <v>147.69999999999999</v>
      </c>
      <c r="BH10" s="177">
        <v>0.22500000000000001</v>
      </c>
      <c r="BI10" s="178">
        <v>90.1</v>
      </c>
      <c r="BJ10" s="176">
        <v>71.2</v>
      </c>
      <c r="BK10" s="177">
        <v>0.11700000000000001</v>
      </c>
      <c r="BL10" s="178">
        <v>38.1</v>
      </c>
      <c r="BM10" s="176">
        <v>6.6</v>
      </c>
      <c r="BN10" s="177">
        <v>7.0000000000000001E-3</v>
      </c>
      <c r="BO10" s="178">
        <v>11.7</v>
      </c>
    </row>
    <row r="12" spans="1:67">
      <c r="A12" s="179" t="s">
        <v>564</v>
      </c>
      <c r="B12" s="69" t="str">
        <f>VLOOKUP('Prescriptive Path'!D4,ClimateZoneLookup!A2:AU65,47)</f>
        <v>Albany</v>
      </c>
    </row>
    <row r="13" spans="1:67" ht="15.75" thickBot="1">
      <c r="A13" s="179"/>
    </row>
    <row r="14" spans="1:67" ht="15.75" thickBot="1">
      <c r="A14" s="143" t="s">
        <v>42</v>
      </c>
      <c r="B14" s="1129"/>
      <c r="C14" s="1130"/>
      <c r="D14" s="180" t="s">
        <v>187</v>
      </c>
      <c r="E14" s="153" t="s">
        <v>186</v>
      </c>
      <c r="F14" s="132" t="s">
        <v>565</v>
      </c>
      <c r="G14" s="155" t="s">
        <v>566</v>
      </c>
      <c r="H14" s="181" t="s">
        <v>567</v>
      </c>
    </row>
    <row r="15" spans="1:67">
      <c r="A15" s="1123" t="s">
        <v>26</v>
      </c>
      <c r="B15" s="1125" t="s">
        <v>89</v>
      </c>
      <c r="C15" s="1126"/>
      <c r="D15" s="183" t="str">
        <f>'Prescriptive Path'!J10</f>
        <v>&lt;Select R-value&gt;</v>
      </c>
      <c r="E15" s="156" t="s">
        <v>531</v>
      </c>
      <c r="F15" s="156">
        <f>IF($D15="R-0",VLOOKUP($B$12,$A$2:$BO$10,35),IF($D15="R-11",VLOOKUP($B$12,$A$2:$BO$10,41),IF($D15="R-19",VLOOKUP($B$12,$A$2:$BO$10,47),0)))</f>
        <v>0</v>
      </c>
      <c r="G15" s="156">
        <f>IF($D15="R-0",VLOOKUP($B$12,$A$2:$BO$10,36),IF($D15="R-11",VLOOKUP($B$12,$A$2:$BO$10,42),IF($D15="R-19",VLOOKUP($B$12,$A$2:$BO$10,48),0)))</f>
        <v>0</v>
      </c>
      <c r="H15" s="134">
        <f>IF($D15="R-0",VLOOKUP($B$12,$A$2:$BO$10,37),IF($D15="R-11",VLOOKUP($B$12,$A$2:$BO$10,43),IF($D15="R-19",VLOOKUP($B$12,$A$2:$BO$10,49),0)))</f>
        <v>0</v>
      </c>
    </row>
    <row r="16" spans="1:67">
      <c r="A16" s="1122"/>
      <c r="B16" s="1131" t="s">
        <v>48</v>
      </c>
      <c r="C16" s="1132"/>
      <c r="D16" s="184" t="str">
        <f>'Prescriptive Path'!J11</f>
        <v>&lt;Select R-value&gt;</v>
      </c>
      <c r="E16" s="154" t="s">
        <v>531</v>
      </c>
      <c r="F16" s="154">
        <f>IF($D16="R-0",VLOOKUP($B$12,$A$2:$BO$10,35),IF($D16="R-11",VLOOKUP($B$12,$A$2:$BO$10,41),IF($D16="R-19",VLOOKUP($B$12,$A$2:$BO$10,47),0)))</f>
        <v>0</v>
      </c>
      <c r="G16" s="154">
        <f>IF($D16="R-0",VLOOKUP($B$12,$A$2:$BO$10,36),IF($D16="R-11",VLOOKUP($B$12,$A$2:$BO$10,42),IF($D16="R-19",VLOOKUP($B$12,$A$2:$BO$10,48),0)))</f>
        <v>0</v>
      </c>
      <c r="H16" s="44">
        <f>IF($D16="R-0",VLOOKUP($B$12,$A$2:$BO$10,37),IF($D16="R-11",VLOOKUP($B$12,$A$2:$BO$10,43),IF($D16="R-19",VLOOKUP($B$12,$A$2:$BO$10,49),0)))</f>
        <v>0</v>
      </c>
    </row>
    <row r="17" spans="1:8" ht="15.75" thickBot="1">
      <c r="A17" s="1122"/>
      <c r="B17" s="1127" t="s">
        <v>50</v>
      </c>
      <c r="C17" s="1128"/>
      <c r="D17" s="185" t="str">
        <f>'Prescriptive Path'!J12</f>
        <v>&lt;Select R-value&gt;</v>
      </c>
      <c r="E17" s="114" t="s">
        <v>568</v>
      </c>
      <c r="F17" s="114">
        <f>IF($D17="R-0",VLOOKUP($B$12,$A$2:$BO$10,38),IF($D17="R-11",VLOOKUP($B$12,$A$2:$BO$10,44),IF($D17="R-19",VLOOKUP($B$12,$A$2:$BO$10,50),IF($D17="R-30",VLOOKUP($B$12,$A$2:$BO$10,53),IF($D17="R-38",VLOOKUP($B$12,$A$2:$BO$10,56),0)))))</f>
        <v>0</v>
      </c>
      <c r="G17" s="114">
        <f>IF($D17="R-0",VLOOKUP($B$12,$A$2:$BO$10,39),IF($D17="R-11",VLOOKUP($B$12,$A$2:$BO$10,45),IF($D17="R-19",VLOOKUP($B$12,$A$2:$BO$10,51),IF($D17="R-30",VLOOKUP($B$12,$A$2:$BO$10,54),IF($D17="R-38",VLOOKUP($B$12,$A$2:$BO$10,57),0)))))</f>
        <v>0</v>
      </c>
      <c r="H17" s="135">
        <f>IF($D17="R-0",VLOOKUP($B$12,$A$2:$BO$10,40),IF($D17="R-11",VLOOKUP($B$12,$A$2:$BO$10,46),IF($D17="R-19",VLOOKUP($B$12,$A$2:$BO$10,52),IF($D17="R-30",VLOOKUP($B$12,$A$2:$BO$10,55),IF($D17="R-38",VLOOKUP($B$12,$A$2:$BO$10,58),0)))))</f>
        <v>0</v>
      </c>
    </row>
    <row r="18" spans="1:8">
      <c r="A18" s="1122" t="s">
        <v>68</v>
      </c>
      <c r="B18" s="1125" t="s">
        <v>87</v>
      </c>
      <c r="C18" s="1126"/>
      <c r="D18" s="183" t="str">
        <f>'Prescriptive Path'!J13</f>
        <v>&lt;Select R-value&gt;</v>
      </c>
      <c r="E18" s="156" t="s">
        <v>528</v>
      </c>
      <c r="F18" s="156">
        <f>IF($D18="R-0",VLOOKUP($B$12,$A$2:$BO$10,2),IF($D18="R-11",VLOOKUP($B$12,$A$2:$BO$10,5),0))</f>
        <v>0</v>
      </c>
      <c r="G18" s="156">
        <f>IF($D18="R-0",VLOOKUP($B$12,$A$2:$BO$10,3),IF($D18="R-11",VLOOKUP($B$12,$A$2:$BO$10,6),0))</f>
        <v>0</v>
      </c>
      <c r="H18" s="134">
        <f>IF($D18="R-0",VLOOKUP($B$12,$A$2:$BO$10,4),IF($D18="R-11",VLOOKUP($B$12,$A$2:$BO$10,7),0))</f>
        <v>0</v>
      </c>
    </row>
    <row r="19" spans="1:8">
      <c r="A19" s="1122"/>
      <c r="B19" s="1131" t="s">
        <v>90</v>
      </c>
      <c r="C19" s="1132"/>
      <c r="D19" s="184" t="str">
        <f>'Prescriptive Path'!J14</f>
        <v>&lt;Select R-value&gt;</v>
      </c>
      <c r="E19" s="154" t="s">
        <v>528</v>
      </c>
      <c r="F19" s="154">
        <f>IF($D19="R-0",VLOOKUP($B$12,$A$2:$BO$10,2),IF($D19="R-11",VLOOKUP($B$12,$A$2:$BO$10,5),0))</f>
        <v>0</v>
      </c>
      <c r="G19" s="154">
        <f>IF($D19="R-0",VLOOKUP($B$12,$A$2:$BO$10,3),IF($D19="R-11",VLOOKUP($B$12,$A$2:$BO$10,6),0))</f>
        <v>0</v>
      </c>
      <c r="H19" s="44">
        <f>IF($D19="R-0",VLOOKUP($B$12,$A$2:$BO$10,4),IF($D19="R-11",VLOOKUP($B$12,$A$2:$BO$10,7),0))</f>
        <v>0</v>
      </c>
    </row>
    <row r="20" spans="1:8">
      <c r="A20" s="1122"/>
      <c r="B20" s="1131" t="s">
        <v>210</v>
      </c>
      <c r="C20" s="1132"/>
      <c r="D20" s="184" t="str">
        <f>'Prescriptive Path'!J15</f>
        <v>&lt;Select R-value&gt;</v>
      </c>
      <c r="E20" s="154" t="s">
        <v>530</v>
      </c>
      <c r="F20" s="154">
        <f>IF($D20="R-0",VLOOKUP($B$12,$A$2:$BO$10,8),IF($D20="R-11",VLOOKUP($B$12,$A$2:$BO$10,11),IF($D20="R-13",VLOOKUP($B$12,$A$2:$BO$10,14),IF($D20="R-17",VLOOKUP($B$12,$A$2:$BO$10,17),0))))</f>
        <v>0</v>
      </c>
      <c r="G20" s="154">
        <f>IF($D20="R-0",VLOOKUP($B$12,$A$2:$BO$10,9),IF($D20="R-11",VLOOKUP($B$12,$A$2:$BO$10,12),IF($D20="R-13",VLOOKUP($B$12,$A$2:$BO$10,15),IF($D20="R-17",VLOOKUP($B$12,$A$2:$BO$10,18),0))))</f>
        <v>0</v>
      </c>
      <c r="H20" s="44">
        <f>IF($D20="R-0",VLOOKUP($B$12,$A$2:$BO$10,10),IF($D20="R-11",VLOOKUP($B$12,$A$2:$BO$10,13),IF($D20="R-13",VLOOKUP($B$12,$A$2:$BO$10,16),IF($D20="R-17",VLOOKUP($B$12,$A$2:$BO$10,19),0))))</f>
        <v>0</v>
      </c>
    </row>
    <row r="21" spans="1:8" ht="15.75" thickBot="1">
      <c r="A21" s="1122"/>
      <c r="B21" s="1127" t="s">
        <v>227</v>
      </c>
      <c r="C21" s="1128"/>
      <c r="D21" s="185" t="str">
        <f>'Prescriptive Path'!J16</f>
        <v>&lt;Select R-value&gt;</v>
      </c>
      <c r="E21" s="114" t="s">
        <v>569</v>
      </c>
      <c r="F21" s="114">
        <f>IF($D21="R-0",VLOOKUP($B$12,$A$2:$BO$10,20),IF($D21="R-11",VLOOKUP($B$12,$A$2:$BO$10,23),IF($D21="R-13",VLOOKUP($B$12,$A$2:$BO$10,26),IF($D21="R-17",VLOOKUP($B$12,$A$2:$BO$10,29),IF($D21="R-19",VLOOKUP($B$12,$A$2:$BO$10,32),0)))))</f>
        <v>0</v>
      </c>
      <c r="G21" s="114">
        <f>IF($D21="R-0",VLOOKUP($B$12,$A$2:$BO$10,21),IF($D21="R-11",VLOOKUP($B$12,$A$2:$BO$10,24),IF($D21="R-13",VLOOKUP($B$12,$A$2:$BO$10,27),IF($D21="R-17",VLOOKUP($B$12,$A$2:$BO$10,30),IF($D21="R-19",VLOOKUP($B$12,$A$2:$BO$10,33),0)))))</f>
        <v>0</v>
      </c>
      <c r="H21" s="135">
        <f>IF($D21="R-0",VLOOKUP($B$12,$A$2:$BO$10,22),IF($D21="R-11",VLOOKUP($B$12,$A$2:$BO$10,25),IF($D21="R-13",VLOOKUP($B$12,$A$2:$BO$10,28),IF($D21="R-17",VLOOKUP($B$12,$A$2:$BO$10,31),IF($D21="R-19",VLOOKUP($B$12,$A$2:$BO$10,34),0)))))</f>
        <v>0</v>
      </c>
    </row>
    <row r="22" spans="1:8" ht="15" customHeight="1">
      <c r="A22" s="144" t="s">
        <v>72</v>
      </c>
      <c r="B22" s="1125" t="s">
        <v>8</v>
      </c>
      <c r="C22" s="1126"/>
      <c r="D22" s="183" t="str">
        <f>'Prescriptive Path'!J23</f>
        <v>&lt;Select Type&gt;</v>
      </c>
      <c r="E22" s="115"/>
      <c r="F22" s="156">
        <f>IF($D22="Single pane clear", VLOOKUP($B$12,$A$2:$BO$10,59),IF($D22="Double pane clear",VLOOKUP($B$12,$A$2:$BO$10,62),IF($D22="Double pane, low e", VLOOKUP($B$12,$A$2:$BO$10,65),0)))</f>
        <v>0</v>
      </c>
      <c r="G22" s="156">
        <f>IF($D22="Single pane clear", VLOOKUP($B$12,$A$2:$BO$10,60),IF($D22="Double pane clear",VLOOKUP($B$12,$A$2:$BO$10,63),IF($D22="Double pane, low e", VLOOKUP($B$12,$A$2:$BO$10,66),0)))</f>
        <v>0</v>
      </c>
      <c r="H22" s="134">
        <f>IF($D22="Single pane clear", VLOOKUP($B$12,$A$2:$BO$10,61),IF($D22="Double pane clear",VLOOKUP($B$12,$A$2:$BO$10,64),IF($D22="Double pane, low e", VLOOKUP($B$12,$A$2:$BO$10,67),0)))</f>
        <v>0</v>
      </c>
    </row>
    <row r="23" spans="1:8" ht="15" customHeight="1">
      <c r="A23" s="145"/>
      <c r="B23" s="1131" t="s">
        <v>570</v>
      </c>
      <c r="C23" s="1132"/>
      <c r="D23" s="184" t="str">
        <f>'Prescriptive Path'!J24</f>
        <v>&lt;Select Type&gt;</v>
      </c>
      <c r="E23" s="117"/>
      <c r="F23" s="154">
        <f t="shared" ref="F23:F24" si="0">IF($D23="Single pane clear", VLOOKUP($B$12,$A$2:$BO$10,59),IF($D23="Double pane clear",VLOOKUP($B$12,$A$2:$BO$10,62),IF($D23="Double pane, low e", VLOOKUP($B$12,$A$2:$BO$10,65),0)))</f>
        <v>0</v>
      </c>
      <c r="G23" s="154">
        <f t="shared" ref="G23:G24" si="1">IF($D23="Single pane clear", VLOOKUP($B$12,$A$2:$BO$10,60),IF($D23="Double pane clear",VLOOKUP($B$12,$A$2:$BO$10,63),IF($D23="Double pane, low e", VLOOKUP($B$12,$A$2:$BO$10,66),0)))</f>
        <v>0</v>
      </c>
      <c r="H23" s="44">
        <f t="shared" ref="H23:H24" si="2">IF($D23="Single pane clear", VLOOKUP($B$12,$A$2:$BO$10,61),IF($D23="Double pane clear",VLOOKUP($B$12,$A$2:$BO$10,64),IF($D23="Double pane, low e", VLOOKUP($B$12,$A$2:$BO$10,67),0)))</f>
        <v>0</v>
      </c>
    </row>
    <row r="24" spans="1:8" ht="15.75" thickBot="1">
      <c r="A24" s="146"/>
      <c r="B24" s="1127" t="s">
        <v>10</v>
      </c>
      <c r="C24" s="1128"/>
      <c r="D24" s="185" t="str">
        <f>'Prescriptive Path'!J25</f>
        <v>&lt;Select Type&gt;</v>
      </c>
      <c r="E24" s="119"/>
      <c r="F24" s="114">
        <f t="shared" si="0"/>
        <v>0</v>
      </c>
      <c r="G24" s="114">
        <f t="shared" si="1"/>
        <v>0</v>
      </c>
      <c r="H24" s="135">
        <f t="shared" si="2"/>
        <v>0</v>
      </c>
    </row>
    <row r="25" spans="1:8" ht="15.75" thickBot="1">
      <c r="A25" s="143" t="s">
        <v>42</v>
      </c>
      <c r="B25" s="1129"/>
      <c r="C25" s="1130"/>
      <c r="D25" s="180" t="s">
        <v>571</v>
      </c>
      <c r="E25" s="157" t="s">
        <v>572</v>
      </c>
      <c r="F25" s="187"/>
      <c r="G25" s="188"/>
      <c r="H25" s="189"/>
    </row>
    <row r="26" spans="1:8" ht="15.75" thickBot="1">
      <c r="A26" s="152" t="s">
        <v>69</v>
      </c>
      <c r="B26" s="1125" t="s">
        <v>3</v>
      </c>
      <c r="C26" s="1126"/>
      <c r="D26" s="186" t="str">
        <f>'Prescriptive Path'!J17</f>
        <v>&lt;Enter Assembly C-factor; e.g., "C-0.092"&gt;</v>
      </c>
      <c r="E26" s="182" t="str">
        <f>RIGHT(D26,(LEN(D26)-2))</f>
        <v>nter Assembly C-factor; e.g., "C-0.092"&gt;</v>
      </c>
      <c r="F26" s="149"/>
      <c r="G26" s="149"/>
      <c r="H26" s="190"/>
    </row>
    <row r="27" spans="1:8" ht="15.75" thickBot="1">
      <c r="A27" s="1122" t="s">
        <v>58</v>
      </c>
      <c r="B27" s="1125" t="s">
        <v>88</v>
      </c>
      <c r="C27" s="1126"/>
      <c r="D27" s="183" t="str">
        <f>'Prescriptive Path'!J18</f>
        <v>&lt;Enter Assembly U-factor; e.g., "U-0.057"&gt;</v>
      </c>
      <c r="E27" s="182" t="str">
        <f>RIGHT(D27,(LEN(D27)-2))</f>
        <v>nter Assembly U-factor; e.g., "U-0.057"&gt;</v>
      </c>
      <c r="F27" s="115"/>
      <c r="G27" s="115"/>
      <c r="H27" s="116"/>
    </row>
    <row r="28" spans="1:8" ht="15.75" thickBot="1">
      <c r="A28" s="1122"/>
      <c r="B28" s="1131" t="s">
        <v>60</v>
      </c>
      <c r="C28" s="1132"/>
      <c r="D28" s="184" t="str">
        <f>'Prescriptive Path'!J19</f>
        <v>&lt;Enter Assembly U-factor; e.g., "U-0.032"&gt;</v>
      </c>
      <c r="E28" s="182" t="str">
        <f>RIGHT(D28,(LEN(D28)-2))</f>
        <v>nter Assembly U-factor; e.g., "U-0.032"&gt;</v>
      </c>
      <c r="F28" s="117"/>
      <c r="G28" s="117"/>
      <c r="H28" s="118"/>
    </row>
    <row r="29" spans="1:8" ht="15.75" thickBot="1">
      <c r="A29" s="1122"/>
      <c r="B29" s="1127" t="s">
        <v>71</v>
      </c>
      <c r="C29" s="1128"/>
      <c r="D29" s="185" t="str">
        <f>'Prescriptive Path'!J20</f>
        <v>&lt;Enter Assembly U-factor; e.g., "U-0.026"&gt;</v>
      </c>
      <c r="E29" s="182" t="str">
        <f>RIGHT(D29,(LEN(D29)-2))</f>
        <v>nter Assembly U-factor; e.g., "U-0.026"&gt;</v>
      </c>
      <c r="F29" s="119"/>
      <c r="G29" s="119"/>
      <c r="H29" s="120"/>
    </row>
    <row r="30" spans="1:8" ht="15.75" thickBot="1">
      <c r="A30" s="152" t="s">
        <v>11</v>
      </c>
      <c r="B30" s="1125" t="s">
        <v>6</v>
      </c>
      <c r="C30" s="1126"/>
      <c r="D30" s="186" t="str">
        <f>'Prescriptive Path'!J21</f>
        <v>&lt;Enter Assembly U-factor; e.g., "U-0.4"&gt;</v>
      </c>
      <c r="E30" s="182" t="str">
        <f>RIGHT(D30,(LEN(D30)-2))</f>
        <v>nter Assembly U-factor; e.g., "U-0.4"&gt;</v>
      </c>
      <c r="F30" s="149"/>
      <c r="G30" s="149"/>
      <c r="H30" s="190"/>
    </row>
  </sheetData>
  <mergeCells count="43">
    <mergeCell ref="B14:C14"/>
    <mergeCell ref="B18:C18"/>
    <mergeCell ref="B15:C15"/>
    <mergeCell ref="B26:C26"/>
    <mergeCell ref="B16:C16"/>
    <mergeCell ref="B19:C19"/>
    <mergeCell ref="B20:C20"/>
    <mergeCell ref="B23:C23"/>
    <mergeCell ref="B17:C17"/>
    <mergeCell ref="B21:C21"/>
    <mergeCell ref="B30:C30"/>
    <mergeCell ref="B27:C27"/>
    <mergeCell ref="B22:C22"/>
    <mergeCell ref="B24:C24"/>
    <mergeCell ref="A27:A29"/>
    <mergeCell ref="B29:C29"/>
    <mergeCell ref="B25:C25"/>
    <mergeCell ref="B28:C28"/>
    <mergeCell ref="A18:A21"/>
    <mergeCell ref="A15:A17"/>
    <mergeCell ref="BA2:BC2"/>
    <mergeCell ref="BD2:BF2"/>
    <mergeCell ref="BG2:BI2"/>
    <mergeCell ref="Q2:S2"/>
    <mergeCell ref="T2:V2"/>
    <mergeCell ref="W2:Y2"/>
    <mergeCell ref="Z2:AB2"/>
    <mergeCell ref="AC2:AE2"/>
    <mergeCell ref="AF2:AH2"/>
    <mergeCell ref="A2:A3"/>
    <mergeCell ref="B2:D2"/>
    <mergeCell ref="E2:G2"/>
    <mergeCell ref="H2:J2"/>
    <mergeCell ref="K2:M2"/>
    <mergeCell ref="N2:P2"/>
    <mergeCell ref="BJ2:BL2"/>
    <mergeCell ref="BM2:BO2"/>
    <mergeCell ref="AI2:AK2"/>
    <mergeCell ref="AL2:AN2"/>
    <mergeCell ref="AO2:AQ2"/>
    <mergeCell ref="AR2:AT2"/>
    <mergeCell ref="AU2:AW2"/>
    <mergeCell ref="AX2:AZ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0" tint="-0.14999847407452621"/>
  </sheetPr>
  <dimension ref="A1:AO70"/>
  <sheetViews>
    <sheetView workbookViewId="0">
      <selection activeCell="C45" sqref="C45"/>
    </sheetView>
  </sheetViews>
  <sheetFormatPr defaultRowHeight="15"/>
  <cols>
    <col min="1" max="1" width="15.28515625" style="79" customWidth="1"/>
    <col min="2" max="2" width="35.28515625" style="79" customWidth="1"/>
    <col min="3" max="4" width="18.28515625" style="79" customWidth="1"/>
    <col min="5" max="7" width="16" style="79" customWidth="1"/>
    <col min="8" max="8" width="20.85546875" style="79" customWidth="1"/>
    <col min="9" max="9" width="17.85546875" style="79" customWidth="1"/>
    <col min="10" max="10" width="23.5703125" style="79" customWidth="1"/>
    <col min="11" max="11" width="17.85546875" style="79" customWidth="1"/>
    <col min="12" max="13" width="16" style="79" customWidth="1"/>
    <col min="14" max="15" width="12" style="79" customWidth="1"/>
    <col min="16" max="16" width="12.5703125" style="79" bestFit="1" customWidth="1"/>
    <col min="17" max="17" width="56.42578125" style="520" customWidth="1"/>
    <col min="18" max="16384" width="9.140625" style="79"/>
  </cols>
  <sheetData>
    <row r="1" spans="1:41" ht="45.75" thickBot="1">
      <c r="A1" s="328" t="s">
        <v>201</v>
      </c>
      <c r="B1" s="329" t="s">
        <v>202</v>
      </c>
      <c r="C1" s="330" t="s">
        <v>220</v>
      </c>
      <c r="D1" s="331" t="s">
        <v>221</v>
      </c>
      <c r="E1" s="331" t="s">
        <v>222</v>
      </c>
      <c r="F1" s="331" t="s">
        <v>223</v>
      </c>
      <c r="G1" s="331" t="s">
        <v>185</v>
      </c>
      <c r="H1" s="331" t="s">
        <v>216</v>
      </c>
      <c r="I1" s="331" t="s">
        <v>217</v>
      </c>
      <c r="J1" s="331" t="s">
        <v>219</v>
      </c>
      <c r="K1" s="331" t="s">
        <v>218</v>
      </c>
      <c r="L1" s="331" t="s">
        <v>309</v>
      </c>
      <c r="M1" s="331" t="s">
        <v>308</v>
      </c>
      <c r="N1" s="332" t="s">
        <v>274</v>
      </c>
      <c r="O1" s="332" t="s">
        <v>646</v>
      </c>
      <c r="P1" s="329" t="s">
        <v>275</v>
      </c>
      <c r="Q1" s="111" t="s">
        <v>331</v>
      </c>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row>
    <row r="2" spans="1:41">
      <c r="A2" s="1133" t="s">
        <v>196</v>
      </c>
      <c r="B2" s="51" t="s">
        <v>276</v>
      </c>
      <c r="C2" s="83">
        <f>'Prescriptive Path'!H27*(106)*1.1*1</f>
        <v>0</v>
      </c>
      <c r="D2" s="83">
        <f>'Prescriptive Path'!H27*(106)*1.1*1*(VLOOKUP('Prescriptive Path'!D4,ClimateZoneLookup!A4:N65,13,FALSE))</f>
        <v>0</v>
      </c>
      <c r="E2" s="84">
        <f>'Prescriptive Path'!H27*(106)*1.1*VLOOKUP('Prescriptive Path'!$D$4,ClimateZoneLookup!$A$1:$N$65,14)</f>
        <v>0</v>
      </c>
      <c r="F2" s="84">
        <v>0</v>
      </c>
      <c r="G2" s="4">
        <v>14</v>
      </c>
      <c r="H2" s="816" t="s">
        <v>336</v>
      </c>
      <c r="I2" s="816" t="s">
        <v>336</v>
      </c>
      <c r="J2" s="816" t="s">
        <v>336</v>
      </c>
      <c r="K2" s="816" t="s">
        <v>336</v>
      </c>
      <c r="L2" s="334">
        <f>'Prescriptive Path'!H27*106/8760*(1+VLOOKUP('Prescriptive Path'!$D$4,ClimateZoneLookup!A4:AN65,12))*1</f>
        <v>0</v>
      </c>
      <c r="M2" s="62">
        <v>0</v>
      </c>
      <c r="N2" s="335">
        <f>IF('Prescriptive Path'!$L$4="Upstate",((C2+D2)*0.1858+(E2+F2)*1.322+M2*0.003),((C2+D2)*0.1858+(E2+F2)*1.322+M2*0.007))</f>
        <v>0</v>
      </c>
      <c r="O2" s="336">
        <f t="shared" ref="O2:O24" si="0">(F2+E2)/10+(C2+D2)*3412/1000000</f>
        <v>0</v>
      </c>
      <c r="P2" s="320">
        <f t="shared" ref="P2:P24" si="1">IF(N2=0,0,G2*N2)</f>
        <v>0</v>
      </c>
      <c r="Q2" s="337" t="s">
        <v>330</v>
      </c>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row>
    <row r="3" spans="1:41">
      <c r="A3" s="1134"/>
      <c r="B3" s="13" t="s">
        <v>339</v>
      </c>
      <c r="C3" s="85">
        <f>IF('Prescriptive Path'!H36&lt;&gt;0,'Prescriptive Path'!H28*137,'Prescriptive Path'!H28*77)</f>
        <v>0</v>
      </c>
      <c r="D3" s="85">
        <v>0</v>
      </c>
      <c r="E3" s="63">
        <v>0</v>
      </c>
      <c r="F3" s="63">
        <v>0</v>
      </c>
      <c r="G3" s="12">
        <v>11</v>
      </c>
      <c r="H3" s="817" t="s">
        <v>336</v>
      </c>
      <c r="I3" s="817" t="s">
        <v>336</v>
      </c>
      <c r="J3" s="817" t="s">
        <v>336</v>
      </c>
      <c r="K3" s="817" t="s">
        <v>336</v>
      </c>
      <c r="L3" s="338">
        <f>'Prescriptive Path'!H28*0.0225*1</f>
        <v>0</v>
      </c>
      <c r="M3" s="63">
        <f>'Prescriptive Path'!H28*430</f>
        <v>0</v>
      </c>
      <c r="N3" s="339">
        <f>IF('Prescriptive Path'!$L$4="Upstate",((C3+D3)*0.1858+(E3+F3)*1.322+M3*0.003),((C3+D3)*0.1858+(E3+F3)*1.322+M3*0.007))</f>
        <v>0</v>
      </c>
      <c r="O3" s="340">
        <f t="shared" si="0"/>
        <v>0</v>
      </c>
      <c r="P3" s="320">
        <f t="shared" si="1"/>
        <v>0</v>
      </c>
      <c r="Q3" s="341" t="s">
        <v>330</v>
      </c>
    </row>
    <row r="4" spans="1:41">
      <c r="A4" s="1134"/>
      <c r="B4" s="17" t="s">
        <v>283</v>
      </c>
      <c r="C4" s="85">
        <f>(4*'Prescriptive Path'!H29)+IF('Prescriptive Path'!H31="Electric Dryer",75*'Prescriptive Path'!H29,0)+IF('Prescriptive Path'!F36=TRUE,17*'Prescriptive Path'!H29,0)</f>
        <v>0</v>
      </c>
      <c r="D4" s="85">
        <v>0</v>
      </c>
      <c r="E4" s="63">
        <v>0</v>
      </c>
      <c r="F4" s="63">
        <f>IF('Prescriptive Path'!H31="Gas Dryer",2.9*'Prescriptive Path'!H29,0)+IF('Prescriptive Path'!F33=TRUE,0.8*'Prescriptive Path'!H29,0)</f>
        <v>0</v>
      </c>
      <c r="G4" s="18">
        <v>11</v>
      </c>
      <c r="H4" s="817" t="s">
        <v>336</v>
      </c>
      <c r="I4" s="817" t="s">
        <v>336</v>
      </c>
      <c r="J4" s="817" t="s">
        <v>336</v>
      </c>
      <c r="K4" s="817" t="s">
        <v>336</v>
      </c>
      <c r="L4" s="338">
        <f>C4*0.029/295</f>
        <v>0</v>
      </c>
      <c r="M4" s="64">
        <f>6542*'Prescriptive Path'!H29</f>
        <v>0</v>
      </c>
      <c r="N4" s="339">
        <f>IF('Prescriptive Path'!$L$4="Upstate",((C4+D4)*0.1858+(E4+F4)*1.322+M4*0.003),((C4+D4)*0.1858+(E4+F4)*1.322+M4*0.007))</f>
        <v>0</v>
      </c>
      <c r="O4" s="340">
        <f t="shared" si="0"/>
        <v>0</v>
      </c>
      <c r="P4" s="321">
        <f t="shared" si="1"/>
        <v>0</v>
      </c>
      <c r="Q4" s="342" t="s">
        <v>330</v>
      </c>
    </row>
    <row r="5" spans="1:41">
      <c r="A5" s="1134"/>
      <c r="B5" s="98" t="s">
        <v>178</v>
      </c>
      <c r="C5" s="99">
        <f>((196-138)*'Prescriptive Path'!H30)+IF('Prescriptive Path'!H31="Electric Dryer",169*'Prescriptive Path'!H30,0)+IF('Prescriptive Path'!F36=TRUE,35*'Prescriptive Path'!H30,0)</f>
        <v>0</v>
      </c>
      <c r="D5" s="99">
        <v>0</v>
      </c>
      <c r="E5" s="100">
        <v>0</v>
      </c>
      <c r="F5" s="100">
        <f>IF('Prescriptive Path'!H31="Gas Dryer",6.5*'Prescriptive Path'!H30,0)+IF('Prescriptive Path'!F33=TRUE,1.6*'Prescriptive Path'!H30,0)</f>
        <v>0</v>
      </c>
      <c r="G5" s="101">
        <v>11</v>
      </c>
      <c r="H5" s="818" t="s">
        <v>336</v>
      </c>
      <c r="I5" s="818" t="s">
        <v>336</v>
      </c>
      <c r="J5" s="818" t="s">
        <v>336</v>
      </c>
      <c r="K5" s="818" t="s">
        <v>336</v>
      </c>
      <c r="L5" s="338">
        <f>C5*0.029/1241</f>
        <v>0</v>
      </c>
      <c r="M5" s="100">
        <f>15854*'Prescriptive Path'!H30</f>
        <v>0</v>
      </c>
      <c r="N5" s="343">
        <f>IF('Prescriptive Path'!$L$4="Upstate",((C5+D5)*0.1858+(E5+F5)*1.322+M5*0.003),((C5+D5)*0.1858+(E5+F5)*1.322+M5*0.007))</f>
        <v>0</v>
      </c>
      <c r="O5" s="344">
        <f t="shared" si="0"/>
        <v>0</v>
      </c>
      <c r="P5" s="322">
        <f t="shared" si="1"/>
        <v>0</v>
      </c>
      <c r="Q5" s="345" t="s">
        <v>371</v>
      </c>
    </row>
    <row r="6" spans="1:41" ht="15.75" thickBot="1">
      <c r="A6" s="1136"/>
      <c r="B6" s="91" t="s">
        <v>340</v>
      </c>
      <c r="C6" s="86">
        <f>151*'Prescriptive Path'!H32</f>
        <v>0</v>
      </c>
      <c r="D6" s="86">
        <v>0</v>
      </c>
      <c r="E6" s="65">
        <v>0</v>
      </c>
      <c r="F6" s="65">
        <v>0</v>
      </c>
      <c r="G6" s="14">
        <v>10</v>
      </c>
      <c r="H6" s="819" t="s">
        <v>336</v>
      </c>
      <c r="I6" s="819" t="s">
        <v>336</v>
      </c>
      <c r="J6" s="819" t="s">
        <v>336</v>
      </c>
      <c r="K6" s="819" t="s">
        <v>336</v>
      </c>
      <c r="L6" s="346">
        <f>0.06*(C6+D6)/8760</f>
        <v>0</v>
      </c>
      <c r="M6" s="65">
        <v>0</v>
      </c>
      <c r="N6" s="347">
        <f>IF('Prescriptive Path'!$L$4="Upstate",((C6+D6)*0.1858+(E6+F6)*1.322+M6*0.003),((C6+D6)*0.1858+(E6+F6)*1.322+M6*0.007))</f>
        <v>0</v>
      </c>
      <c r="O6" s="348">
        <f t="shared" si="0"/>
        <v>0</v>
      </c>
      <c r="P6" s="323">
        <f t="shared" si="1"/>
        <v>0</v>
      </c>
      <c r="Q6" s="349" t="s">
        <v>341</v>
      </c>
    </row>
    <row r="7" spans="1:41">
      <c r="A7" s="1137" t="s">
        <v>37</v>
      </c>
      <c r="B7" s="350" t="s">
        <v>182</v>
      </c>
      <c r="C7" s="351">
        <v>0</v>
      </c>
      <c r="D7" s="351">
        <v>0</v>
      </c>
      <c r="E7" s="352">
        <v>0</v>
      </c>
      <c r="F7" s="352">
        <f>IF('Prescriptive Path'!$H$33=0,0,Proposed!$D$82*365*8.33/100000*((140-VLOOKUP('Prescriptive Path'!$D$4,ClimateZoneLookup!$A$4:$J$65,10,FALSE)))*((1/Baseline!$D$8)-(1/Proposed!D8)))</f>
        <v>0</v>
      </c>
      <c r="G7" s="353">
        <v>11</v>
      </c>
      <c r="H7" s="820" t="s">
        <v>336</v>
      </c>
      <c r="I7" s="820" t="s">
        <v>336</v>
      </c>
      <c r="J7" s="820" t="s">
        <v>336</v>
      </c>
      <c r="K7" s="820" t="s">
        <v>336</v>
      </c>
      <c r="L7" s="354">
        <f>IF(F7=0,0,'Prescriptive Path'!H33*(Baseline!D8-Proposed!H8)*(120-70)/3412)</f>
        <v>0</v>
      </c>
      <c r="M7" s="352">
        <v>0</v>
      </c>
      <c r="N7" s="355">
        <f>IF('Prescriptive Path'!$L$4="Upstate",((C7+D7)*0.1858+(E7+F7)*1.322+M7*0.003),((C7+D7)*0.1858+(E7+F7)*1.322+M7*0.007))</f>
        <v>0</v>
      </c>
      <c r="O7" s="356">
        <f t="shared" si="0"/>
        <v>0</v>
      </c>
      <c r="P7" s="357">
        <f t="shared" si="1"/>
        <v>0</v>
      </c>
      <c r="Q7" s="358" t="s">
        <v>330</v>
      </c>
    </row>
    <row r="8" spans="1:41">
      <c r="A8" s="1138"/>
      <c r="B8" s="359" t="s">
        <v>183</v>
      </c>
      <c r="C8" s="360">
        <f>IF('Prescriptive Path'!$H$36=0,0,Proposed!$D$82*365*8.33/3412*((140-VLOOKUP('Prescriptive Path'!$D$4,ClimateZoneLookup!$A$4:$J$65,10,FALSE)))*((1/Baseline!$D$9)-(1/Proposed!$D$9)))</f>
        <v>0</v>
      </c>
      <c r="D8" s="360">
        <v>0</v>
      </c>
      <c r="E8" s="361">
        <v>0</v>
      </c>
      <c r="F8" s="361">
        <v>0</v>
      </c>
      <c r="G8" s="362">
        <v>13</v>
      </c>
      <c r="H8" s="820" t="s">
        <v>336</v>
      </c>
      <c r="I8" s="820" t="s">
        <v>336</v>
      </c>
      <c r="J8" s="820" t="s">
        <v>336</v>
      </c>
      <c r="K8" s="820" t="s">
        <v>336</v>
      </c>
      <c r="L8" s="363">
        <f>IF(C8=0,0,'Prescriptive Path'!H36*(Baseline!D9-Proposed!H9)*(120-70)/3412)</f>
        <v>0</v>
      </c>
      <c r="M8" s="361">
        <v>0</v>
      </c>
      <c r="N8" s="364">
        <f>IF('Prescriptive Path'!$L$4="Upstate",((C8+D8)*0.1858+(E8+F8)*1.322+M8*0.003),((C8+D8)*0.1858+(E8+F8)*1.322+M8*0.007))</f>
        <v>0</v>
      </c>
      <c r="O8" s="365">
        <f t="shared" si="0"/>
        <v>0</v>
      </c>
      <c r="P8" s="366">
        <f t="shared" si="1"/>
        <v>0</v>
      </c>
      <c r="Q8" s="358" t="s">
        <v>330</v>
      </c>
    </row>
    <row r="9" spans="1:41">
      <c r="A9" s="1139"/>
      <c r="B9" s="359" t="s">
        <v>346</v>
      </c>
      <c r="C9" s="360">
        <v>0</v>
      </c>
      <c r="D9" s="360">
        <v>0</v>
      </c>
      <c r="E9" s="361">
        <v>0</v>
      </c>
      <c r="F9" s="361">
        <f>IF('Prescriptive Path'!$H$39=0,0,Proposed!$D$82*365*8.33/100000*((140-VLOOKUP('Prescriptive Path'!$D$4,ClimateZoneLookup!$A$4:$J$65,10,FALSE)))*(1/Baseline!R10-1/Proposed!D10)+(7.85/Baseline!R10-5.4/Proposed!D10)*(70)/100000*8760)</f>
        <v>0</v>
      </c>
      <c r="G9" s="362">
        <v>25</v>
      </c>
      <c r="H9" s="820" t="s">
        <v>336</v>
      </c>
      <c r="I9" s="820" t="s">
        <v>336</v>
      </c>
      <c r="J9" s="820" t="s">
        <v>336</v>
      </c>
      <c r="K9" s="820" t="s">
        <v>336</v>
      </c>
      <c r="L9" s="363">
        <v>0</v>
      </c>
      <c r="M9" s="361">
        <v>0</v>
      </c>
      <c r="N9" s="364">
        <f>IF('Prescriptive Path'!$L$4="Upstate",((C9+D9)*0.1858+(E9+F9)*1.322+M9*0.003),((C9+D9)*0.1858+(E9+F9)*1.322+M9*0.007))</f>
        <v>0</v>
      </c>
      <c r="O9" s="365">
        <f t="shared" si="0"/>
        <v>0</v>
      </c>
      <c r="P9" s="366">
        <f t="shared" si="1"/>
        <v>0</v>
      </c>
      <c r="Q9" s="358" t="s">
        <v>330</v>
      </c>
    </row>
    <row r="10" spans="1:41" ht="15.75" thickBot="1">
      <c r="A10" s="1140"/>
      <c r="B10" s="54" t="s">
        <v>32</v>
      </c>
      <c r="C10" s="367">
        <f>Proposed!V11+Proposed!V12</f>
        <v>0</v>
      </c>
      <c r="D10" s="367">
        <v>0</v>
      </c>
      <c r="E10" s="368">
        <v>0</v>
      </c>
      <c r="F10" s="368">
        <f>Proposed!W11+Proposed!W12</f>
        <v>0</v>
      </c>
      <c r="G10" s="369">
        <v>10</v>
      </c>
      <c r="H10" s="821" t="s">
        <v>336</v>
      </c>
      <c r="I10" s="822" t="s">
        <v>336</v>
      </c>
      <c r="J10" s="822" t="s">
        <v>336</v>
      </c>
      <c r="K10" s="822" t="s">
        <v>336</v>
      </c>
      <c r="L10" s="370">
        <v>0</v>
      </c>
      <c r="M10" s="368">
        <f>'Prescriptive Path'!H40*2*365*((2.5-1.75)*0.75*(450/60)+(2.5-1)*5*(15/60)+(2.5-2)*4*(60/60))</f>
        <v>0</v>
      </c>
      <c r="N10" s="371">
        <f>IF('Prescriptive Path'!$L$4="Upstate",((C10+D10)*0.1858+(E10+F10)*1.322+M10*0.003),((C10+D10)*0.1858+(E10+F10)*1.322+M10*0.007))</f>
        <v>0</v>
      </c>
      <c r="O10" s="372">
        <f t="shared" si="0"/>
        <v>0</v>
      </c>
      <c r="P10" s="373">
        <f t="shared" si="1"/>
        <v>0</v>
      </c>
      <c r="Q10" s="374" t="s">
        <v>330</v>
      </c>
    </row>
    <row r="11" spans="1:41" ht="15" customHeight="1">
      <c r="A11" s="1141" t="s">
        <v>26</v>
      </c>
      <c r="B11" s="49" t="s">
        <v>89</v>
      </c>
      <c r="C11" s="375">
        <v>0</v>
      </c>
      <c r="D11" s="376">
        <f>IF('Prescriptive Path'!I6="No",'Prescriptive Path'!H10/1000*VLOOKUP('Prescriptive Path'!$D$4,ClimateZoneLookup!$A$2:$AS$65,20)*Baseline!$D$80/Proposed!$D$87,'Prescriptive Path'!H10/1000*'Gut Rehab Envelope'!F15*Baseline!$D$80/Proposed!$D$87)</f>
        <v>0</v>
      </c>
      <c r="E11" s="376">
        <f>IF('Prescriptive Path'!I6="No",'Prescriptive Path'!H10/1000*VLOOKUP('Prescriptive Path'!$D$4,ClimateZoneLookup!$A$4:$AS$65,22)*Baseline!$D$81/Proposed!$D$88,'Prescriptive Path'!H10/1000*'Gut Rehab Envelope'!H15*Baseline!$D$81/Proposed!$D$88)</f>
        <v>0</v>
      </c>
      <c r="F11" s="376">
        <v>0</v>
      </c>
      <c r="G11" s="377">
        <v>30</v>
      </c>
      <c r="H11" s="823" t="s">
        <v>336</v>
      </c>
      <c r="I11" s="824" t="s">
        <v>336</v>
      </c>
      <c r="J11" s="824" t="s">
        <v>336</v>
      </c>
      <c r="K11" s="824" t="s">
        <v>336</v>
      </c>
      <c r="L11" s="378">
        <f>IF('Prescriptive Path'!I6="No",'Prescriptive Path'!H10/1000*VLOOKUP('Prescriptive Path'!$D$4,ClimateZoneLookup!$A$4:$AN$65,21)*Baseline!$D$80/Proposed!$D$87,'Prescriptive Path'!H10/1000*'Gut Rehab Envelope'!G15*Baseline!$D$80/Proposed!$D$87)</f>
        <v>0</v>
      </c>
      <c r="M11" s="376">
        <v>0</v>
      </c>
      <c r="N11" s="379">
        <f>IF('Prescriptive Path'!$L$4="Upstate",((C11+D11)*0.1858+(E11+F11)*1.322+M11*0.003),((C11+D11)*0.1858+(E11+F11)*1.322+M11*0.007))</f>
        <v>0</v>
      </c>
      <c r="O11" s="380">
        <f t="shared" si="0"/>
        <v>0</v>
      </c>
      <c r="P11" s="381">
        <f t="shared" si="1"/>
        <v>0</v>
      </c>
      <c r="Q11" s="341" t="s">
        <v>330</v>
      </c>
    </row>
    <row r="12" spans="1:41">
      <c r="A12" s="1142"/>
      <c r="B12" s="66" t="s">
        <v>48</v>
      </c>
      <c r="C12" s="382">
        <v>0</v>
      </c>
      <c r="D12" s="383">
        <f>IF('Prescriptive Path'!I6="No",'Prescriptive Path'!H11/1000*VLOOKUP('Prescriptive Path'!$D$4,ClimateZoneLookup!$A$2:$AN$65,23)*Baseline!$D$80/Proposed!$D$87,'Prescriptive Path'!H11/1000*'Gut Rehab Envelope'!F16*Baseline!$D$80/Proposed!$D$87)</f>
        <v>0</v>
      </c>
      <c r="E12" s="383">
        <f>IF('Prescriptive Path'!I6="No",'Prescriptive Path'!H11/1000*VLOOKUP('Prescriptive Path'!$D$4,ClimateZoneLookup!$A$4:$AN$65,25)*Baseline!$D$81/Proposed!$D$88,'Prescriptive Path'!H11/1000*'Gut Rehab Envelope'!H16*Baseline!$D$81/Proposed!$D$88)</f>
        <v>0</v>
      </c>
      <c r="F12" s="383">
        <v>0</v>
      </c>
      <c r="G12" s="384">
        <v>30</v>
      </c>
      <c r="H12" s="825" t="s">
        <v>336</v>
      </c>
      <c r="I12" s="825" t="s">
        <v>336</v>
      </c>
      <c r="J12" s="825" t="s">
        <v>336</v>
      </c>
      <c r="K12" s="825" t="s">
        <v>336</v>
      </c>
      <c r="L12" s="338">
        <f>IF('Prescriptive Path'!I6="No",'Prescriptive Path'!H11/1000*VLOOKUP('Prescriptive Path'!$D$4,ClimateZoneLookup!$A$4:$AN$65,24)*Baseline!$D$80/Proposed!$D$87,'Prescriptive Path'!H11/1000*'Gut Rehab Envelope'!G16*Baseline!$D$80/Proposed!$D$87)</f>
        <v>0</v>
      </c>
      <c r="M12" s="383">
        <v>0</v>
      </c>
      <c r="N12" s="339">
        <f>IF('Prescriptive Path'!$L$4="Upstate",((C12+D12)*0.1858+(E12+F12)*1.322+M12*0.003),((C12+D12)*0.1858+(E12+F12)*1.322+M12*0.007))</f>
        <v>0</v>
      </c>
      <c r="O12" s="340">
        <f t="shared" si="0"/>
        <v>0</v>
      </c>
      <c r="P12" s="385">
        <f t="shared" si="1"/>
        <v>0</v>
      </c>
      <c r="Q12" s="342" t="s">
        <v>330</v>
      </c>
    </row>
    <row r="13" spans="1:41" ht="15.75" thickBot="1">
      <c r="A13" s="1143"/>
      <c r="B13" s="50" t="s">
        <v>50</v>
      </c>
      <c r="C13" s="386">
        <v>0</v>
      </c>
      <c r="D13" s="387">
        <f>IF('Prescriptive Path'!I6="No",'Prescriptive Path'!H12/1000*VLOOKUP('Prescriptive Path'!$D$4,ClimateZoneLookup!$A$2:$AN$65,26)*Baseline!$D$80/Proposed!$D$87,'Prescriptive Path'!H12/1000*'Gut Rehab Envelope'!F17*Baseline!$D$80/Proposed!$D$87)</f>
        <v>0</v>
      </c>
      <c r="E13" s="387">
        <f>IF('Prescriptive Path'!I6="No",'Prescriptive Path'!H12/1000*VLOOKUP('Prescriptive Path'!$D$4,ClimateZoneLookup!$A$4:$AN$65,28)*Baseline!$D$81/Proposed!$D$88,'Prescriptive Path'!H12/1000*'Gut Rehab Envelope'!H17*Baseline!$D$81/Proposed!$D$88)</f>
        <v>0</v>
      </c>
      <c r="F13" s="387">
        <v>0</v>
      </c>
      <c r="G13" s="388">
        <v>30</v>
      </c>
      <c r="H13" s="826" t="s">
        <v>336</v>
      </c>
      <c r="I13" s="826" t="s">
        <v>336</v>
      </c>
      <c r="J13" s="826" t="s">
        <v>336</v>
      </c>
      <c r="K13" s="826" t="s">
        <v>336</v>
      </c>
      <c r="L13" s="346">
        <f>IF('Prescriptive Path'!I6="No",'Prescriptive Path'!H12/1000*VLOOKUP('Prescriptive Path'!$D$4,ClimateZoneLookup!$A$4:$AN$65,27)*Baseline!$D$80/Proposed!$D$87,'Prescriptive Path'!H12/1000*'Gut Rehab Envelope'!G17*Baseline!$D$80/Proposed!$D$87)</f>
        <v>0</v>
      </c>
      <c r="M13" s="387">
        <v>0</v>
      </c>
      <c r="N13" s="347">
        <f>IF('Prescriptive Path'!$L$4="Upstate",((C13+D13)*0.1858+(E13+F13)*1.322+M13*0.003),((C13+D13)*0.1858+(E13+F13)*1.322+M13*0.007))</f>
        <v>0</v>
      </c>
      <c r="O13" s="348">
        <f t="shared" si="0"/>
        <v>0</v>
      </c>
      <c r="P13" s="389">
        <f t="shared" si="1"/>
        <v>0</v>
      </c>
      <c r="Q13" s="349" t="s">
        <v>330</v>
      </c>
    </row>
    <row r="14" spans="1:41">
      <c r="A14" s="1144" t="s">
        <v>56</v>
      </c>
      <c r="B14" s="390" t="s">
        <v>87</v>
      </c>
      <c r="C14" s="391">
        <v>0</v>
      </c>
      <c r="D14" s="392">
        <f>IF('Prescriptive Path'!I6="No",'Prescriptive Path'!H13/1000*VLOOKUP('Prescriptive Path'!$D$4,ClimateZoneLookup!$A$2:$AN$65,29)*Baseline!$D$80/Proposed!$D$87,'Prescriptive Path'!H13/1000*'Gut Rehab Envelope'!F18*Baseline!$D$80/Proposed!$D$87)</f>
        <v>0</v>
      </c>
      <c r="E14" s="392">
        <f>IF('Prescriptive Path'!I6="No",'Prescriptive Path'!H13/1000*VLOOKUP('Prescriptive Path'!$D$4,ClimateZoneLookup!$A$4:$AN$65,31)*Baseline!$D$81/Proposed!$D$88,'Prescriptive Path'!H13/1000*'Gut Rehab Envelope'!H18*Baseline!$D$81/Proposed!$D$88)</f>
        <v>0</v>
      </c>
      <c r="F14" s="392">
        <v>0</v>
      </c>
      <c r="G14" s="393">
        <v>30</v>
      </c>
      <c r="H14" s="827" t="s">
        <v>336</v>
      </c>
      <c r="I14" s="827" t="s">
        <v>336</v>
      </c>
      <c r="J14" s="827" t="s">
        <v>336</v>
      </c>
      <c r="K14" s="827" t="s">
        <v>336</v>
      </c>
      <c r="L14" s="394">
        <f>IF('Prescriptive Path'!I6="No",'Prescriptive Path'!H13/1000*VLOOKUP('Prescriptive Path'!$D$4,ClimateZoneLookup!$A$4:$AN$65,30)*Baseline!$D$80/Proposed!$D$87,'Prescriptive Path'!H13/1000*'Gut Rehab Envelope'!G18*Baseline!$D$80/Proposed!$D$87)</f>
        <v>0</v>
      </c>
      <c r="M14" s="392">
        <v>0</v>
      </c>
      <c r="N14" s="355">
        <f>IF('Prescriptive Path'!$L$4="Upstate",((C14+D14)*0.1858+(E14+F14)*1.322+M14*0.003),((C14+D14)*0.1858+(E14+F14)*1.322+M14*0.007))</f>
        <v>0</v>
      </c>
      <c r="O14" s="356">
        <f t="shared" si="0"/>
        <v>0</v>
      </c>
      <c r="P14" s="395">
        <f t="shared" si="1"/>
        <v>0</v>
      </c>
      <c r="Q14" s="358" t="s">
        <v>330</v>
      </c>
    </row>
    <row r="15" spans="1:41">
      <c r="A15" s="1145"/>
      <c r="B15" s="359" t="s">
        <v>90</v>
      </c>
      <c r="C15" s="396">
        <v>0</v>
      </c>
      <c r="D15" s="397">
        <f>IF('Prescriptive Path'!I6="No",'Prescriptive Path'!H14/1000*VLOOKUP('Prescriptive Path'!$D$4,ClimateZoneLookup!$A$2:$AN$65,32)*Baseline!$D$80/Proposed!$D$87,'Prescriptive Path'!H14/1000*'Gut Rehab Envelope'!F19*Baseline!$D$80/Proposed!$D$87)</f>
        <v>0</v>
      </c>
      <c r="E15" s="397">
        <f>IF('Prescriptive Path'!I6="No",'Prescriptive Path'!H14/1000*VLOOKUP('Prescriptive Path'!$D$4,ClimateZoneLookup!$A$4:$AN$65,34)*Baseline!$D$81/Proposed!$D$88,'Prescriptive Path'!H14/1000*'Gut Rehab Envelope'!H19*Baseline!$D$81/Proposed!$D$88)</f>
        <v>0</v>
      </c>
      <c r="F15" s="397">
        <v>0</v>
      </c>
      <c r="G15" s="398">
        <v>30</v>
      </c>
      <c r="H15" s="828" t="s">
        <v>336</v>
      </c>
      <c r="I15" s="828" t="s">
        <v>336</v>
      </c>
      <c r="J15" s="828" t="s">
        <v>336</v>
      </c>
      <c r="K15" s="828" t="s">
        <v>336</v>
      </c>
      <c r="L15" s="399">
        <f>IF('Prescriptive Path'!I6="No",'Prescriptive Path'!H14/1000*VLOOKUP('Prescriptive Path'!$D$4,ClimateZoneLookup!$A$4:$AN$65,33)*Baseline!$D$80/Proposed!$D$87,'Prescriptive Path'!H14/1000*'Gut Rehab Envelope'!G19*Baseline!$D$80/Proposed!$D$87)</f>
        <v>0</v>
      </c>
      <c r="M15" s="397">
        <v>0</v>
      </c>
      <c r="N15" s="364">
        <f>IF('Prescriptive Path'!$L$4="Upstate",((C15+D15)*0.1858+(E15+F15)*1.322+M15*0.003),((C15+D15)*0.1858+(E15+F15)*1.322+M15*0.007))</f>
        <v>0</v>
      </c>
      <c r="O15" s="365">
        <f t="shared" si="0"/>
        <v>0</v>
      </c>
      <c r="P15" s="400">
        <f t="shared" si="1"/>
        <v>0</v>
      </c>
      <c r="Q15" s="401" t="s">
        <v>330</v>
      </c>
    </row>
    <row r="16" spans="1:41">
      <c r="A16" s="1145"/>
      <c r="B16" s="359" t="s">
        <v>210</v>
      </c>
      <c r="C16" s="396">
        <v>0</v>
      </c>
      <c r="D16" s="397">
        <f>IF('Prescriptive Path'!I6="No",'Prescriptive Path'!H15/1000*VLOOKUP('Prescriptive Path'!$D$4,ClimateZoneLookup!$A$2:$AN$65,35)*Baseline!$D$80/Proposed!$D$87,'Prescriptive Path'!H15/1000*'Gut Rehab Envelope'!F20*Baseline!$D$80/Proposed!$D$87)</f>
        <v>0</v>
      </c>
      <c r="E16" s="397">
        <f>IF('Prescriptive Path'!I6="No",'Prescriptive Path'!H15/1000*VLOOKUP('Prescriptive Path'!$D$4,ClimateZoneLookup!$A$4:$AN$65,37)*Baseline!$D$81/Proposed!$D$88,'Prescriptive Path'!H15/1000*'Gut Rehab Envelope'!H20*Baseline!$D$81/Proposed!$D$88)</f>
        <v>0</v>
      </c>
      <c r="F16" s="397">
        <v>0</v>
      </c>
      <c r="G16" s="398">
        <v>30</v>
      </c>
      <c r="H16" s="828" t="s">
        <v>336</v>
      </c>
      <c r="I16" s="828" t="s">
        <v>336</v>
      </c>
      <c r="J16" s="828" t="s">
        <v>336</v>
      </c>
      <c r="K16" s="828" t="s">
        <v>336</v>
      </c>
      <c r="L16" s="399">
        <f>IF('Prescriptive Path'!I6="No",'Prescriptive Path'!H15/1000*VLOOKUP('Prescriptive Path'!$D$4,ClimateZoneLookup!$A$4:$AN$65,36)*Baseline!$D$80/Proposed!$D$87,'Prescriptive Path'!H15/1000*'Gut Rehab Envelope'!G20*Baseline!$D$80/Proposed!$D$87)</f>
        <v>0</v>
      </c>
      <c r="M16" s="397">
        <v>0</v>
      </c>
      <c r="N16" s="364">
        <f>IF('Prescriptive Path'!$L$4="Upstate",((C16+D16)*0.1858+(E16+F16)*1.322+M16*0.003),((C16+D16)*0.1858+(E16+F16)*1.322+M16*0.007))</f>
        <v>0</v>
      </c>
      <c r="O16" s="365">
        <f t="shared" si="0"/>
        <v>0</v>
      </c>
      <c r="P16" s="400">
        <f t="shared" si="1"/>
        <v>0</v>
      </c>
      <c r="Q16" s="401" t="s">
        <v>330</v>
      </c>
    </row>
    <row r="17" spans="1:28" ht="15.75" thickBot="1">
      <c r="A17" s="1146"/>
      <c r="B17" s="54" t="s">
        <v>227</v>
      </c>
      <c r="C17" s="402">
        <v>0</v>
      </c>
      <c r="D17" s="403">
        <f>IF('Prescriptive Path'!I6="No",'Prescriptive Path'!H16/1000*VLOOKUP('Prescriptive Path'!$D$4,ClimateZoneLookup!$A$2:$AN$65,38)*Baseline!$D$80/Proposed!$D$87,'Prescriptive Path'!H16/1000*'Gut Rehab Envelope'!F21*Baseline!$D$80/Proposed!$D$87)</f>
        <v>0</v>
      </c>
      <c r="E17" s="403">
        <f>IF('Prescriptive Path'!I6="No",'Prescriptive Path'!H16/1000*VLOOKUP('Prescriptive Path'!$D$4,ClimateZoneLookup!$A$4:$AN$65,40)*Baseline!$D$81/Proposed!$D$88,'Prescriptive Path'!H16/1000*'Gut Rehab Envelope'!H21*Baseline!$D$81/Proposed!$D$88)</f>
        <v>0</v>
      </c>
      <c r="F17" s="403">
        <v>0</v>
      </c>
      <c r="G17" s="404">
        <v>30</v>
      </c>
      <c r="H17" s="829" t="s">
        <v>336</v>
      </c>
      <c r="I17" s="829" t="s">
        <v>336</v>
      </c>
      <c r="J17" s="829" t="s">
        <v>336</v>
      </c>
      <c r="K17" s="829" t="s">
        <v>336</v>
      </c>
      <c r="L17" s="405">
        <f>IF('Prescriptive Path'!I6="No",'Prescriptive Path'!H16/1000*VLOOKUP('Prescriptive Path'!$D$4,ClimateZoneLookup!$A$4:$AN$65,39)*Baseline!$D$80/Proposed!$D$87,'Prescriptive Path'!H16/1000*'Gut Rehab Envelope'!G21*Baseline!$D$80/Proposed!$D$87)</f>
        <v>0</v>
      </c>
      <c r="M17" s="403">
        <v>0</v>
      </c>
      <c r="N17" s="406">
        <f>IF('Prescriptive Path'!$L$4="Upstate",((C17+D17)*0.1858+(E17+F17)*1.322+M17*0.003),((C17+D17)*0.1858+(E17+F17)*1.322+M17*0.007))</f>
        <v>0</v>
      </c>
      <c r="O17" s="407">
        <f t="shared" si="0"/>
        <v>0</v>
      </c>
      <c r="P17" s="408">
        <f t="shared" si="1"/>
        <v>0</v>
      </c>
      <c r="Q17" s="409" t="s">
        <v>330</v>
      </c>
    </row>
    <row r="18" spans="1:28" ht="26.25" thickBot="1">
      <c r="A18" s="410" t="s">
        <v>57</v>
      </c>
      <c r="B18" s="285" t="s">
        <v>3</v>
      </c>
      <c r="C18" s="411">
        <v>0</v>
      </c>
      <c r="D18" s="412">
        <f>IF('Prescriptive Path'!H17="",0,IF('Prescriptive Path'!I6="No",(Baseline!R21-Proposed!U21)*(68-(50-18))*'Prescriptive Path'!H17*VLOOKUP('Prescriptive Path'!$D$4,ClimateZoneLookup!$A$4:$AS$65,11,FALSE)/(1000*Proposed!$D$86),('Gut Rehab Envelope'!E26-Proposed!U21)*(68-(50-18))*'Prescriptive Path'!H17*VLOOKUP('Prescriptive Path'!$D$4,ClimateZoneLookup!$A$4:$AS$65,11,FALSE)/(1000*Proposed!$D$86)))</f>
        <v>0</v>
      </c>
      <c r="E18" s="412">
        <f>IF('Prescriptive Path'!H17="",0,IF('Prescriptive Path'!I6="No",(Baseline!R21-Proposed!U21)*(68-(50-18))*'Prescriptive Path'!H17*VLOOKUP('Prescriptive Path'!$D$4,ClimateZoneLookup!A4:E65,5,FALSE)/100000/Proposed!$D$88,('Gut Rehab Envelope'!E26-Proposed!U21)*(68-(50-18))*'Prescriptive Path'!H17*VLOOKUP('Prescriptive Path'!$D$4,ClimateZoneLookup!A4:E65,5,FALSE)/100000/Proposed!$D$88))</f>
        <v>0</v>
      </c>
      <c r="F18" s="412">
        <v>0</v>
      </c>
      <c r="G18" s="413">
        <v>30</v>
      </c>
      <c r="H18" s="830">
        <v>0</v>
      </c>
      <c r="I18" s="830">
        <v>1.8500000000000001E-3</v>
      </c>
      <c r="J18" s="830">
        <v>0</v>
      </c>
      <c r="K18" s="830">
        <v>1.1299999999999999E-3</v>
      </c>
      <c r="L18" s="414">
        <f>IF('Prescriptive Path'!$K$1=4,C18*J18+D18*K18,C18*H18+D18*I18)</f>
        <v>0</v>
      </c>
      <c r="M18" s="412">
        <v>0</v>
      </c>
      <c r="N18" s="415">
        <f>IF('Prescriptive Path'!$L$4="Upstate",((C18+D18)*0.1858+(E18+F18)*1.322+M18*0.003),((C18+D18)*0.1858+(E18+F18)*1.322+M18*0.007))</f>
        <v>0</v>
      </c>
      <c r="O18" s="416">
        <f t="shared" si="0"/>
        <v>0</v>
      </c>
      <c r="P18" s="417">
        <f t="shared" si="1"/>
        <v>0</v>
      </c>
      <c r="Q18" s="418" t="s">
        <v>333</v>
      </c>
    </row>
    <row r="19" spans="1:28">
      <c r="A19" s="1147" t="s">
        <v>58</v>
      </c>
      <c r="B19" s="55" t="s">
        <v>88</v>
      </c>
      <c r="C19" s="419">
        <v>0</v>
      </c>
      <c r="D19" s="392">
        <f>IF('Prescriptive Path'!H18="",0,IF('Prescriptive Path'!I6="No",(Baseline!R23-Proposed!U23)*'Prescriptive Path'!H18*24*VLOOKUP('Prescriptive Path'!$D$4,ClimateZoneLookup!$A$4:$K$65,11,FALSE)/(1000*Proposed!$D$86),('Gut Rehab Envelope'!E27-Proposed!U23)*'Prescriptive Path'!H18*24*VLOOKUP('Prescriptive Path'!$D$4,ClimateZoneLookup!$A$4:$K$65,11,FALSE)/(1000*Proposed!$D$86)))</f>
        <v>0</v>
      </c>
      <c r="E19" s="420">
        <f>IF('Prescriptive Path'!H18="",0,IF('Prescriptive Path'!I6="No",(Baseline!R23-Proposed!U23)*'Prescriptive Path'!H18*24*VLOOKUP('Prescriptive Path'!$D$4,ClimateZoneLookup!$A$4:$E$65,5,FALSE)/100000/Proposed!$D$88,('Gut Rehab Envelope'!E27-Proposed!U23)*'Prescriptive Path'!H18*24*VLOOKUP('Prescriptive Path'!$D$4,ClimateZoneLookup!$A$4:$E$65,5,FALSE)/100000/Proposed!$D$88))</f>
        <v>0</v>
      </c>
      <c r="F19" s="392">
        <v>0</v>
      </c>
      <c r="G19" s="393">
        <v>30</v>
      </c>
      <c r="H19" s="827">
        <v>0</v>
      </c>
      <c r="I19" s="827">
        <v>1.8500000000000001E-3</v>
      </c>
      <c r="J19" s="827">
        <v>0</v>
      </c>
      <c r="K19" s="827">
        <v>1.1299999999999999E-3</v>
      </c>
      <c r="L19" s="394">
        <f>IF('Prescriptive Path'!$K$1=4,C19*J19+D19*K19,C19*H19+D19*I19)</f>
        <v>0</v>
      </c>
      <c r="M19" s="392">
        <v>0</v>
      </c>
      <c r="N19" s="355">
        <f>IF('Prescriptive Path'!$L$4="Upstate",((C19+D19)*0.1858+(E19+F19)*1.322+M19*0.003),((C19+D19)*0.1858+(E19+F19)*1.322+M19*0.007))</f>
        <v>0</v>
      </c>
      <c r="O19" s="356">
        <f t="shared" si="0"/>
        <v>0</v>
      </c>
      <c r="P19" s="395">
        <f t="shared" si="1"/>
        <v>0</v>
      </c>
      <c r="Q19" s="358" t="s">
        <v>333</v>
      </c>
    </row>
    <row r="20" spans="1:28">
      <c r="A20" s="1145"/>
      <c r="B20" s="56" t="s">
        <v>60</v>
      </c>
      <c r="C20" s="421">
        <v>0</v>
      </c>
      <c r="D20" s="397">
        <f>IF('Prescriptive Path'!H19="",0,IF('Prescriptive Path'!I6="No",(Baseline!R24-Proposed!U24)*'Prescriptive Path'!H19*24*VLOOKUP('Prescriptive Path'!$D$4,ClimateZoneLookup!$A$4:$K$65,11,FALSE)/(1000*Proposed!$D$86),('Gut Rehab Envelope'!E28-Proposed!U24)*'Prescriptive Path'!H19*24*VLOOKUP('Prescriptive Path'!$D$4,ClimateZoneLookup!$A$4:$K$65,11,FALSE)/(1000*Proposed!$D$86)))</f>
        <v>0</v>
      </c>
      <c r="E20" s="403">
        <f>IF('Prescriptive Path'!H19="",0,IF('Prescriptive Path'!I6="No",(Baseline!R24-Proposed!U24)*'Prescriptive Path'!H19*24*VLOOKUP('Prescriptive Path'!$D$4,ClimateZoneLookup!$A$4:$E$65,5,FALSE)/100000/Proposed!$D$88,('Gut Rehab Envelope'!E28-Proposed!U24)*'Prescriptive Path'!H19*24*VLOOKUP('Prescriptive Path'!$D$4,ClimateZoneLookup!$A$4:$E$65,5,FALSE)/100000/Proposed!$D$88))</f>
        <v>0</v>
      </c>
      <c r="F20" s="397">
        <v>0</v>
      </c>
      <c r="G20" s="398">
        <v>30</v>
      </c>
      <c r="H20" s="828">
        <v>0</v>
      </c>
      <c r="I20" s="828">
        <v>1.8500000000000001E-3</v>
      </c>
      <c r="J20" s="828">
        <v>0</v>
      </c>
      <c r="K20" s="828">
        <v>1.1299999999999999E-3</v>
      </c>
      <c r="L20" s="399">
        <f>IF('Prescriptive Path'!$K$1=4,C20*J20+D20*K20,C20*H20+D20*I20)</f>
        <v>0</v>
      </c>
      <c r="M20" s="397">
        <v>0</v>
      </c>
      <c r="N20" s="364">
        <f>IF('Prescriptive Path'!$L$4="Upstate",((C20+D20)*0.1858+(E20+F20)*1.322+M20*0.003),((C20+D20)*0.1858+(E20+F20)*1.322+M20*0.007))</f>
        <v>0</v>
      </c>
      <c r="O20" s="365">
        <f t="shared" si="0"/>
        <v>0</v>
      </c>
      <c r="P20" s="400">
        <f t="shared" si="1"/>
        <v>0</v>
      </c>
      <c r="Q20" s="401" t="s">
        <v>333</v>
      </c>
    </row>
    <row r="21" spans="1:28" ht="15.75" thickBot="1">
      <c r="A21" s="1148"/>
      <c r="B21" s="287" t="s">
        <v>71</v>
      </c>
      <c r="C21" s="422">
        <v>0</v>
      </c>
      <c r="D21" s="403">
        <f>IF('Prescriptive Path'!H20="",0,IF('Prescriptive Path'!I6="No",(Baseline!R25-Proposed!U25)*'Prescriptive Path'!H20*24*VLOOKUP('Prescriptive Path'!$D$4,ClimateZoneLookup!$A$4:$K$65,11,FALSE)/(1000*Proposed!$D$86),('Gut Rehab Envelope'!E29-Proposed!U25)*'Prescriptive Path'!H20*24*VLOOKUP('Prescriptive Path'!$D$4,ClimateZoneLookup!$A$4:$K$65,11,FALSE)/(1000*Proposed!$D$86)))</f>
        <v>0</v>
      </c>
      <c r="E21" s="403">
        <f>IF('Prescriptive Path'!H20="",0,IF('Prescriptive Path'!I6="No",(Baseline!R25-Proposed!U25)*'Prescriptive Path'!H20*24*VLOOKUP('Prescriptive Path'!$D$4,ClimateZoneLookup!$A$4:$E$65,5,FALSE)/100000/Proposed!$D$88,('Gut Rehab Envelope'!E29-Proposed!U25)*'Prescriptive Path'!H20*24*VLOOKUP('Prescriptive Path'!$D$4,ClimateZoneLookup!$A$4:$E$65,5,FALSE)/100000/Proposed!$D$88))</f>
        <v>0</v>
      </c>
      <c r="F21" s="403">
        <v>0</v>
      </c>
      <c r="G21" s="404">
        <v>30</v>
      </c>
      <c r="H21" s="829">
        <v>0</v>
      </c>
      <c r="I21" s="829">
        <v>1.8500000000000001E-3</v>
      </c>
      <c r="J21" s="829">
        <v>0</v>
      </c>
      <c r="K21" s="829">
        <v>1.1299999999999999E-3</v>
      </c>
      <c r="L21" s="405">
        <f>IF('Prescriptive Path'!$K$1=4,C21*J21+D21*K21,C21*H21+D21*I21)</f>
        <v>0</v>
      </c>
      <c r="M21" s="403">
        <v>0</v>
      </c>
      <c r="N21" s="406">
        <f>IF('Prescriptive Path'!$L$4="Upstate",((C21+D21)*0.1858+(E21+F21)*1.322+M21*0.003),((C21+D21)*0.1858+(E21+F21)*1.322+M21*0.007))</f>
        <v>0</v>
      </c>
      <c r="O21" s="407">
        <f t="shared" si="0"/>
        <v>0</v>
      </c>
      <c r="P21" s="408">
        <f t="shared" si="1"/>
        <v>0</v>
      </c>
      <c r="Q21" s="409" t="s">
        <v>333</v>
      </c>
    </row>
    <row r="22" spans="1:28" ht="15.75" thickBot="1">
      <c r="A22" s="57" t="s">
        <v>11</v>
      </c>
      <c r="B22" s="58" t="s">
        <v>6</v>
      </c>
      <c r="C22" s="423">
        <v>0</v>
      </c>
      <c r="D22" s="424">
        <f>IF('Prescriptive Path'!H21="",0,IF('Prescriptive Path'!I6="No",(Baseline!R28-Proposed!U28)*'Prescriptive Path'!H21*24*VLOOKUP('Prescriptive Path'!$D$4,ClimateZoneLookup!$A$4:$K$65,11,FALSE)/(1000*Proposed!$D$86),('Gut Rehab Envelope'!E30-Proposed!U28)*'Prescriptive Path'!H21*24*VLOOKUP('Prescriptive Path'!$D$4,ClimateZoneLookup!$A$4:$K$65,11,FALSE)/(1000*Proposed!$D$86)))</f>
        <v>0</v>
      </c>
      <c r="E22" s="424">
        <f>IF('Prescriptive Path'!H21="",0,IF('Prescriptive Path'!I6="No",(Baseline!R28-Proposed!U28)*'Prescriptive Path'!H21*24*VLOOKUP('Prescriptive Path'!$D$4,ClimateZoneLookup!$A$4:$E$65,5,FALSE)/100000/Proposed!$D$88,('Gut Rehab Envelope'!E30-Proposed!U28)*'Prescriptive Path'!H21*24*VLOOKUP('Prescriptive Path'!$D$4,ClimateZoneLookup!$A$4:$E$65,5,FALSE)/100000/Proposed!$D$88))</f>
        <v>0</v>
      </c>
      <c r="F22" s="424">
        <v>0</v>
      </c>
      <c r="G22" s="425">
        <v>30</v>
      </c>
      <c r="H22" s="831">
        <v>0</v>
      </c>
      <c r="I22" s="831">
        <v>1.8500000000000001E-3</v>
      </c>
      <c r="J22" s="831">
        <v>0</v>
      </c>
      <c r="K22" s="831">
        <v>1.1299999999999999E-3</v>
      </c>
      <c r="L22" s="426">
        <f>IF('Prescriptive Path'!$K$1=4,C22*J22+D22*K22,C22*H22+D22*I22)</f>
        <v>0</v>
      </c>
      <c r="M22" s="424">
        <v>0</v>
      </c>
      <c r="N22" s="427">
        <f>IF('Prescriptive Path'!$L$4="Upstate",((C22+D22)*0.1858+(E22+F22)*1.322+M22*0.003),((C22+D22)*0.1858+(E22+F22)*1.322+M22*0.007))</f>
        <v>0</v>
      </c>
      <c r="O22" s="428">
        <f t="shared" si="0"/>
        <v>0</v>
      </c>
      <c r="P22" s="429">
        <f t="shared" si="1"/>
        <v>0</v>
      </c>
      <c r="Q22" s="430" t="s">
        <v>333</v>
      </c>
    </row>
    <row r="23" spans="1:28" ht="38.25" customHeight="1">
      <c r="A23" s="1150" t="s">
        <v>512</v>
      </c>
      <c r="B23" s="286" t="s">
        <v>8</v>
      </c>
      <c r="C23" s="431">
        <v>0</v>
      </c>
      <c r="D23" s="432">
        <f>IF('Prescriptive Path'!I6="No",'Prescriptive Path'!H23/100*VLOOKUP('Prescriptive Path'!$D$4,ClimateZoneLookup!$A$4:$AQ$65,41)*(13/Proposed!$D$87),'Prescriptive Path'!H23/100*'Gut Rehab Envelope'!F22*(13/Proposed!$D$87))</f>
        <v>0</v>
      </c>
      <c r="E23" s="433">
        <f>IF('Prescriptive Path'!I6="No",'Prescriptive Path'!H23/100*VLOOKUP('Prescriptive Path'!$D$4,ClimateZoneLookup!$A$4:$AQ$65,43)*(0.8/Proposed!$D$88),'Prescriptive Path'!H23/100*'Gut Rehab Envelope'!H22*(0.8/Proposed!$D$88))</f>
        <v>0</v>
      </c>
      <c r="F23" s="433">
        <v>0</v>
      </c>
      <c r="G23" s="434">
        <v>20</v>
      </c>
      <c r="H23" s="832" t="s">
        <v>336</v>
      </c>
      <c r="I23" s="832" t="s">
        <v>336</v>
      </c>
      <c r="J23" s="832" t="s">
        <v>336</v>
      </c>
      <c r="K23" s="832" t="s">
        <v>336</v>
      </c>
      <c r="L23" s="435">
        <f>IF('Prescriptive Path'!I6="No",'Prescriptive Path'!H23/100*VLOOKUP('Prescriptive Path'!$D$4,ClimateZoneLookup!$A$4:$AQ$65,42)*0.8*(11.1/Proposed!$D$86),'Prescriptive Path'!H23/100*'Gut Rehab Envelope'!G22*0.8*(11.1/Proposed!$D$86))</f>
        <v>0</v>
      </c>
      <c r="M23" s="433">
        <v>0</v>
      </c>
      <c r="N23" s="436">
        <f>IF('Prescriptive Path'!$L$4="Upstate",((C23+D23)*0.1858+(E23+F23)*1.322+M23*0.003),((C23+D23)*0.1858+(E23+F23)*1.322+M23*0.007))</f>
        <v>0</v>
      </c>
      <c r="O23" s="437">
        <f t="shared" si="0"/>
        <v>0</v>
      </c>
      <c r="P23" s="438">
        <f t="shared" si="1"/>
        <v>0</v>
      </c>
      <c r="Q23" s="341" t="s">
        <v>330</v>
      </c>
    </row>
    <row r="24" spans="1:28">
      <c r="A24" s="1150"/>
      <c r="B24" s="15" t="s">
        <v>38</v>
      </c>
      <c r="C24" s="439">
        <v>0</v>
      </c>
      <c r="D24" s="440">
        <f>IF('Prescriptive Path'!I6="No",'Prescriptive Path'!H24/100*VLOOKUP('Prescriptive Path'!$D$4,ClimateZoneLookup!$A$4:$AQ$65,41)*(13/Proposed!$D$87),'Prescriptive Path'!H24/100*'Gut Rehab Envelope'!F23*(13/Proposed!$D$87))</f>
        <v>0</v>
      </c>
      <c r="E24" s="441">
        <f>IF('Prescriptive Path'!I6="No",'Prescriptive Path'!H24/100*VLOOKUP('Prescriptive Path'!$D$4,ClimateZoneLookup!$A$4:$AQ$65,43)*(0.8/Proposed!$D$88),'Prescriptive Path'!H24/100*'Gut Rehab Envelope'!H23*(0.8/Proposed!$D$88))</f>
        <v>0</v>
      </c>
      <c r="F24" s="441">
        <v>0</v>
      </c>
      <c r="G24" s="442">
        <v>20</v>
      </c>
      <c r="H24" s="833" t="s">
        <v>336</v>
      </c>
      <c r="I24" s="833" t="s">
        <v>336</v>
      </c>
      <c r="J24" s="833" t="s">
        <v>336</v>
      </c>
      <c r="K24" s="833" t="s">
        <v>336</v>
      </c>
      <c r="L24" s="443">
        <f>IF('Prescriptive Path'!I6="No",'Prescriptive Path'!H24/100*VLOOKUP('Prescriptive Path'!$D$4,ClimateZoneLookup!$A$4:$AQ$65,42)*0.8*(11.1/Proposed!$D$86),'Prescriptive Path'!H24/100*'Gut Rehab Envelope'!G23*0.8*(11.1/Proposed!$D$86))</f>
        <v>0</v>
      </c>
      <c r="M24" s="441">
        <v>0</v>
      </c>
      <c r="N24" s="444">
        <f>IF('Prescriptive Path'!$L$4="Upstate",((C24+D24)*0.1858+(E24+F24)*1.322+M24*0.003),((C24+D24)*0.1858+(E24+F24)*1.322+M24*0.007))</f>
        <v>0</v>
      </c>
      <c r="O24" s="445">
        <f t="shared" si="0"/>
        <v>0</v>
      </c>
      <c r="P24" s="446">
        <f t="shared" si="1"/>
        <v>0</v>
      </c>
      <c r="Q24" s="345" t="s">
        <v>330</v>
      </c>
      <c r="R24" s="447"/>
      <c r="S24" s="447"/>
      <c r="T24" s="447"/>
      <c r="U24" s="447"/>
      <c r="V24" s="447"/>
      <c r="W24" s="447"/>
      <c r="X24" s="447"/>
      <c r="Y24" s="447"/>
      <c r="Z24" s="447"/>
      <c r="AA24" s="447"/>
      <c r="AB24" s="447"/>
    </row>
    <row r="25" spans="1:28">
      <c r="A25" s="1150"/>
      <c r="B25" s="15" t="s">
        <v>9</v>
      </c>
      <c r="C25" s="448"/>
      <c r="D25" s="449"/>
      <c r="E25" s="449"/>
      <c r="F25" s="449"/>
      <c r="G25" s="450"/>
      <c r="H25" s="834"/>
      <c r="I25" s="834"/>
      <c r="J25" s="834"/>
      <c r="K25" s="834"/>
      <c r="L25" s="451"/>
      <c r="M25" s="449"/>
      <c r="N25" s="452"/>
      <c r="O25" s="452"/>
      <c r="P25" s="453"/>
      <c r="Q25" s="454"/>
    </row>
    <row r="26" spans="1:28" ht="15.75" thickBot="1">
      <c r="A26" s="1151"/>
      <c r="B26" s="16" t="s">
        <v>10</v>
      </c>
      <c r="C26" s="455">
        <v>0</v>
      </c>
      <c r="D26" s="456">
        <f>IF('Prescriptive Path'!I6="No",'Prescriptive Path'!H25/100*VLOOKUP('Prescriptive Path'!$D$4,ClimateZoneLookup!$A$4:$AQ$65,41)*(13/Proposed!$D$87),'Prescriptive Path'!H25/100*'Gut Rehab Envelope'!F24*(13/Proposed!$D$87))</f>
        <v>0</v>
      </c>
      <c r="E26" s="457">
        <f>IF('Prescriptive Path'!I6="No",'Prescriptive Path'!H25/100*VLOOKUP('Prescriptive Path'!$D$4,ClimateZoneLookup!$A$4:$AQ$65,43)*(0.8/Proposed!$D$88),'Prescriptive Path'!H25/100*'Gut Rehab Envelope'!H24*(0.8/Proposed!$D$88))</f>
        <v>0</v>
      </c>
      <c r="F26" s="457">
        <v>0</v>
      </c>
      <c r="G26" s="458">
        <v>20</v>
      </c>
      <c r="H26" s="835" t="s">
        <v>336</v>
      </c>
      <c r="I26" s="835" t="s">
        <v>336</v>
      </c>
      <c r="J26" s="835" t="s">
        <v>336</v>
      </c>
      <c r="K26" s="835" t="s">
        <v>336</v>
      </c>
      <c r="L26" s="435">
        <f>IF('Prescriptive Path'!I6="No",'Prescriptive Path'!H25/100*VLOOKUP('Prescriptive Path'!$D$4,ClimateZoneLookup!$A$4:$AQ$65,42)*0.8*(11.1/Proposed!$D$86),'Prescriptive Path'!H25/100*'Gut Rehab Envelope'!G24*0.8*(11.1/Proposed!$D$86))</f>
        <v>0</v>
      </c>
      <c r="M26" s="457">
        <v>0</v>
      </c>
      <c r="N26" s="459">
        <f>IF('Prescriptive Path'!$L$4="Upstate",((C26+D26)*0.1858+(E26+F26)*1.322+M26*0.003),((C26+D26)*0.1858+(E26+F26)*1.322+M26*0.007))</f>
        <v>0</v>
      </c>
      <c r="O26" s="445">
        <f t="shared" ref="O26:O35" si="2">(F26+E26)/10+(C26+D26)*3412/1000000</f>
        <v>0</v>
      </c>
      <c r="P26" s="460">
        <f t="shared" ref="P26:P35" si="3">IF(N26=0,0,G26*N26)</f>
        <v>0</v>
      </c>
      <c r="Q26" s="341" t="s">
        <v>330</v>
      </c>
    </row>
    <row r="27" spans="1:28" ht="25.5" customHeight="1">
      <c r="A27" s="1149" t="s">
        <v>61</v>
      </c>
      <c r="B27" s="461" t="s">
        <v>676</v>
      </c>
      <c r="C27" s="462">
        <v>0</v>
      </c>
      <c r="D27" s="463">
        <f>'Prescriptive Path'!H42*'Prescriptive Path'!H43*12*((1/(Baseline!E37))-(1/(Proposed!E37)))*VLOOKUP('Prescriptive Path'!$D$4,ClimateZoneLookup!$A$4:$AS$65,8,FALSE)</f>
        <v>0</v>
      </c>
      <c r="E27" s="464">
        <v>0</v>
      </c>
      <c r="F27" s="464">
        <v>0</v>
      </c>
      <c r="G27" s="464">
        <v>12</v>
      </c>
      <c r="H27" s="836" t="s">
        <v>336</v>
      </c>
      <c r="I27" s="836" t="s">
        <v>336</v>
      </c>
      <c r="J27" s="836" t="s">
        <v>336</v>
      </c>
      <c r="K27" s="836" t="s">
        <v>336</v>
      </c>
      <c r="L27" s="334">
        <f>'Prescriptive Path'!H42*'Prescriptive Path'!H43*12*(1/Baseline!E37-1/Proposed!E37)*0.3</f>
        <v>0</v>
      </c>
      <c r="M27" s="465">
        <v>0</v>
      </c>
      <c r="N27" s="466">
        <f>IF('Prescriptive Path'!$L$4="Upstate",((C27+D27)*0.1858+(E27+F27)*1.322+M27*0.003),((C27+D27)*0.1858+(E27+F27)*1.322+M27*0.007))</f>
        <v>0</v>
      </c>
      <c r="O27" s="467">
        <f t="shared" si="2"/>
        <v>0</v>
      </c>
      <c r="P27" s="468">
        <f t="shared" si="3"/>
        <v>0</v>
      </c>
      <c r="Q27" s="469" t="s">
        <v>330</v>
      </c>
    </row>
    <row r="28" spans="1:28">
      <c r="A28" s="1149"/>
      <c r="B28" s="470" t="s">
        <v>677</v>
      </c>
      <c r="C28" s="471">
        <v>0</v>
      </c>
      <c r="D28" s="472">
        <f>'Prescriptive Path'!H44*'Prescriptive Path'!H45*12*((1/(Baseline!E38))-(1/(Proposed!E38)))*VLOOKUP('Prescriptive Path'!$D$4,ClimateZoneLookup!$A$4:$AS$65,8,FALSE)</f>
        <v>0</v>
      </c>
      <c r="E28" s="473">
        <v>0</v>
      </c>
      <c r="F28" s="473">
        <v>0</v>
      </c>
      <c r="G28" s="473">
        <v>12</v>
      </c>
      <c r="H28" s="825" t="s">
        <v>336</v>
      </c>
      <c r="I28" s="825" t="s">
        <v>336</v>
      </c>
      <c r="J28" s="825" t="s">
        <v>336</v>
      </c>
      <c r="K28" s="825" t="s">
        <v>336</v>
      </c>
      <c r="L28" s="338">
        <f>'Prescriptive Path'!H44*'Prescriptive Path'!H45*(12/Baseline!E38-12/Proposed!E38)*0.3</f>
        <v>0</v>
      </c>
      <c r="M28" s="474">
        <v>0</v>
      </c>
      <c r="N28" s="339">
        <f>IF('Prescriptive Path'!$L$4="Upstate",((C28+D28)*0.1858+(E28+F28)*1.322+M28*0.003),((C28+D28)*0.1858+(E28+F28)*1.322+M28*0.007))</f>
        <v>0</v>
      </c>
      <c r="O28" s="340">
        <f t="shared" si="2"/>
        <v>0</v>
      </c>
      <c r="P28" s="475">
        <f t="shared" si="3"/>
        <v>0</v>
      </c>
      <c r="Q28" s="342" t="s">
        <v>330</v>
      </c>
    </row>
    <row r="29" spans="1:28">
      <c r="A29" s="1149"/>
      <c r="B29" s="476" t="s">
        <v>248</v>
      </c>
      <c r="C29" s="471">
        <v>0</v>
      </c>
      <c r="D29" s="474">
        <f>'Prescriptive Path'!H46*((12/(Baseline!E39))-(12/(Proposed!E39)))*VLOOKUP('Prescriptive Path'!$D$4,ClimateZoneLookup!$A$4:$AS$65,8,FALSE)</f>
        <v>0</v>
      </c>
      <c r="E29" s="477">
        <v>0</v>
      </c>
      <c r="F29" s="473">
        <v>0</v>
      </c>
      <c r="G29" s="473">
        <v>15</v>
      </c>
      <c r="H29" s="825" t="s">
        <v>336</v>
      </c>
      <c r="I29" s="825" t="s">
        <v>336</v>
      </c>
      <c r="J29" s="825" t="s">
        <v>336</v>
      </c>
      <c r="K29" s="825" t="s">
        <v>336</v>
      </c>
      <c r="L29" s="338">
        <f>'Prescriptive Path'!H46*(12/Baseline!E39-12/Proposed!E39)*0.69</f>
        <v>0</v>
      </c>
      <c r="M29" s="474">
        <v>0</v>
      </c>
      <c r="N29" s="339">
        <f>IF('Prescriptive Path'!$L$4="Upstate",((C29+D29)*0.1858+(E29+F29)*1.322+M29*0.003),((C29+D29)*0.1858+(E29+F29)*1.322+M29*0.007))</f>
        <v>0</v>
      </c>
      <c r="O29" s="340">
        <f t="shared" si="2"/>
        <v>0</v>
      </c>
      <c r="P29" s="475">
        <f t="shared" si="3"/>
        <v>0</v>
      </c>
      <c r="Q29" s="342" t="s">
        <v>330</v>
      </c>
    </row>
    <row r="30" spans="1:28" ht="30" customHeight="1">
      <c r="A30" s="1149"/>
      <c r="B30" s="478" t="s">
        <v>249</v>
      </c>
      <c r="C30" s="471">
        <v>0</v>
      </c>
      <c r="D30" s="474">
        <f>'Prescriptive Path'!H47*((12/(Baseline!E40))-(12/(Proposed!E40)))*VLOOKUP('Prescriptive Path'!$D$4,ClimateZoneLookup!$A$4:$AS$65,8,FALSE)</f>
        <v>0</v>
      </c>
      <c r="E30" s="477">
        <v>0</v>
      </c>
      <c r="F30" s="473">
        <v>0</v>
      </c>
      <c r="G30" s="473">
        <v>15</v>
      </c>
      <c r="H30" s="825" t="s">
        <v>336</v>
      </c>
      <c r="I30" s="825" t="s">
        <v>336</v>
      </c>
      <c r="J30" s="825" t="s">
        <v>336</v>
      </c>
      <c r="K30" s="825" t="s">
        <v>336</v>
      </c>
      <c r="L30" s="338">
        <f>'Prescriptive Path'!H47*(12/Baseline!E40-12/Proposed!E40)*0.69</f>
        <v>0</v>
      </c>
      <c r="M30" s="474">
        <v>0</v>
      </c>
      <c r="N30" s="339">
        <f>IF('Prescriptive Path'!$L$4="Upstate",((C30+D30)*0.1858+(E30+F30)*1.322+M30*0.003),((C30+D30)*0.1858+(E30+F30)*1.322+M30*0.007))</f>
        <v>0</v>
      </c>
      <c r="O30" s="340">
        <f t="shared" si="2"/>
        <v>0</v>
      </c>
      <c r="P30" s="475">
        <f t="shared" si="3"/>
        <v>0</v>
      </c>
      <c r="Q30" s="342" t="s">
        <v>330</v>
      </c>
    </row>
    <row r="31" spans="1:28" ht="25.5">
      <c r="A31" s="1149"/>
      <c r="B31" s="17" t="s">
        <v>250</v>
      </c>
      <c r="C31" s="471">
        <v>0</v>
      </c>
      <c r="D31" s="474">
        <f>'Prescriptive Path'!H48*((12/(Baseline!E41))-(12/(Proposed!E41)))*VLOOKUP('Prescriptive Path'!$D$4,ClimateZoneLookup!$A$4:$AS$65,8,FALSE)</f>
        <v>0</v>
      </c>
      <c r="E31" s="477">
        <v>0</v>
      </c>
      <c r="F31" s="473">
        <v>0</v>
      </c>
      <c r="G31" s="473">
        <v>15</v>
      </c>
      <c r="H31" s="825" t="s">
        <v>336</v>
      </c>
      <c r="I31" s="825" t="s">
        <v>336</v>
      </c>
      <c r="J31" s="825" t="s">
        <v>336</v>
      </c>
      <c r="K31" s="825" t="s">
        <v>336</v>
      </c>
      <c r="L31" s="338">
        <f>'Prescriptive Path'!H48*(12/Baseline!E41-12/Proposed!E41)*0.69</f>
        <v>0</v>
      </c>
      <c r="M31" s="474">
        <v>0</v>
      </c>
      <c r="N31" s="339">
        <f>IF('Prescriptive Path'!$L$4="Upstate",((C31+D31)*0.1858+(E31+F31)*1.322+M31*0.003),((C31+D31)*0.1858+(E31+F31)*1.322+M31*0.007))</f>
        <v>0</v>
      </c>
      <c r="O31" s="340">
        <f t="shared" si="2"/>
        <v>0</v>
      </c>
      <c r="P31" s="475">
        <f t="shared" si="3"/>
        <v>0</v>
      </c>
      <c r="Q31" s="342" t="s">
        <v>330</v>
      </c>
    </row>
    <row r="32" spans="1:28" ht="25.5">
      <c r="A32" s="1149"/>
      <c r="B32" s="17" t="s">
        <v>251</v>
      </c>
      <c r="C32" s="471">
        <v>0</v>
      </c>
      <c r="D32" s="474">
        <f>'Prescriptive Path'!H49*((12/(Baseline!E42))-(12/(Proposed!E42)))*VLOOKUP('Prescriptive Path'!$D$4,ClimateZoneLookup!$A$4:$AS$65,8,FALSE)</f>
        <v>0</v>
      </c>
      <c r="E32" s="477">
        <v>0</v>
      </c>
      <c r="F32" s="473">
        <v>0</v>
      </c>
      <c r="G32" s="473">
        <v>15</v>
      </c>
      <c r="H32" s="825" t="s">
        <v>336</v>
      </c>
      <c r="I32" s="825" t="s">
        <v>336</v>
      </c>
      <c r="J32" s="825" t="s">
        <v>336</v>
      </c>
      <c r="K32" s="825" t="s">
        <v>336</v>
      </c>
      <c r="L32" s="338">
        <f>'Prescriptive Path'!H49*(12/Baseline!E42-12/Proposed!E42)*0.69</f>
        <v>0</v>
      </c>
      <c r="M32" s="474">
        <v>0</v>
      </c>
      <c r="N32" s="339">
        <f>IF('Prescriptive Path'!$L$4="Upstate",((C32+D32)*0.1858+(E32+F32)*1.322+M32*0.003),((C32+D32)*0.1858+(E32+F32)*1.322+M32*0.007))</f>
        <v>0</v>
      </c>
      <c r="O32" s="340">
        <f t="shared" si="2"/>
        <v>0</v>
      </c>
      <c r="P32" s="475">
        <f t="shared" si="3"/>
        <v>0</v>
      </c>
      <c r="Q32" s="342" t="s">
        <v>330</v>
      </c>
    </row>
    <row r="33" spans="1:17" ht="25.5" customHeight="1">
      <c r="A33" s="1149"/>
      <c r="B33" s="17" t="s">
        <v>252</v>
      </c>
      <c r="C33" s="479">
        <v>0</v>
      </c>
      <c r="D33" s="480">
        <f>'Prescriptive Path'!H50*((12/(Baseline!E43))-(12/(Proposed!E43)))*VLOOKUP('Prescriptive Path'!$D$4,ClimateZoneLookup!$A$4:$AS$65,8,FALSE)</f>
        <v>0</v>
      </c>
      <c r="E33" s="481">
        <v>0</v>
      </c>
      <c r="F33" s="482">
        <v>0</v>
      </c>
      <c r="G33" s="482">
        <v>15</v>
      </c>
      <c r="H33" s="833" t="s">
        <v>336</v>
      </c>
      <c r="I33" s="833" t="s">
        <v>336</v>
      </c>
      <c r="J33" s="833" t="s">
        <v>336</v>
      </c>
      <c r="K33" s="833" t="s">
        <v>336</v>
      </c>
      <c r="L33" s="483">
        <f>'Prescriptive Path'!H50*(12/Baseline!E43-12/Proposed!E43)*0.69</f>
        <v>0</v>
      </c>
      <c r="M33" s="484">
        <v>0</v>
      </c>
      <c r="N33" s="339">
        <f>IF('Prescriptive Path'!$L$4="Upstate",((C33+D33)*0.1858+(E33+F33)*1.322+M33*0.003),((C33+D33)*0.1858+(E33+F33)*1.322+M33*0.007))</f>
        <v>0</v>
      </c>
      <c r="O33" s="340">
        <f t="shared" si="2"/>
        <v>0</v>
      </c>
      <c r="P33" s="485">
        <f t="shared" si="3"/>
        <v>0</v>
      </c>
      <c r="Q33" s="342" t="s">
        <v>330</v>
      </c>
    </row>
    <row r="34" spans="1:17" ht="25.5" customHeight="1">
      <c r="A34" s="1149"/>
      <c r="B34" s="317" t="s">
        <v>239</v>
      </c>
      <c r="C34" s="486">
        <v>0</v>
      </c>
      <c r="D34" s="384">
        <v>0</v>
      </c>
      <c r="E34" s="383">
        <f>'Prescriptive Path'!H51*1000*(Proposed!D45/Baseline!F45-1)*VLOOKUP('Prescriptive Path'!$D$4,ClimateZoneLookup!$A$2:$J$65,9)/100</f>
        <v>0</v>
      </c>
      <c r="F34" s="384">
        <v>0</v>
      </c>
      <c r="G34" s="384">
        <v>22</v>
      </c>
      <c r="H34" s="837" t="s">
        <v>336</v>
      </c>
      <c r="I34" s="837" t="s">
        <v>336</v>
      </c>
      <c r="J34" s="837" t="s">
        <v>336</v>
      </c>
      <c r="K34" s="837" t="s">
        <v>336</v>
      </c>
      <c r="L34" s="487">
        <v>0</v>
      </c>
      <c r="M34" s="488">
        <v>0</v>
      </c>
      <c r="N34" s="335">
        <f>IF('Prescriptive Path'!$L$4="Upstate",((C34+D34)*0.1858+(E34+F34)*1.322+M34*0.003),((C34+D34)*0.1858+(E34+F34)*1.322+M34*0.007))</f>
        <v>0</v>
      </c>
      <c r="O34" s="336">
        <f t="shared" si="2"/>
        <v>0</v>
      </c>
      <c r="P34" s="489">
        <f t="shared" si="3"/>
        <v>0</v>
      </c>
      <c r="Q34" s="342" t="s">
        <v>330</v>
      </c>
    </row>
    <row r="35" spans="1:17" ht="25.5">
      <c r="A35" s="1149"/>
      <c r="B35" s="317" t="s">
        <v>240</v>
      </c>
      <c r="C35" s="486">
        <v>0</v>
      </c>
      <c r="D35" s="384">
        <v>0</v>
      </c>
      <c r="E35" s="383">
        <f>'Prescriptive Path'!H52*1000*(Proposed!D46/Baseline!F46-1)*VLOOKUP('Prescriptive Path'!$D$4,ClimateZoneLookup!$A$2:$J$65,9)/100</f>
        <v>0</v>
      </c>
      <c r="F35" s="384">
        <v>0</v>
      </c>
      <c r="G35" s="384">
        <v>22</v>
      </c>
      <c r="H35" s="837" t="s">
        <v>336</v>
      </c>
      <c r="I35" s="837" t="s">
        <v>336</v>
      </c>
      <c r="J35" s="837" t="s">
        <v>336</v>
      </c>
      <c r="K35" s="837" t="s">
        <v>336</v>
      </c>
      <c r="L35" s="487">
        <v>0</v>
      </c>
      <c r="M35" s="488">
        <v>0</v>
      </c>
      <c r="N35" s="335">
        <f>IF('Prescriptive Path'!$L$4="Upstate",((C35+D35)*0.1858+(E35+F35)*1.322+M35*0.003),((C35+D35)*0.1858+(E35+F35)*1.322+M35*0.007))</f>
        <v>0</v>
      </c>
      <c r="O35" s="336">
        <f t="shared" si="2"/>
        <v>0</v>
      </c>
      <c r="P35" s="489">
        <f t="shared" si="3"/>
        <v>0</v>
      </c>
      <c r="Q35" s="342" t="s">
        <v>330</v>
      </c>
    </row>
    <row r="36" spans="1:17" ht="25.5">
      <c r="A36" s="1149"/>
      <c r="B36" s="317" t="s">
        <v>802</v>
      </c>
      <c r="C36" s="486">
        <v>0</v>
      </c>
      <c r="D36" s="384">
        <v>0</v>
      </c>
      <c r="E36" s="383">
        <f>'Prescriptive Path'!H54*1000*(Proposed!D48/Baseline!F48-1)*VLOOKUP('Prescriptive Path'!$D$4,ClimateZoneLookup!$A$2:$J$65,9)/100</f>
        <v>0</v>
      </c>
      <c r="F36" s="384">
        <v>0</v>
      </c>
      <c r="G36" s="384">
        <v>22</v>
      </c>
      <c r="H36" s="837" t="s">
        <v>336</v>
      </c>
      <c r="I36" s="837" t="s">
        <v>336</v>
      </c>
      <c r="J36" s="837" t="s">
        <v>336</v>
      </c>
      <c r="K36" s="837" t="s">
        <v>336</v>
      </c>
      <c r="L36" s="487">
        <v>0</v>
      </c>
      <c r="M36" s="488">
        <v>0</v>
      </c>
      <c r="N36" s="335">
        <f>IF('Prescriptive Path'!$L$4="Upstate",((C36+D36)*0.1858+(E36+F36)*1.322+M36*0.003),((C36+D36)*0.1858+(E36+F36)*1.322+M36*0.007))</f>
        <v>0</v>
      </c>
      <c r="O36" s="336">
        <f t="shared" ref="O36" si="4">(F36+E36)/10+(C36+D36)*3412/1000000</f>
        <v>0</v>
      </c>
      <c r="P36" s="489">
        <f t="shared" ref="P36" si="5">IF(N36=0,0,G36*N36)</f>
        <v>0</v>
      </c>
      <c r="Q36" s="342" t="s">
        <v>330</v>
      </c>
    </row>
    <row r="37" spans="1:17">
      <c r="A37" s="1149"/>
      <c r="B37" s="317" t="s">
        <v>242</v>
      </c>
      <c r="C37" s="490">
        <v>0</v>
      </c>
      <c r="D37" s="491">
        <f>'Prescriptive Path'!H55*'Prescriptive Path'!H56*12*((1/Baseline!E49)-(1/Proposed!E49))*VLOOKUP('Prescriptive Path'!$D$4,ClimateZoneLookup!$A$4:$AS$65,8,FALSE)</f>
        <v>0</v>
      </c>
      <c r="E37" s="383">
        <v>0</v>
      </c>
      <c r="F37" s="383">
        <v>0</v>
      </c>
      <c r="G37" s="384">
        <v>15</v>
      </c>
      <c r="H37" s="837" t="s">
        <v>336</v>
      </c>
      <c r="I37" s="837" t="s">
        <v>336</v>
      </c>
      <c r="J37" s="837" t="s">
        <v>336</v>
      </c>
      <c r="K37" s="837" t="s">
        <v>336</v>
      </c>
      <c r="L37" s="338">
        <f>('Prescriptive Path'!H55*'Prescriptive Path'!H56)*12*(1/Baseline!E49-1/Proposed!E49)*0.8</f>
        <v>0</v>
      </c>
      <c r="M37" s="474">
        <v>0</v>
      </c>
      <c r="N37" s="339">
        <f>IF('Prescriptive Path'!$L$4="Upstate",((C37+D37)*0.1858+(E37+F37)*1.322+M37*0.003),((C37+D37)*0.1858+(E37+F37)*1.322+M37*0.007))</f>
        <v>0</v>
      </c>
      <c r="O37" s="340">
        <f t="shared" ref="O37:O44" si="6">(F37+E37)/10+(C37+D37)*3412/1000000</f>
        <v>0</v>
      </c>
      <c r="P37" s="475">
        <f t="shared" ref="P37:P44" si="7">IF(N37=0,0,G37*N37)</f>
        <v>0</v>
      </c>
      <c r="Q37" s="342" t="s">
        <v>330</v>
      </c>
    </row>
    <row r="38" spans="1:17" ht="25.5">
      <c r="A38" s="1149"/>
      <c r="B38" s="17" t="s">
        <v>243</v>
      </c>
      <c r="C38" s="382">
        <f>(12*'Prescriptive Path'!H57*((1/Baseline!$D$50)-(1/Proposed!$U$50))*VLOOKUP('Prescriptive Path'!$D$4,ClimateZoneLookup!$A$4:$I$65,9,FALSE))</f>
        <v>0</v>
      </c>
      <c r="D38" s="491">
        <f>('Prescriptive Path'!H57*((12/Baseline!E50)-(12/Proposed!E50))*VLOOKUP('Prescriptive Path'!$D$4,ClimateZoneLookup!$A$4:$AS$65,8,FALSE))</f>
        <v>0</v>
      </c>
      <c r="E38" s="383">
        <v>0</v>
      </c>
      <c r="F38" s="383">
        <v>0</v>
      </c>
      <c r="G38" s="384">
        <v>15</v>
      </c>
      <c r="H38" s="837" t="s">
        <v>336</v>
      </c>
      <c r="I38" s="837" t="s">
        <v>336</v>
      </c>
      <c r="J38" s="837" t="s">
        <v>336</v>
      </c>
      <c r="K38" s="837" t="s">
        <v>336</v>
      </c>
      <c r="L38" s="338">
        <f>'Prescriptive Path'!H57*((12/Baseline!E50)-(12/Proposed!E50))*0.69</f>
        <v>0</v>
      </c>
      <c r="M38" s="383">
        <v>0</v>
      </c>
      <c r="N38" s="339">
        <f>IF('Prescriptive Path'!$L$4="Upstate",((C38+D38)*0.1858+(E38+F38)*1.322+M38*0.003),((C38+D38)*0.1858+(E38+F38)*1.322+M38*0.007))</f>
        <v>0</v>
      </c>
      <c r="O38" s="340">
        <f t="shared" si="6"/>
        <v>0</v>
      </c>
      <c r="P38" s="385">
        <f t="shared" si="7"/>
        <v>0</v>
      </c>
      <c r="Q38" s="342" t="s">
        <v>330</v>
      </c>
    </row>
    <row r="39" spans="1:17" ht="25.5">
      <c r="A39" s="1149"/>
      <c r="B39" s="17" t="s">
        <v>253</v>
      </c>
      <c r="C39" s="382">
        <f>(12*'Prescriptive Path'!H58*((1/Baseline!D51)-(1/Proposed!F51))*VLOOKUP('Prescriptive Path'!$D$4,ClimateZoneLookup!$A$4:$AS$65,9,FALSE))</f>
        <v>0</v>
      </c>
      <c r="D39" s="491">
        <f>('Prescriptive Path'!H58*((12/Baseline!E51)-(12/Proposed!E51))*VLOOKUP('Prescriptive Path'!$D$4,ClimateZoneLookup!$A$4:$AS$65,8,FALSE))</f>
        <v>0</v>
      </c>
      <c r="E39" s="383">
        <v>0</v>
      </c>
      <c r="F39" s="383">
        <v>0</v>
      </c>
      <c r="G39" s="384">
        <v>15</v>
      </c>
      <c r="H39" s="837" t="s">
        <v>336</v>
      </c>
      <c r="I39" s="837" t="s">
        <v>336</v>
      </c>
      <c r="J39" s="837" t="s">
        <v>336</v>
      </c>
      <c r="K39" s="837" t="s">
        <v>336</v>
      </c>
      <c r="L39" s="338">
        <f>('Prescriptive Path'!H58*((12/Baseline!E51)-(12/Proposed!E51))*0.69)</f>
        <v>0</v>
      </c>
      <c r="M39" s="383">
        <v>0</v>
      </c>
      <c r="N39" s="492">
        <f>IF('Prescriptive Path'!$L$4="Upstate",((C39+D39)*0.1858+(E39+F39)*1.322+M39*0.003),((C39+D39)*0.1858+(E39+F39)*1.322+M39*0.007))</f>
        <v>0</v>
      </c>
      <c r="O39" s="493">
        <f t="shared" si="6"/>
        <v>0</v>
      </c>
      <c r="P39" s="385">
        <f t="shared" si="7"/>
        <v>0</v>
      </c>
      <c r="Q39" s="342" t="s">
        <v>330</v>
      </c>
    </row>
    <row r="40" spans="1:17" ht="25.5">
      <c r="A40" s="1149"/>
      <c r="B40" s="17" t="s">
        <v>254</v>
      </c>
      <c r="C40" s="382">
        <f>(12*'Prescriptive Path'!H59*((1/Baseline!D52)-(1/Proposed!F52))*VLOOKUP('Prescriptive Path'!$D$4,ClimateZoneLookup!$A$4:$AS$65,9,FALSE))</f>
        <v>0</v>
      </c>
      <c r="D40" s="491">
        <f>'Prescriptive Path'!H59*((12/Baseline!E52)-(12/Proposed!E52))*VLOOKUP('Prescriptive Path'!$D$4,ClimateZoneLookup!$A$4:$AS$65,8,FALSE)</f>
        <v>0</v>
      </c>
      <c r="E40" s="383">
        <v>0</v>
      </c>
      <c r="F40" s="383">
        <v>0</v>
      </c>
      <c r="G40" s="384">
        <v>15</v>
      </c>
      <c r="H40" s="837" t="s">
        <v>336</v>
      </c>
      <c r="I40" s="837" t="s">
        <v>336</v>
      </c>
      <c r="J40" s="837" t="s">
        <v>336</v>
      </c>
      <c r="K40" s="837" t="s">
        <v>336</v>
      </c>
      <c r="L40" s="338">
        <f>('Prescriptive Path'!H59*((12/Baseline!E52)-(12/Proposed!E52)*0.69))</f>
        <v>0</v>
      </c>
      <c r="M40" s="383">
        <v>0</v>
      </c>
      <c r="N40" s="339">
        <f>IF('Prescriptive Path'!$L$4="Upstate",((C40+D40)*0.1858+(E40+F40)*1.322+M40*0.003),((C40+D40)*0.1858+(E40+F40)*1.322+M40*0.007))</f>
        <v>0</v>
      </c>
      <c r="O40" s="340">
        <f t="shared" si="6"/>
        <v>0</v>
      </c>
      <c r="P40" s="385">
        <f t="shared" si="7"/>
        <v>0</v>
      </c>
      <c r="Q40" s="342" t="s">
        <v>330</v>
      </c>
    </row>
    <row r="41" spans="1:17">
      <c r="A41" s="1149"/>
      <c r="B41" s="17" t="s">
        <v>244</v>
      </c>
      <c r="C41" s="382">
        <f>(12*'Prescriptive Path'!H60*((1/Baseline!D53)-(1/Proposed!F53))*VLOOKUP('Prescriptive Path'!$D$4,ClimateZoneLookup!$A$4:$AS$65,9,FALSE))</f>
        <v>0</v>
      </c>
      <c r="D41" s="491">
        <f>'Prescriptive Path'!H60*((12/Baseline!E53)-(12/Proposed!E53))*VLOOKUP('Prescriptive Path'!$D$4,ClimateZoneLookup!$A$4:$AS$65,8,FALSE)</f>
        <v>0</v>
      </c>
      <c r="E41" s="383">
        <v>0</v>
      </c>
      <c r="F41" s="383">
        <v>0</v>
      </c>
      <c r="G41" s="384">
        <v>15</v>
      </c>
      <c r="H41" s="837" t="s">
        <v>336</v>
      </c>
      <c r="I41" s="837" t="s">
        <v>336</v>
      </c>
      <c r="J41" s="837" t="s">
        <v>336</v>
      </c>
      <c r="K41" s="837" t="s">
        <v>336</v>
      </c>
      <c r="L41" s="338">
        <f>('Prescriptive Path'!H60*((12/Baseline!E53)-(12/Proposed!E53))*0.69)</f>
        <v>0</v>
      </c>
      <c r="M41" s="383">
        <v>0</v>
      </c>
      <c r="N41" s="339">
        <f>IF('Prescriptive Path'!$L$4="Upstate",((C41+D41)*0.1858+(E41+F41)*1.322+M41*0.003),((C41+D41)*0.1858+(E41+F41)*1.322+M41*0.007))</f>
        <v>0</v>
      </c>
      <c r="O41" s="340">
        <f t="shared" si="6"/>
        <v>0</v>
      </c>
      <c r="P41" s="385">
        <f t="shared" si="7"/>
        <v>0</v>
      </c>
      <c r="Q41" s="342" t="s">
        <v>330</v>
      </c>
    </row>
    <row r="42" spans="1:17">
      <c r="A42" s="1149"/>
      <c r="B42" s="17" t="s">
        <v>245</v>
      </c>
      <c r="C42" s="382">
        <v>0</v>
      </c>
      <c r="D42" s="491">
        <v>0</v>
      </c>
      <c r="E42" s="383">
        <f>'Prescriptive Path'!H61*1000*((Proposed!D54/Baseline!F54)-1)*(1/100)*VLOOKUP('Prescriptive Path'!$D$4,ClimateZoneLookup!$A$4:$AS$65,9,FALSE)</f>
        <v>0</v>
      </c>
      <c r="F42" s="383">
        <v>0</v>
      </c>
      <c r="G42" s="384">
        <v>25</v>
      </c>
      <c r="H42" s="837" t="s">
        <v>336</v>
      </c>
      <c r="I42" s="837" t="s">
        <v>336</v>
      </c>
      <c r="J42" s="837" t="s">
        <v>336</v>
      </c>
      <c r="K42" s="837" t="s">
        <v>336</v>
      </c>
      <c r="L42" s="487">
        <v>0</v>
      </c>
      <c r="M42" s="383">
        <v>0</v>
      </c>
      <c r="N42" s="339">
        <f>IF('Prescriptive Path'!$L$4="Upstate",((C42+D42)*0.1858+(E42+F42)*1.322+M42*0.003),((C42+D42)*0.1858+(E42+F42)*1.322+M42*0.007))</f>
        <v>0</v>
      </c>
      <c r="O42" s="340">
        <f t="shared" si="6"/>
        <v>0</v>
      </c>
      <c r="P42" s="385">
        <f t="shared" si="7"/>
        <v>0</v>
      </c>
      <c r="Q42" s="342" t="s">
        <v>330</v>
      </c>
    </row>
    <row r="43" spans="1:17">
      <c r="A43" s="1149"/>
      <c r="B43" s="17" t="s">
        <v>246</v>
      </c>
      <c r="C43" s="490">
        <v>0</v>
      </c>
      <c r="D43" s="494">
        <v>0</v>
      </c>
      <c r="E43" s="383">
        <f>'Prescriptive Path'!H62*1000*((Proposed!D55/Baseline!F55)-1)*(1/100)*VLOOKUP('Prescriptive Path'!$D$4,ClimateZoneLookup!$A$4:$AS$65,9,FALSE)</f>
        <v>0</v>
      </c>
      <c r="F43" s="383">
        <v>0</v>
      </c>
      <c r="G43" s="384">
        <v>25</v>
      </c>
      <c r="H43" s="837" t="s">
        <v>336</v>
      </c>
      <c r="I43" s="837" t="s">
        <v>336</v>
      </c>
      <c r="J43" s="837" t="s">
        <v>336</v>
      </c>
      <c r="K43" s="837" t="s">
        <v>336</v>
      </c>
      <c r="L43" s="487">
        <v>0</v>
      </c>
      <c r="M43" s="383">
        <v>0</v>
      </c>
      <c r="N43" s="339">
        <f>IF('Prescriptive Path'!$L$4="Upstate",((C43+D43)*0.1858+(E43+F43)*1.322+M43*0.003),((C43+D43)*0.1858+(E43+F43)*1.322+M43*0.007))</f>
        <v>0</v>
      </c>
      <c r="O43" s="340">
        <f t="shared" si="6"/>
        <v>0</v>
      </c>
      <c r="P43" s="385">
        <f t="shared" si="7"/>
        <v>0</v>
      </c>
      <c r="Q43" s="342" t="s">
        <v>330</v>
      </c>
    </row>
    <row r="44" spans="1:17" ht="15.75" thickBot="1">
      <c r="A44" s="1149"/>
      <c r="B44" s="782" t="s">
        <v>247</v>
      </c>
      <c r="C44" s="783">
        <f>IF('Prescriptive Path'!D64="Cooling",0,'Prescriptive Path'!H63/1000*(1/(Baseline!$S$56*Baseline!D56+Baseline!$T$56*Baseline!F56)-1/(Baseline!$S$56*Proposed!F56+Proposed!D56*Baseline!$T$56))*VLOOKUP('Prescriptive Path'!D4,ClimateZoneLookup!$A$4:$AS$65,9,FALSE))</f>
        <v>0</v>
      </c>
      <c r="D44" s="784">
        <f>'Prescriptive Path'!H64/12000*((12/Baseline!E56)-(12/Proposed!E56))*VLOOKUP('Prescriptive Path'!D4,ClimateZoneLookup!$A$4:$AS$65,8,FALSE)</f>
        <v>0</v>
      </c>
      <c r="E44" s="785">
        <v>0</v>
      </c>
      <c r="F44" s="785">
        <v>0</v>
      </c>
      <c r="G44" s="786">
        <v>15</v>
      </c>
      <c r="H44" s="838" t="s">
        <v>336</v>
      </c>
      <c r="I44" s="838" t="s">
        <v>336</v>
      </c>
      <c r="J44" s="838" t="s">
        <v>336</v>
      </c>
      <c r="K44" s="838" t="s">
        <v>336</v>
      </c>
      <c r="L44" s="787">
        <f>'Prescriptive Path'!H64/12000*(12/Baseline!E56-12/Proposed!E56)*0.69</f>
        <v>0</v>
      </c>
      <c r="M44" s="785">
        <v>0</v>
      </c>
      <c r="N44" s="788">
        <f>IF('Prescriptive Path'!$L$4="Upstate",((C44+D44)*0.1858+(E44+F44)*1.322+M44*0.003),((C44+D44)*0.1858+(E44+F44)*1.322+M44*0.007))</f>
        <v>0</v>
      </c>
      <c r="O44" s="789">
        <f t="shared" si="6"/>
        <v>0</v>
      </c>
      <c r="P44" s="790">
        <f t="shared" si="7"/>
        <v>0</v>
      </c>
      <c r="Q44" s="791" t="s">
        <v>330</v>
      </c>
    </row>
    <row r="45" spans="1:17" ht="26.25" thickBot="1">
      <c r="A45" s="781" t="s">
        <v>36</v>
      </c>
      <c r="B45" s="794" t="s">
        <v>35</v>
      </c>
      <c r="C45" s="411">
        <f>(0.69*'Prescriptive Path'!H66)/1000*(8760)*0.3*(1+VLOOKUP('Prescriptive Path'!$D$4,ClimateZoneLookup!$A$2:$AS$65,13,FALSE))+(0.66*'Prescriptive Path'!H67)/1000*(8760)*0.3*(1+VLOOKUP('Prescriptive Path'!$D$4,ClimateZoneLookup!$A$2:$AS$65,13,FALSE))+(0.9*'Prescriptive Path'!H68)/1000*(8760)*0.3*(1+VLOOKUP('Prescriptive Path'!$D$4,ClimateZoneLookup!$A$2:$AS$65,13,FALSE))</f>
        <v>0</v>
      </c>
      <c r="D45" s="795">
        <v>0</v>
      </c>
      <c r="E45" s="412">
        <f>C45/(1+VLOOKUP('Prescriptive Path'!$D$4,ClimateZoneLookup!$A$4:$AS$65,13,FALSE))*VLOOKUP('Prescriptive Path'!$D$4,ClimateZoneLookup!$A$4:$AS$65,14,FALSE)</f>
        <v>0</v>
      </c>
      <c r="F45" s="413">
        <v>0</v>
      </c>
      <c r="G45" s="413">
        <v>12</v>
      </c>
      <c r="H45" s="830" t="s">
        <v>336</v>
      </c>
      <c r="I45" s="830" t="s">
        <v>336</v>
      </c>
      <c r="J45" s="830" t="s">
        <v>336</v>
      </c>
      <c r="K45" s="830" t="s">
        <v>336</v>
      </c>
      <c r="L45" s="414">
        <f>(0.69*'Prescriptive Path'!H66/1000)*0.3*(1+VLOOKUP('Prescriptive Path'!$D$4,ClimateZoneLookup!$A$4:$AS$65,12))+(0.99*'Prescriptive Path'!H67/1000)*0.3*(1+VLOOKUP('Prescriptive Path'!$D$4,ClimateZoneLookup!$A$4:$AS$65,12))+(0.9*'Prescriptive Path'!H68/1000)*0.3*(1+VLOOKUP('Prescriptive Path'!$D$4,ClimateZoneLookup!$A$4:$AS$65,12))</f>
        <v>0</v>
      </c>
      <c r="M45" s="412">
        <v>0</v>
      </c>
      <c r="N45" s="415">
        <f>IF('Prescriptive Path'!$L$4="Upstate",((C45+D45)*0.1858+(E45+F45)*1.322+M45*0.003),((C45+D45)*0.1858+(E45+F45)*1.322+M45*0.007))</f>
        <v>0</v>
      </c>
      <c r="O45" s="416">
        <f t="shared" ref="O45" si="8">(F45+E45)/10+(C45+D45)*3412/1000000</f>
        <v>0</v>
      </c>
      <c r="P45" s="417">
        <f t="shared" ref="P45:P50" si="9">IF(N45=0,0,G45*N45)</f>
        <v>0</v>
      </c>
      <c r="Q45" s="796" t="s">
        <v>330</v>
      </c>
    </row>
    <row r="46" spans="1:17" ht="25.5">
      <c r="A46" s="1135" t="s">
        <v>40</v>
      </c>
      <c r="B46" s="350" t="s">
        <v>280</v>
      </c>
      <c r="C46" s="391">
        <f>'Prescriptive Path'!H73*1806</f>
        <v>0</v>
      </c>
      <c r="D46" s="391">
        <v>0</v>
      </c>
      <c r="E46" s="393">
        <v>0</v>
      </c>
      <c r="F46" s="393">
        <v>0</v>
      </c>
      <c r="G46" s="393">
        <v>15</v>
      </c>
      <c r="H46" s="827" t="s">
        <v>336</v>
      </c>
      <c r="I46" s="827" t="s">
        <v>336</v>
      </c>
      <c r="J46" s="827" t="s">
        <v>336</v>
      </c>
      <c r="K46" s="827" t="s">
        <v>336</v>
      </c>
      <c r="L46" s="394">
        <f>'Prescriptive Path'!$H$73*0.498</f>
        <v>0</v>
      </c>
      <c r="M46" s="392">
        <v>0</v>
      </c>
      <c r="N46" s="792">
        <f>IF('Prescriptive Path'!$L$4="Upstate",((C46+D46)*0.1858+(E46+F46)*1.322+M46*0.003),((C46+D46)*0.1858+(E46+F46)*1.322+M46*0.007))</f>
        <v>0</v>
      </c>
      <c r="O46" s="793">
        <f t="shared" ref="O46:O53" si="10">(F46+E46)/10+(C46+D46)*3412/1000000</f>
        <v>0</v>
      </c>
      <c r="P46" s="395">
        <f t="shared" si="9"/>
        <v>0</v>
      </c>
      <c r="Q46" s="358" t="s">
        <v>330</v>
      </c>
    </row>
    <row r="47" spans="1:17" ht="26.25" thickBot="1">
      <c r="A47" s="1135"/>
      <c r="B47" s="495" t="s">
        <v>281</v>
      </c>
      <c r="C47" s="496">
        <f>'Prescriptive Path'!H74*1806</f>
        <v>0</v>
      </c>
      <c r="D47" s="496">
        <v>0</v>
      </c>
      <c r="E47" s="497">
        <v>0</v>
      </c>
      <c r="F47" s="497">
        <v>0</v>
      </c>
      <c r="G47" s="497">
        <v>15</v>
      </c>
      <c r="H47" s="839" t="s">
        <v>336</v>
      </c>
      <c r="I47" s="839" t="s">
        <v>336</v>
      </c>
      <c r="J47" s="839" t="s">
        <v>336</v>
      </c>
      <c r="K47" s="839" t="s">
        <v>336</v>
      </c>
      <c r="L47" s="498">
        <f>'Prescriptive Path'!$H$74*0.498</f>
        <v>0</v>
      </c>
      <c r="M47" s="420">
        <v>0</v>
      </c>
      <c r="N47" s="499">
        <f>IF('Prescriptive Path'!$L$4="Upstate",((C47+D47)*0.1858+(E47+F47)*1.322+M47*0.003),((C47+D47)*0.1858+(E47+F47)*1.322+M47*0.007))</f>
        <v>0</v>
      </c>
      <c r="O47" s="500">
        <f t="shared" si="10"/>
        <v>0</v>
      </c>
      <c r="P47" s="501">
        <f t="shared" si="9"/>
        <v>0</v>
      </c>
      <c r="Q47" s="409" t="s">
        <v>330</v>
      </c>
    </row>
    <row r="48" spans="1:17">
      <c r="A48" s="1133" t="s">
        <v>197</v>
      </c>
      <c r="B48" s="51" t="s">
        <v>352</v>
      </c>
      <c r="C48" s="502">
        <f>IF('Prescriptive Path'!H75="",0,((('Prescriptive Path'!H75/Baseline!E76) - ('Prescriptive Path'!H75/Proposed!E75))/1000)*8760)</f>
        <v>0</v>
      </c>
      <c r="D48" s="376">
        <v>0</v>
      </c>
      <c r="E48" s="377">
        <v>0</v>
      </c>
      <c r="F48" s="377">
        <v>0</v>
      </c>
      <c r="G48" s="377">
        <v>10</v>
      </c>
      <c r="H48" s="840" t="s">
        <v>336</v>
      </c>
      <c r="I48" s="840" t="s">
        <v>336</v>
      </c>
      <c r="J48" s="840" t="s">
        <v>336</v>
      </c>
      <c r="K48" s="840" t="s">
        <v>336</v>
      </c>
      <c r="L48" s="378">
        <f>C48/365/24*1</f>
        <v>0</v>
      </c>
      <c r="M48" s="376">
        <v>0</v>
      </c>
      <c r="N48" s="503">
        <f>IF('Prescriptive Path'!$L$4="Upstate",((C48+D48)*0.1858+(E48+F48)*1.322+M48*0.003),((C48+D48)*0.1858+(E48+F48)*1.322+M48*0.007))</f>
        <v>0</v>
      </c>
      <c r="O48" s="504">
        <f t="shared" si="10"/>
        <v>0</v>
      </c>
      <c r="P48" s="381">
        <f t="shared" si="9"/>
        <v>0</v>
      </c>
      <c r="Q48" s="505" t="s">
        <v>371</v>
      </c>
    </row>
    <row r="49" spans="1:17">
      <c r="A49" s="1134"/>
      <c r="B49" s="13" t="s">
        <v>321</v>
      </c>
      <c r="C49" s="491">
        <f>'Prescriptive Path'!H77*1768</f>
        <v>0</v>
      </c>
      <c r="D49" s="506">
        <v>0</v>
      </c>
      <c r="E49" s="383">
        <v>0</v>
      </c>
      <c r="F49" s="383">
        <v>0</v>
      </c>
      <c r="G49" s="473">
        <v>15</v>
      </c>
      <c r="H49" s="841" t="s">
        <v>336</v>
      </c>
      <c r="I49" s="841" t="s">
        <v>336</v>
      </c>
      <c r="J49" s="841" t="s">
        <v>336</v>
      </c>
      <c r="K49" s="841" t="s">
        <v>336</v>
      </c>
      <c r="L49" s="338">
        <f>'Prescriptive Path'!H77*0.119*0.8</f>
        <v>0</v>
      </c>
      <c r="M49" s="474">
        <v>0</v>
      </c>
      <c r="N49" s="507">
        <f>IF('Prescriptive Path'!$L$4="Upstate",((C49+D49)*0.1858+(E49+F49)*1.322+M49*0.003),((C49+D49)*0.1858+(E49+F49)*1.322+M49*0.007))</f>
        <v>0</v>
      </c>
      <c r="O49" s="508">
        <f t="shared" si="10"/>
        <v>0</v>
      </c>
      <c r="P49" s="475">
        <f t="shared" si="9"/>
        <v>0</v>
      </c>
      <c r="Q49" s="341" t="s">
        <v>330</v>
      </c>
    </row>
    <row r="50" spans="1:17">
      <c r="A50" s="1134"/>
      <c r="B50" s="13" t="s">
        <v>322</v>
      </c>
      <c r="C50" s="440">
        <f>'Prescriptive Path'!H78*1768</f>
        <v>0</v>
      </c>
      <c r="D50" s="509">
        <v>0</v>
      </c>
      <c r="E50" s="441">
        <v>0</v>
      </c>
      <c r="F50" s="441">
        <v>0</v>
      </c>
      <c r="G50" s="510">
        <v>15</v>
      </c>
      <c r="H50" s="842" t="s">
        <v>336</v>
      </c>
      <c r="I50" s="842" t="s">
        <v>336</v>
      </c>
      <c r="J50" s="842" t="s">
        <v>336</v>
      </c>
      <c r="K50" s="842" t="s">
        <v>336</v>
      </c>
      <c r="L50" s="443">
        <f>'Prescriptive Path'!H78*0.119*0.8</f>
        <v>0</v>
      </c>
      <c r="M50" s="480">
        <v>0</v>
      </c>
      <c r="N50" s="511">
        <f>IF('Prescriptive Path'!$L$4="Upstate",((C50+D50)*0.1858+(E50+F50)*1.322+M50*0.003),((C50+D50)*0.1858+(E50+F50)*1.322+M50*0.007))</f>
        <v>0</v>
      </c>
      <c r="O50" s="512">
        <f t="shared" si="10"/>
        <v>0</v>
      </c>
      <c r="P50" s="513">
        <f t="shared" si="9"/>
        <v>0</v>
      </c>
      <c r="Q50" s="342" t="s">
        <v>330</v>
      </c>
    </row>
    <row r="51" spans="1:17">
      <c r="A51" s="1134"/>
      <c r="B51" s="13" t="s">
        <v>323</v>
      </c>
      <c r="C51" s="514"/>
      <c r="D51" s="515"/>
      <c r="E51" s="515"/>
      <c r="F51" s="515"/>
      <c r="G51" s="515"/>
      <c r="H51" s="843"/>
      <c r="I51" s="843"/>
      <c r="J51" s="843"/>
      <c r="K51" s="843"/>
      <c r="L51" s="515"/>
      <c r="M51" s="515"/>
      <c r="N51" s="515"/>
      <c r="O51" s="515"/>
      <c r="P51" s="516"/>
      <c r="Q51" s="454"/>
    </row>
    <row r="52" spans="1:17">
      <c r="A52" s="1134"/>
      <c r="B52" s="45" t="s">
        <v>324</v>
      </c>
      <c r="C52" s="432">
        <v>0</v>
      </c>
      <c r="D52" s="517">
        <f>'Prescriptive Path'!H79/1000*VLOOKUP('Prescriptive Path'!$D$4,ClimateZoneLookup!$A$1:$AY$65,50)</f>
        <v>0</v>
      </c>
      <c r="E52" s="433">
        <f>'Prescriptive Path'!H79/1000*VLOOKUP('Prescriptive Path'!$D$4,ClimateZoneLookup!$A$1:$AY$65,51)</f>
        <v>0</v>
      </c>
      <c r="F52" s="433">
        <v>0</v>
      </c>
      <c r="G52" s="434">
        <v>15</v>
      </c>
      <c r="H52" s="844" t="s">
        <v>336</v>
      </c>
      <c r="I52" s="844" t="s">
        <v>336</v>
      </c>
      <c r="J52" s="844" t="s">
        <v>336</v>
      </c>
      <c r="K52" s="844" t="s">
        <v>336</v>
      </c>
      <c r="L52" s="435">
        <v>0</v>
      </c>
      <c r="M52" s="488">
        <v>0</v>
      </c>
      <c r="N52" s="518">
        <f>IF('Prescriptive Path'!$L$4="Upstate",((C52+D52)*0.1858+(E52+F52)*1.322+M52*0.003),((C52+D52)*0.1858+(E52+F52)*1.322+M52*0.007))</f>
        <v>0</v>
      </c>
      <c r="O52" s="512">
        <f t="shared" si="10"/>
        <v>0</v>
      </c>
      <c r="P52" s="489">
        <f>IF(N52=0,0,G52*N52)</f>
        <v>0</v>
      </c>
      <c r="Q52" s="342" t="s">
        <v>330</v>
      </c>
    </row>
    <row r="53" spans="1:17">
      <c r="A53" s="1134"/>
      <c r="B53" s="13" t="s">
        <v>212</v>
      </c>
      <c r="C53" s="491">
        <v>0</v>
      </c>
      <c r="D53" s="491">
        <f>VLOOKUP('Prescriptive Path'!$D$4,ClimateZoneLookup!$A$4:$R$65,17,FALSE)*'Prescriptive Path'!$I$3/1000</f>
        <v>0</v>
      </c>
      <c r="E53" s="491">
        <f>VLOOKUP('Prescriptive Path'!$D$4,ClimateZoneLookup!$A$4:$R$65,18,FALSE)*'Prescriptive Path'!$I$3/1000</f>
        <v>0</v>
      </c>
      <c r="F53" s="491">
        <v>0</v>
      </c>
      <c r="G53" s="384">
        <v>15</v>
      </c>
      <c r="H53" s="841" t="s">
        <v>336</v>
      </c>
      <c r="I53" s="841" t="s">
        <v>336</v>
      </c>
      <c r="J53" s="841" t="s">
        <v>336</v>
      </c>
      <c r="K53" s="841" t="s">
        <v>336</v>
      </c>
      <c r="L53" s="519">
        <f>VLOOKUP('Prescriptive Path'!$D$4,ClimateZoneLookup!$A$4:$S$65,19,FALSE)*'Prescriptive Path'!$I$3/1000*0.8*1</f>
        <v>0</v>
      </c>
      <c r="M53" s="474">
        <v>0</v>
      </c>
      <c r="N53" s="518">
        <f>IF('Prescriptive Path'!$L$4="Upstate",((C53+D53)*0.1858+(E53+F53)*1.322+M53*0.003),((C53+D53)*0.1858+(E53+F53)*1.322+M53*0.007))</f>
        <v>0</v>
      </c>
      <c r="O53" s="512">
        <f t="shared" si="10"/>
        <v>0</v>
      </c>
      <c r="P53" s="475">
        <f>IF(N53=0,0,G53*N53)</f>
        <v>0</v>
      </c>
      <c r="Q53" s="342" t="s">
        <v>330</v>
      </c>
    </row>
    <row r="54" spans="1:17" ht="15.75" thickBot="1">
      <c r="A54" s="71" t="s">
        <v>184</v>
      </c>
      <c r="B54" s="71"/>
      <c r="C54" s="72">
        <f>SUM(C2:C44)+ SUM(C45:C53)</f>
        <v>0</v>
      </c>
      <c r="D54" s="72">
        <f>SUM(D2:D44)+ SUM(D45:D53)</f>
        <v>0</v>
      </c>
      <c r="E54" s="72">
        <f>SUM(E2:E44)+ SUM(E45:E53)</f>
        <v>0</v>
      </c>
      <c r="F54" s="72">
        <f>SUM(F2:F44)+ SUM(F45:F53)</f>
        <v>0</v>
      </c>
      <c r="G54" s="73"/>
      <c r="H54" s="74"/>
      <c r="I54" s="74"/>
      <c r="J54" s="74"/>
      <c r="K54" s="74"/>
      <c r="L54" s="75">
        <f>SUM(L2:L44)+ SUM(L45:L53)</f>
        <v>0</v>
      </c>
      <c r="M54" s="76">
        <f>SUM(M2:M44)+ SUM(M45:M53)</f>
        <v>0</v>
      </c>
      <c r="N54" s="77">
        <f>SUM(N2:N53)</f>
        <v>0</v>
      </c>
      <c r="O54" s="77">
        <f>SUM(O2:O53)</f>
        <v>0</v>
      </c>
      <c r="P54" s="78" t="e">
        <f>SUM(P2:P53)/N54</f>
        <v>#DIV/0!</v>
      </c>
      <c r="Q54" s="111"/>
    </row>
    <row r="55" spans="1:17" ht="15.75" thickBot="1"/>
    <row r="56" spans="1:17" ht="15.75" thickBot="1">
      <c r="A56" s="80" t="s">
        <v>191</v>
      </c>
      <c r="B56" s="521">
        <f>'Prescriptive Path'!I3*30000/3412</f>
        <v>0</v>
      </c>
    </row>
    <row r="57" spans="1:17" ht="15.75" thickBot="1">
      <c r="A57" s="80" t="s">
        <v>192</v>
      </c>
      <c r="B57" s="521">
        <f>'Prescriptive Path'!$I$3*43000/100000</f>
        <v>0</v>
      </c>
    </row>
    <row r="58" spans="1:17" ht="15.75" thickBot="1">
      <c r="A58" s="80" t="s">
        <v>193</v>
      </c>
      <c r="B58" s="521">
        <f>B56-C54-D54</f>
        <v>0</v>
      </c>
    </row>
    <row r="59" spans="1:17" ht="15.75" thickBot="1">
      <c r="A59" s="80" t="s">
        <v>194</v>
      </c>
      <c r="B59" s="521">
        <f>B57-E54-F54</f>
        <v>0</v>
      </c>
      <c r="D59" s="522"/>
    </row>
    <row r="60" spans="1:17" ht="30.75" thickBot="1">
      <c r="A60" s="81" t="s">
        <v>195</v>
      </c>
      <c r="B60" s="523" t="e">
        <f>(0.1936*(B56-B58)+1.486*(B57-B59))/(B57*1.486+B56*0.1936)</f>
        <v>#DIV/0!</v>
      </c>
      <c r="D60" s="522"/>
      <c r="E60" s="524"/>
    </row>
    <row r="62" spans="1:17" ht="15" customHeight="1">
      <c r="D62" s="333"/>
      <c r="E62" s="27"/>
      <c r="F62" s="27"/>
      <c r="G62" s="27"/>
      <c r="I62" s="333"/>
      <c r="J62" s="333"/>
      <c r="Q62" s="79"/>
    </row>
    <row r="70" ht="15" hidden="1" customHeight="1"/>
  </sheetData>
  <sheetProtection algorithmName="SHA-512" hashValue="tNcRQ9Id777dARf7GtQZX3RupBkY7SDHnRXqcMCV4jutT6muyPJyqJwbTteY5r0q4sDn06/qHXwjNmce37kmtw==" saltValue="kTIBf+igwSyWDUo7YRPZxg==" spinCount="100000" sheet="1" objects="1" scenarios="1"/>
  <mergeCells count="9">
    <mergeCell ref="A48:A53"/>
    <mergeCell ref="A46:A47"/>
    <mergeCell ref="A2:A6"/>
    <mergeCell ref="A7:A10"/>
    <mergeCell ref="A11:A13"/>
    <mergeCell ref="A14:A17"/>
    <mergeCell ref="A19:A21"/>
    <mergeCell ref="A27:A44"/>
    <mergeCell ref="A23:A26"/>
  </mergeCells>
  <pageMargins left="0.7" right="0.7" top="0.75" bottom="0.75" header="0.3" footer="0.3"/>
  <pageSetup orientation="portrait" horizontalDpi="200" verticalDpi="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CCFF"/>
  </sheetPr>
  <dimension ref="B2:W129"/>
  <sheetViews>
    <sheetView workbookViewId="0"/>
  </sheetViews>
  <sheetFormatPr defaultRowHeight="15"/>
  <cols>
    <col min="1" max="1" width="9.140625" style="163"/>
    <col min="2" max="2" width="32.42578125" style="267" customWidth="1"/>
    <col min="3" max="4" width="37.28515625" style="267" customWidth="1"/>
    <col min="5" max="5" width="12.7109375" style="267" customWidth="1"/>
    <col min="6" max="8" width="25.42578125" style="267" hidden="1" customWidth="1"/>
    <col min="9" max="11" width="25.42578125" style="267" customWidth="1"/>
    <col min="12" max="13" width="25.42578125" style="267" hidden="1" customWidth="1"/>
    <col min="14" max="22" width="25.42578125" style="267" customWidth="1"/>
    <col min="23" max="16384" width="9.140625" style="163"/>
  </cols>
  <sheetData>
    <row r="2" spans="2:22">
      <c r="B2" s="209" t="s">
        <v>633</v>
      </c>
      <c r="C2" s="161"/>
      <c r="D2" s="161"/>
    </row>
    <row r="3" spans="2:22" ht="28.5" customHeight="1">
      <c r="B3" s="1152" t="s">
        <v>386</v>
      </c>
      <c r="C3" s="211" t="s">
        <v>387</v>
      </c>
      <c r="D3" s="162"/>
      <c r="E3" s="162"/>
      <c r="F3" s="213" t="s">
        <v>387</v>
      </c>
      <c r="G3" s="214"/>
      <c r="H3" s="214"/>
      <c r="I3" s="214"/>
      <c r="J3" s="214"/>
      <c r="K3" s="214"/>
      <c r="L3" s="214"/>
      <c r="M3" s="283"/>
      <c r="N3" s="162"/>
      <c r="O3" s="162"/>
      <c r="P3" s="162"/>
      <c r="Q3" s="162"/>
      <c r="R3" s="162"/>
      <c r="S3" s="162"/>
      <c r="T3" s="162"/>
      <c r="U3" s="162"/>
      <c r="V3" s="162"/>
    </row>
    <row r="4" spans="2:22">
      <c r="B4" s="1153"/>
      <c r="C4" s="215" t="e">
        <f>IF(#REF!="","&lt;select climate zone on 'Project Info' tab&gt;","Climate Zone "&amp;#REF!)</f>
        <v>#REF!</v>
      </c>
      <c r="D4" s="281"/>
      <c r="E4" s="281"/>
      <c r="F4" s="217" t="s">
        <v>448</v>
      </c>
      <c r="G4" s="217" t="s">
        <v>449</v>
      </c>
      <c r="H4" s="217" t="s">
        <v>450</v>
      </c>
      <c r="I4" s="217" t="s">
        <v>365</v>
      </c>
      <c r="J4" s="217" t="s">
        <v>366</v>
      </c>
      <c r="K4" s="217" t="s">
        <v>367</v>
      </c>
      <c r="L4" s="217" t="s">
        <v>451</v>
      </c>
      <c r="M4" s="217" t="s">
        <v>452</v>
      </c>
      <c r="N4" s="162"/>
      <c r="O4" s="162"/>
      <c r="P4" s="162"/>
      <c r="Q4" s="162"/>
      <c r="R4" s="162"/>
      <c r="S4" s="162"/>
      <c r="T4" s="162"/>
      <c r="U4" s="162"/>
      <c r="V4" s="162"/>
    </row>
    <row r="5" spans="2:22" ht="22.5">
      <c r="B5" s="282" t="s">
        <v>388</v>
      </c>
      <c r="C5" s="219" t="e">
        <f>HLOOKUP($C$4,$F$4:$M$37,2,FALSE)</f>
        <v>#REF!</v>
      </c>
      <c r="D5" s="281"/>
      <c r="E5" s="281"/>
      <c r="F5" s="280" t="s">
        <v>629</v>
      </c>
      <c r="G5" s="280" t="s">
        <v>629</v>
      </c>
      <c r="H5" s="280" t="s">
        <v>629</v>
      </c>
      <c r="I5" s="280" t="s">
        <v>629</v>
      </c>
      <c r="J5" s="280" t="s">
        <v>629</v>
      </c>
      <c r="K5" s="280" t="s">
        <v>629</v>
      </c>
      <c r="L5" s="280" t="s">
        <v>629</v>
      </c>
      <c r="M5" s="280" t="s">
        <v>629</v>
      </c>
      <c r="N5" s="162"/>
      <c r="O5" s="162"/>
      <c r="P5" s="162"/>
      <c r="Q5" s="162"/>
      <c r="R5" s="162"/>
      <c r="S5" s="162"/>
      <c r="T5" s="162"/>
      <c r="U5" s="162"/>
      <c r="V5" s="162"/>
    </row>
    <row r="6" spans="2:22" ht="27.75" customHeight="1">
      <c r="B6" s="279" t="s">
        <v>390</v>
      </c>
      <c r="C6" s="221" t="e">
        <f>HLOOKUP($C$4,$F$4:$M$37,3,FALSE)</f>
        <v>#REF!</v>
      </c>
      <c r="D6" s="162"/>
      <c r="E6" s="162"/>
      <c r="F6" s="223" t="s">
        <v>631</v>
      </c>
      <c r="G6" s="223" t="s">
        <v>631</v>
      </c>
      <c r="H6" s="223" t="s">
        <v>631</v>
      </c>
      <c r="I6" s="280" t="s">
        <v>629</v>
      </c>
      <c r="J6" s="280" t="s">
        <v>629</v>
      </c>
      <c r="K6" s="280" t="s">
        <v>629</v>
      </c>
      <c r="L6" s="223" t="s">
        <v>631</v>
      </c>
      <c r="M6" s="223" t="s">
        <v>631</v>
      </c>
      <c r="N6" s="162"/>
      <c r="O6" s="162"/>
      <c r="P6" s="162"/>
      <c r="Q6" s="162"/>
      <c r="R6" s="162"/>
      <c r="S6" s="162"/>
      <c r="T6" s="162"/>
      <c r="U6" s="162"/>
      <c r="V6" s="162"/>
    </row>
    <row r="7" spans="2:22" ht="39" customHeight="1">
      <c r="B7" s="279" t="s">
        <v>391</v>
      </c>
      <c r="C7" s="221" t="e">
        <f>HLOOKUP($C$4,$F$4:$M$37,4,FALSE)</f>
        <v>#REF!</v>
      </c>
      <c r="D7" s="162"/>
      <c r="E7" s="162"/>
      <c r="F7" s="273" t="s">
        <v>632</v>
      </c>
      <c r="G7" s="273" t="s">
        <v>632</v>
      </c>
      <c r="H7" s="273" t="s">
        <v>629</v>
      </c>
      <c r="I7" s="280" t="s">
        <v>629</v>
      </c>
      <c r="J7" s="280" t="s">
        <v>629</v>
      </c>
      <c r="K7" s="280" t="s">
        <v>629</v>
      </c>
      <c r="L7" s="223" t="s">
        <v>631</v>
      </c>
      <c r="M7" s="223" t="s">
        <v>631</v>
      </c>
      <c r="N7" s="162"/>
      <c r="O7" s="162"/>
      <c r="P7" s="162"/>
      <c r="Q7" s="162"/>
      <c r="R7" s="162"/>
      <c r="S7" s="162"/>
      <c r="T7" s="162"/>
      <c r="U7" s="162"/>
      <c r="V7" s="162"/>
    </row>
    <row r="8" spans="2:22">
      <c r="B8" s="279" t="s">
        <v>392</v>
      </c>
      <c r="C8" s="221" t="e">
        <f>HLOOKUP($C$4,$F$4:$M$37,5,FALSE)</f>
        <v>#REF!</v>
      </c>
      <c r="D8" s="162"/>
      <c r="E8" s="162"/>
      <c r="F8" s="273" t="s">
        <v>237</v>
      </c>
      <c r="G8" s="273" t="s">
        <v>237</v>
      </c>
      <c r="H8" s="273" t="s">
        <v>237</v>
      </c>
      <c r="I8" s="273" t="s">
        <v>237</v>
      </c>
      <c r="J8" s="273" t="s">
        <v>237</v>
      </c>
      <c r="K8" s="273" t="s">
        <v>237</v>
      </c>
      <c r="L8" s="273" t="s">
        <v>237</v>
      </c>
      <c r="M8" s="273" t="s">
        <v>237</v>
      </c>
      <c r="N8" s="162"/>
      <c r="O8" s="162"/>
      <c r="P8" s="162"/>
      <c r="Q8" s="162"/>
      <c r="R8" s="162"/>
      <c r="S8" s="162"/>
      <c r="T8" s="162"/>
      <c r="U8" s="162"/>
      <c r="V8" s="162"/>
    </row>
    <row r="9" spans="2:22" ht="30" customHeight="1">
      <c r="B9" s="279" t="s">
        <v>393</v>
      </c>
      <c r="C9" s="221" t="e">
        <f>HLOOKUP($C$4,$F$4:$M$37,6,FALSE)</f>
        <v>#REF!</v>
      </c>
      <c r="D9" s="162"/>
      <c r="E9" s="162"/>
      <c r="F9" s="273" t="s">
        <v>238</v>
      </c>
      <c r="G9" s="273" t="s">
        <v>238</v>
      </c>
      <c r="H9" s="273" t="s">
        <v>238</v>
      </c>
      <c r="I9" s="273" t="s">
        <v>238</v>
      </c>
      <c r="J9" s="273" t="s">
        <v>238</v>
      </c>
      <c r="K9" s="273" t="s">
        <v>238</v>
      </c>
      <c r="L9" s="273" t="s">
        <v>238</v>
      </c>
      <c r="M9" s="273" t="s">
        <v>238</v>
      </c>
      <c r="N9" s="162"/>
      <c r="O9" s="162"/>
      <c r="P9" s="162"/>
      <c r="Q9" s="162"/>
      <c r="R9" s="162"/>
      <c r="S9" s="162"/>
      <c r="T9" s="162"/>
      <c r="U9" s="162"/>
      <c r="V9" s="162"/>
    </row>
    <row r="10" spans="2:22" ht="25.5">
      <c r="B10" s="279" t="s">
        <v>394</v>
      </c>
      <c r="C10" s="221" t="e">
        <f>HLOOKUP($C$4,$F$4:$M$37,7,FALSE)</f>
        <v>#REF!</v>
      </c>
      <c r="D10" s="162"/>
      <c r="E10" s="162"/>
      <c r="F10" s="273" t="s">
        <v>630</v>
      </c>
      <c r="G10" s="223" t="s">
        <v>395</v>
      </c>
      <c r="H10" s="223" t="s">
        <v>395</v>
      </c>
      <c r="I10" s="223" t="s">
        <v>395</v>
      </c>
      <c r="J10" s="223" t="s">
        <v>395</v>
      </c>
      <c r="K10" s="223" t="s">
        <v>395</v>
      </c>
      <c r="L10" s="223" t="s">
        <v>395</v>
      </c>
      <c r="M10" s="223" t="s">
        <v>395</v>
      </c>
      <c r="N10" s="162"/>
      <c r="O10" s="162"/>
      <c r="P10" s="162"/>
      <c r="Q10" s="162"/>
      <c r="R10" s="162"/>
      <c r="S10" s="162"/>
      <c r="T10" s="162"/>
      <c r="U10" s="162"/>
      <c r="V10" s="162"/>
    </row>
    <row r="11" spans="2:22" ht="22.5">
      <c r="B11" s="279" t="s">
        <v>396</v>
      </c>
      <c r="C11" s="221" t="e">
        <f>HLOOKUP($C$4,$F$4:$M$37,8,FALSE)</f>
        <v>#REF!</v>
      </c>
      <c r="D11" s="162"/>
      <c r="E11" s="162"/>
      <c r="F11" s="273" t="s">
        <v>628</v>
      </c>
      <c r="G11" s="273" t="s">
        <v>628</v>
      </c>
      <c r="H11" s="273" t="s">
        <v>628</v>
      </c>
      <c r="I11" s="280" t="s">
        <v>629</v>
      </c>
      <c r="J11" s="280" t="s">
        <v>629</v>
      </c>
      <c r="K11" s="280" t="s">
        <v>629</v>
      </c>
      <c r="L11" s="273" t="s">
        <v>628</v>
      </c>
      <c r="M11" s="273" t="s">
        <v>628</v>
      </c>
      <c r="N11" s="162"/>
      <c r="O11" s="162"/>
      <c r="P11" s="162"/>
      <c r="Q11" s="162"/>
      <c r="R11" s="162"/>
      <c r="S11" s="162"/>
      <c r="T11" s="162"/>
      <c r="U11" s="162"/>
      <c r="V11" s="162"/>
    </row>
    <row r="12" spans="2:22" ht="25.5">
      <c r="B12" s="279" t="s">
        <v>397</v>
      </c>
      <c r="C12" s="221" t="e">
        <f>HLOOKUP($C$4,$F$4:$M$37,9,FALSE)</f>
        <v>#REF!</v>
      </c>
      <c r="D12" s="162"/>
      <c r="E12" s="162"/>
      <c r="F12" s="273" t="s">
        <v>398</v>
      </c>
      <c r="G12" s="273" t="s">
        <v>398</v>
      </c>
      <c r="H12" s="273" t="s">
        <v>398</v>
      </c>
      <c r="I12" s="273" t="s">
        <v>398</v>
      </c>
      <c r="J12" s="273" t="s">
        <v>398</v>
      </c>
      <c r="K12" s="273" t="s">
        <v>398</v>
      </c>
      <c r="L12" s="273" t="s">
        <v>398</v>
      </c>
      <c r="M12" s="273" t="s">
        <v>398</v>
      </c>
      <c r="N12" s="162"/>
      <c r="O12" s="162"/>
      <c r="P12" s="162"/>
      <c r="Q12" s="162"/>
      <c r="R12" s="162"/>
      <c r="S12" s="162"/>
      <c r="T12" s="162"/>
      <c r="U12" s="162"/>
      <c r="V12" s="162"/>
    </row>
    <row r="13" spans="2:22" ht="27.75" customHeight="1">
      <c r="B13" s="279" t="s">
        <v>399</v>
      </c>
      <c r="C13" s="221" t="e">
        <f>HLOOKUP($C$4,$F$4:$M$37,10,FALSE)</f>
        <v>#REF!</v>
      </c>
      <c r="D13" s="162"/>
      <c r="E13" s="162"/>
      <c r="F13" s="273" t="s">
        <v>400</v>
      </c>
      <c r="G13" s="273" t="s">
        <v>400</v>
      </c>
      <c r="H13" s="273" t="s">
        <v>400</v>
      </c>
      <c r="I13" s="273" t="s">
        <v>400</v>
      </c>
      <c r="J13" s="273" t="s">
        <v>400</v>
      </c>
      <c r="K13" s="273" t="s">
        <v>400</v>
      </c>
      <c r="L13" s="273" t="s">
        <v>400</v>
      </c>
      <c r="M13" s="273" t="s">
        <v>400</v>
      </c>
      <c r="N13" s="162"/>
      <c r="O13" s="162"/>
      <c r="P13" s="162"/>
      <c r="Q13" s="162"/>
      <c r="R13" s="162"/>
      <c r="S13" s="162"/>
      <c r="T13" s="162"/>
      <c r="U13" s="162"/>
      <c r="V13" s="162"/>
    </row>
    <row r="14" spans="2:22" ht="51">
      <c r="B14" s="279" t="s">
        <v>401</v>
      </c>
      <c r="C14" s="221" t="e">
        <f>HLOOKUP($C$4,$F$4:$M$37,11,FALSE)</f>
        <v>#REF!</v>
      </c>
      <c r="D14" s="162"/>
      <c r="E14" s="162"/>
      <c r="F14" s="273" t="s">
        <v>402</v>
      </c>
      <c r="G14" s="273" t="s">
        <v>402</v>
      </c>
      <c r="H14" s="273" t="s">
        <v>402</v>
      </c>
      <c r="I14" s="273" t="s">
        <v>402</v>
      </c>
      <c r="J14" s="273" t="s">
        <v>402</v>
      </c>
      <c r="K14" s="273" t="s">
        <v>402</v>
      </c>
      <c r="L14" s="273" t="s">
        <v>402</v>
      </c>
      <c r="M14" s="273" t="s">
        <v>402</v>
      </c>
      <c r="N14" s="162"/>
      <c r="O14" s="162"/>
      <c r="P14" s="162"/>
      <c r="Q14" s="162"/>
      <c r="R14" s="162"/>
      <c r="S14" s="162"/>
      <c r="T14" s="162"/>
      <c r="U14" s="162"/>
      <c r="V14" s="162"/>
    </row>
    <row r="15" spans="2:22" ht="25.5">
      <c r="B15" s="279" t="s">
        <v>243</v>
      </c>
      <c r="C15" s="221" t="e">
        <f>HLOOKUP($C$4,$F$4:$M$37,12,FALSE)</f>
        <v>#REF!</v>
      </c>
      <c r="D15" s="162"/>
      <c r="E15" s="162"/>
      <c r="F15" s="273" t="s">
        <v>627</v>
      </c>
      <c r="G15" s="273" t="s">
        <v>627</v>
      </c>
      <c r="H15" s="273" t="s">
        <v>626</v>
      </c>
      <c r="I15" s="273" t="s">
        <v>625</v>
      </c>
      <c r="J15" s="273" t="s">
        <v>624</v>
      </c>
      <c r="K15" s="273" t="s">
        <v>623</v>
      </c>
      <c r="L15" s="273" t="s">
        <v>622</v>
      </c>
      <c r="M15" s="273" t="s">
        <v>622</v>
      </c>
      <c r="N15" s="162"/>
      <c r="O15" s="162"/>
      <c r="P15" s="162"/>
      <c r="Q15" s="162"/>
      <c r="R15" s="162"/>
      <c r="S15" s="162"/>
      <c r="T15" s="162"/>
      <c r="U15" s="162"/>
      <c r="V15" s="162"/>
    </row>
    <row r="16" spans="2:22" ht="45" customHeight="1">
      <c r="B16" s="279" t="s">
        <v>406</v>
      </c>
      <c r="C16" s="221" t="e">
        <f>HLOOKUP($C$4,$F$4:$M$37,13,FALSE)</f>
        <v>#REF!</v>
      </c>
      <c r="D16" s="162"/>
      <c r="E16" s="162"/>
      <c r="F16" s="273" t="s">
        <v>407</v>
      </c>
      <c r="G16" s="273" t="s">
        <v>407</v>
      </c>
      <c r="H16" s="273" t="s">
        <v>407</v>
      </c>
      <c r="I16" s="273" t="s">
        <v>407</v>
      </c>
      <c r="J16" s="273" t="s">
        <v>407</v>
      </c>
      <c r="K16" s="273" t="s">
        <v>407</v>
      </c>
      <c r="L16" s="273" t="s">
        <v>407</v>
      </c>
      <c r="M16" s="273" t="s">
        <v>407</v>
      </c>
      <c r="N16" s="162"/>
      <c r="O16" s="162"/>
      <c r="P16" s="162"/>
      <c r="Q16" s="162"/>
      <c r="R16" s="162"/>
      <c r="S16" s="162"/>
      <c r="T16" s="162"/>
      <c r="U16" s="162"/>
      <c r="V16" s="162"/>
    </row>
    <row r="17" spans="2:22" ht="38.25">
      <c r="B17" s="279" t="s">
        <v>244</v>
      </c>
      <c r="C17" s="221" t="e">
        <f>HLOOKUP($C$4,$F$4:$M$37,14,FALSE)</f>
        <v>#REF!</v>
      </c>
      <c r="D17" s="162"/>
      <c r="E17" s="162"/>
      <c r="F17" s="273" t="s">
        <v>408</v>
      </c>
      <c r="G17" s="273" t="s">
        <v>408</v>
      </c>
      <c r="H17" s="273" t="s">
        <v>408</v>
      </c>
      <c r="I17" s="273" t="s">
        <v>408</v>
      </c>
      <c r="J17" s="273" t="s">
        <v>408</v>
      </c>
      <c r="K17" s="273" t="s">
        <v>408</v>
      </c>
      <c r="L17" s="273" t="s">
        <v>408</v>
      </c>
      <c r="M17" s="273" t="s">
        <v>408</v>
      </c>
      <c r="N17" s="162"/>
      <c r="O17" s="162"/>
      <c r="P17" s="162"/>
      <c r="Q17" s="162"/>
      <c r="R17" s="162"/>
      <c r="S17" s="162"/>
      <c r="T17" s="162"/>
      <c r="U17" s="162"/>
      <c r="V17" s="162"/>
    </row>
    <row r="18" spans="2:22" ht="38.25">
      <c r="B18" s="279" t="s">
        <v>409</v>
      </c>
      <c r="C18" s="221" t="e">
        <f>HLOOKUP($C$4,$F$4:$M$37,15,FALSE)</f>
        <v>#REF!</v>
      </c>
      <c r="D18" s="162"/>
      <c r="E18" s="162"/>
      <c r="F18" s="223" t="s">
        <v>410</v>
      </c>
      <c r="G18" s="223" t="s">
        <v>410</v>
      </c>
      <c r="H18" s="223" t="s">
        <v>410</v>
      </c>
      <c r="I18" s="223" t="s">
        <v>410</v>
      </c>
      <c r="J18" s="223" t="s">
        <v>410</v>
      </c>
      <c r="K18" s="223" t="s">
        <v>410</v>
      </c>
      <c r="L18" s="223" t="s">
        <v>410</v>
      </c>
      <c r="M18" s="223" t="s">
        <v>410</v>
      </c>
      <c r="N18" s="162"/>
      <c r="O18" s="162"/>
      <c r="P18" s="162"/>
      <c r="Q18" s="162"/>
      <c r="R18" s="162"/>
      <c r="S18" s="162"/>
      <c r="T18" s="162"/>
      <c r="U18" s="162"/>
      <c r="V18" s="162"/>
    </row>
    <row r="19" spans="2:22">
      <c r="B19" s="279" t="s">
        <v>245</v>
      </c>
      <c r="C19" s="221" t="e">
        <f>HLOOKUP($C$4,$F$4:$M$37,16,FALSE)</f>
        <v>#REF!</v>
      </c>
      <c r="D19" s="162"/>
      <c r="E19" s="162"/>
      <c r="F19" s="223" t="s">
        <v>621</v>
      </c>
      <c r="G19" s="223" t="s">
        <v>621</v>
      </c>
      <c r="H19" s="223" t="s">
        <v>621</v>
      </c>
      <c r="I19" s="273" t="s">
        <v>620</v>
      </c>
      <c r="J19" s="273" t="s">
        <v>620</v>
      </c>
      <c r="K19" s="273" t="s">
        <v>411</v>
      </c>
      <c r="L19" s="273" t="s">
        <v>411</v>
      </c>
      <c r="M19" s="273" t="s">
        <v>411</v>
      </c>
      <c r="N19" s="162"/>
      <c r="O19" s="162"/>
      <c r="P19" s="162"/>
      <c r="Q19" s="162"/>
      <c r="R19" s="162"/>
      <c r="S19" s="162"/>
      <c r="T19" s="162"/>
      <c r="U19" s="162"/>
      <c r="V19" s="162"/>
    </row>
    <row r="20" spans="2:22" ht="38.25">
      <c r="B20" s="279" t="s">
        <v>412</v>
      </c>
      <c r="C20" s="221" t="e">
        <f>HLOOKUP($C$4,$F$4:$M$37,17,FALSE)</f>
        <v>#REF!</v>
      </c>
      <c r="D20" s="162"/>
      <c r="E20" s="162"/>
      <c r="F20" s="273" t="s">
        <v>619</v>
      </c>
      <c r="G20" s="273" t="s">
        <v>619</v>
      </c>
      <c r="H20" s="273" t="s">
        <v>619</v>
      </c>
      <c r="I20" s="223" t="s">
        <v>413</v>
      </c>
      <c r="J20" s="223" t="s">
        <v>413</v>
      </c>
      <c r="K20" s="223" t="s">
        <v>413</v>
      </c>
      <c r="L20" s="273" t="s">
        <v>619</v>
      </c>
      <c r="M20" s="273" t="s">
        <v>619</v>
      </c>
      <c r="N20" s="162"/>
      <c r="O20" s="162"/>
      <c r="P20" s="162"/>
      <c r="Q20" s="162"/>
      <c r="R20" s="162"/>
      <c r="S20" s="162"/>
      <c r="T20" s="162"/>
      <c r="U20" s="162"/>
      <c r="V20" s="162"/>
    </row>
    <row r="21" spans="2:22" ht="45" customHeight="1">
      <c r="B21" s="279" t="s">
        <v>247</v>
      </c>
      <c r="C21" s="221" t="e">
        <f>HLOOKUP($C$4,$F$4:$M$37,18,FALSE)</f>
        <v>#REF!</v>
      </c>
      <c r="D21" s="162"/>
      <c r="E21" s="162"/>
      <c r="F21" s="273" t="s">
        <v>414</v>
      </c>
      <c r="G21" s="273" t="s">
        <v>414</v>
      </c>
      <c r="H21" s="273" t="s">
        <v>414</v>
      </c>
      <c r="I21" s="273" t="s">
        <v>414</v>
      </c>
      <c r="J21" s="273" t="s">
        <v>414</v>
      </c>
      <c r="K21" s="273" t="s">
        <v>414</v>
      </c>
      <c r="L21" s="273" t="s">
        <v>414</v>
      </c>
      <c r="M21" s="273" t="s">
        <v>414</v>
      </c>
      <c r="N21" s="162"/>
      <c r="O21" s="162"/>
      <c r="P21" s="162"/>
      <c r="Q21" s="162"/>
      <c r="R21" s="162"/>
      <c r="S21" s="162"/>
      <c r="T21" s="162"/>
      <c r="U21" s="162"/>
      <c r="V21" s="162"/>
    </row>
    <row r="22" spans="2:22" ht="22.5">
      <c r="B22" s="279" t="s">
        <v>415</v>
      </c>
      <c r="C22" s="221" t="e">
        <f>HLOOKUP($C$4,$F$4:$M$37,19,FALSE)</f>
        <v>#REF!</v>
      </c>
      <c r="D22" s="162"/>
      <c r="E22" s="162"/>
      <c r="F22" s="223" t="s">
        <v>416</v>
      </c>
      <c r="G22" s="223" t="s">
        <v>416</v>
      </c>
      <c r="H22" s="223" t="s">
        <v>416</v>
      </c>
      <c r="I22" s="223" t="s">
        <v>416</v>
      </c>
      <c r="J22" s="223" t="s">
        <v>416</v>
      </c>
      <c r="K22" s="223" t="s">
        <v>416</v>
      </c>
      <c r="L22" s="223" t="s">
        <v>416</v>
      </c>
      <c r="M22" s="223" t="s">
        <v>416</v>
      </c>
      <c r="N22" s="162"/>
      <c r="O22" s="162"/>
      <c r="P22" s="162"/>
      <c r="Q22" s="162"/>
      <c r="R22" s="162"/>
      <c r="S22" s="162"/>
      <c r="T22" s="162"/>
      <c r="U22" s="162"/>
      <c r="V22" s="162"/>
    </row>
    <row r="23" spans="2:22" ht="25.5">
      <c r="B23" s="279" t="s">
        <v>417</v>
      </c>
      <c r="C23" s="221" t="e">
        <f>HLOOKUP($C$4,$F$4:$M$37,20,FALSE)</f>
        <v>#REF!</v>
      </c>
      <c r="D23" s="162"/>
      <c r="E23" s="162"/>
      <c r="F23" s="273" t="s">
        <v>418</v>
      </c>
      <c r="G23" s="273" t="s">
        <v>418</v>
      </c>
      <c r="H23" s="273" t="s">
        <v>418</v>
      </c>
      <c r="I23" s="273" t="s">
        <v>418</v>
      </c>
      <c r="J23" s="273" t="s">
        <v>418</v>
      </c>
      <c r="K23" s="273" t="s">
        <v>418</v>
      </c>
      <c r="L23" s="273" t="s">
        <v>418</v>
      </c>
      <c r="M23" s="273" t="s">
        <v>418</v>
      </c>
      <c r="N23" s="162"/>
      <c r="O23" s="162"/>
      <c r="P23" s="162"/>
      <c r="Q23" s="162"/>
      <c r="R23" s="162"/>
      <c r="S23" s="162"/>
      <c r="T23" s="162"/>
      <c r="U23" s="162"/>
      <c r="V23" s="162"/>
    </row>
    <row r="24" spans="2:22" ht="25.5">
      <c r="B24" s="279" t="s">
        <v>419</v>
      </c>
      <c r="C24" s="221" t="e">
        <f>HLOOKUP($C$4,$F$4:$M$37,21,FALSE)</f>
        <v>#REF!</v>
      </c>
      <c r="D24" s="162"/>
      <c r="E24" s="162"/>
      <c r="F24" s="273" t="s">
        <v>420</v>
      </c>
      <c r="G24" s="273" t="s">
        <v>420</v>
      </c>
      <c r="H24" s="273" t="s">
        <v>420</v>
      </c>
      <c r="I24" s="273" t="s">
        <v>420</v>
      </c>
      <c r="J24" s="273" t="s">
        <v>420</v>
      </c>
      <c r="K24" s="273" t="s">
        <v>420</v>
      </c>
      <c r="L24" s="273" t="s">
        <v>420</v>
      </c>
      <c r="M24" s="273" t="s">
        <v>420</v>
      </c>
      <c r="N24" s="162"/>
      <c r="O24" s="162"/>
      <c r="P24" s="162"/>
      <c r="Q24" s="162"/>
      <c r="R24" s="162"/>
      <c r="S24" s="162"/>
      <c r="T24" s="162"/>
      <c r="U24" s="162"/>
      <c r="V24" s="162"/>
    </row>
    <row r="25" spans="2:22" ht="25.5">
      <c r="B25" s="279" t="s">
        <v>421</v>
      </c>
      <c r="C25" s="221" t="e">
        <f>HLOOKUP($C$4,$F$4:$M$37,22,FALSE)</f>
        <v>#REF!</v>
      </c>
      <c r="D25" s="162"/>
      <c r="E25" s="162"/>
      <c r="F25" s="223" t="s">
        <v>422</v>
      </c>
      <c r="G25" s="223" t="s">
        <v>422</v>
      </c>
      <c r="H25" s="223" t="s">
        <v>422</v>
      </c>
      <c r="I25" s="223" t="s">
        <v>422</v>
      </c>
      <c r="J25" s="223" t="s">
        <v>422</v>
      </c>
      <c r="K25" s="223" t="s">
        <v>422</v>
      </c>
      <c r="L25" s="223" t="s">
        <v>422</v>
      </c>
      <c r="M25" s="223" t="s">
        <v>422</v>
      </c>
      <c r="N25" s="162"/>
      <c r="O25" s="162"/>
      <c r="P25" s="162"/>
      <c r="Q25" s="162"/>
      <c r="R25" s="162"/>
      <c r="S25" s="162"/>
      <c r="T25" s="162"/>
      <c r="U25" s="162"/>
      <c r="V25" s="162"/>
    </row>
    <row r="26" spans="2:22" ht="25.5">
      <c r="B26" s="278" t="s">
        <v>423</v>
      </c>
      <c r="C26" s="221" t="e">
        <f>HLOOKUP($C$4,$F$4:$M$37,23,FALSE)</f>
        <v>#REF!</v>
      </c>
      <c r="D26" s="162"/>
      <c r="E26" s="162"/>
      <c r="F26" s="223" t="s">
        <v>424</v>
      </c>
      <c r="G26" s="223" t="s">
        <v>424</v>
      </c>
      <c r="H26" s="223" t="s">
        <v>424</v>
      </c>
      <c r="I26" s="223" t="s">
        <v>424</v>
      </c>
      <c r="J26" s="223" t="s">
        <v>424</v>
      </c>
      <c r="K26" s="223" t="s">
        <v>424</v>
      </c>
      <c r="L26" s="223" t="s">
        <v>424</v>
      </c>
      <c r="M26" s="223" t="s">
        <v>424</v>
      </c>
      <c r="N26" s="162"/>
      <c r="O26" s="162"/>
      <c r="P26" s="162"/>
      <c r="Q26" s="162"/>
      <c r="R26" s="162"/>
      <c r="S26" s="162"/>
      <c r="T26" s="162"/>
      <c r="U26" s="162"/>
      <c r="V26" s="162"/>
    </row>
    <row r="27" spans="2:22" ht="25.5">
      <c r="B27" s="277" t="s">
        <v>425</v>
      </c>
      <c r="C27" s="221" t="e">
        <f>HLOOKUP($C$4,$F$4:$M$37,24,FALSE)</f>
        <v>#REF!</v>
      </c>
      <c r="D27" s="162"/>
      <c r="E27" s="162"/>
      <c r="F27" s="273" t="s">
        <v>426</v>
      </c>
      <c r="G27" s="273" t="s">
        <v>426</v>
      </c>
      <c r="H27" s="273" t="s">
        <v>426</v>
      </c>
      <c r="I27" s="273" t="s">
        <v>426</v>
      </c>
      <c r="J27" s="273" t="s">
        <v>426</v>
      </c>
      <c r="K27" s="273" t="s">
        <v>426</v>
      </c>
      <c r="L27" s="273" t="s">
        <v>426</v>
      </c>
      <c r="M27" s="273" t="s">
        <v>426</v>
      </c>
      <c r="N27" s="162"/>
      <c r="O27" s="162"/>
      <c r="P27" s="162"/>
      <c r="Q27" s="162"/>
      <c r="R27" s="162"/>
      <c r="S27" s="162"/>
      <c r="T27" s="162"/>
      <c r="U27" s="162"/>
      <c r="V27" s="162"/>
    </row>
    <row r="28" spans="2:22" ht="25.5">
      <c r="B28" s="277" t="s">
        <v>427</v>
      </c>
      <c r="C28" s="221" t="e">
        <f>HLOOKUP($C$4,$F$4:$M$37,25,FALSE)</f>
        <v>#REF!</v>
      </c>
      <c r="D28" s="162"/>
      <c r="E28" s="162"/>
      <c r="F28" s="273" t="s">
        <v>428</v>
      </c>
      <c r="G28" s="273" t="s">
        <v>428</v>
      </c>
      <c r="H28" s="273" t="s">
        <v>428</v>
      </c>
      <c r="I28" s="273" t="s">
        <v>428</v>
      </c>
      <c r="J28" s="273" t="s">
        <v>428</v>
      </c>
      <c r="K28" s="273" t="s">
        <v>428</v>
      </c>
      <c r="L28" s="273" t="s">
        <v>428</v>
      </c>
      <c r="M28" s="273" t="s">
        <v>428</v>
      </c>
      <c r="N28" s="162"/>
      <c r="O28" s="162"/>
      <c r="P28" s="162"/>
      <c r="Q28" s="162"/>
      <c r="R28" s="162"/>
      <c r="S28" s="162"/>
      <c r="T28" s="162"/>
      <c r="U28" s="162"/>
      <c r="V28" s="162"/>
    </row>
    <row r="29" spans="2:22" ht="25.5">
      <c r="B29" s="277" t="s">
        <v>429</v>
      </c>
      <c r="C29" s="221" t="e">
        <f>HLOOKUP($C$4,$F$4:$M$37,26,FALSE)</f>
        <v>#REF!</v>
      </c>
      <c r="D29" s="162"/>
      <c r="E29" s="162"/>
      <c r="F29" s="273" t="s">
        <v>430</v>
      </c>
      <c r="G29" s="273" t="s">
        <v>430</v>
      </c>
      <c r="H29" s="273" t="s">
        <v>430</v>
      </c>
      <c r="I29" s="273" t="s">
        <v>430</v>
      </c>
      <c r="J29" s="273" t="s">
        <v>430</v>
      </c>
      <c r="K29" s="273" t="s">
        <v>430</v>
      </c>
      <c r="L29" s="273" t="s">
        <v>430</v>
      </c>
      <c r="M29" s="273" t="s">
        <v>430</v>
      </c>
      <c r="N29" s="162"/>
      <c r="O29" s="162"/>
      <c r="P29" s="162"/>
      <c r="Q29" s="162"/>
      <c r="R29" s="162"/>
      <c r="S29" s="162"/>
      <c r="T29" s="162"/>
      <c r="U29" s="162"/>
      <c r="V29" s="162"/>
    </row>
    <row r="30" spans="2:22" ht="22.5">
      <c r="B30" s="277" t="s">
        <v>431</v>
      </c>
      <c r="C30" s="221" t="e">
        <f>HLOOKUP($C$4,$F$4:$M$37,27,FALSE)</f>
        <v>#REF!</v>
      </c>
      <c r="D30" s="162"/>
      <c r="E30" s="162"/>
      <c r="F30" s="273" t="s">
        <v>432</v>
      </c>
      <c r="G30" s="273" t="s">
        <v>432</v>
      </c>
      <c r="H30" s="273" t="s">
        <v>432</v>
      </c>
      <c r="I30" s="273" t="s">
        <v>432</v>
      </c>
      <c r="J30" s="273" t="s">
        <v>432</v>
      </c>
      <c r="K30" s="273" t="s">
        <v>432</v>
      </c>
      <c r="L30" s="273" t="s">
        <v>432</v>
      </c>
      <c r="M30" s="273" t="s">
        <v>432</v>
      </c>
      <c r="N30" s="162"/>
      <c r="O30" s="162"/>
      <c r="P30" s="162"/>
      <c r="Q30" s="162"/>
      <c r="R30" s="162"/>
      <c r="S30" s="162"/>
      <c r="T30" s="162"/>
      <c r="U30" s="162"/>
      <c r="V30" s="162"/>
    </row>
    <row r="31" spans="2:22" ht="22.5">
      <c r="B31" s="277" t="s">
        <v>433</v>
      </c>
      <c r="C31" s="221" t="e">
        <f>HLOOKUP($C$4,$F$4:$M$37,28,FALSE)</f>
        <v>#REF!</v>
      </c>
      <c r="D31" s="162"/>
      <c r="E31" s="162"/>
      <c r="F31" s="273" t="s">
        <v>18</v>
      </c>
      <c r="G31" s="273" t="s">
        <v>18</v>
      </c>
      <c r="H31" s="273" t="s">
        <v>18</v>
      </c>
      <c r="I31" s="273" t="s">
        <v>18</v>
      </c>
      <c r="J31" s="273" t="s">
        <v>18</v>
      </c>
      <c r="K31" s="273" t="s">
        <v>18</v>
      </c>
      <c r="L31" s="273" t="s">
        <v>18</v>
      </c>
      <c r="M31" s="273" t="s">
        <v>18</v>
      </c>
      <c r="N31" s="162"/>
      <c r="O31" s="162"/>
      <c r="P31" s="162"/>
      <c r="Q31" s="162"/>
      <c r="R31" s="162"/>
      <c r="S31" s="162"/>
      <c r="T31" s="162"/>
      <c r="U31" s="162"/>
      <c r="V31" s="162"/>
    </row>
    <row r="32" spans="2:22" ht="22.5">
      <c r="B32" s="277" t="s">
        <v>434</v>
      </c>
      <c r="C32" s="221" t="e">
        <f>HLOOKUP($C$4,$F$4:$M$37,29,FALSE)</f>
        <v>#REF!</v>
      </c>
      <c r="D32" s="162"/>
      <c r="E32" s="162"/>
      <c r="F32" s="273" t="s">
        <v>16</v>
      </c>
      <c r="G32" s="273" t="s">
        <v>16</v>
      </c>
      <c r="H32" s="273" t="s">
        <v>16</v>
      </c>
      <c r="I32" s="273" t="s">
        <v>16</v>
      </c>
      <c r="J32" s="273" t="s">
        <v>16</v>
      </c>
      <c r="K32" s="273" t="s">
        <v>16</v>
      </c>
      <c r="L32" s="273" t="s">
        <v>16</v>
      </c>
      <c r="M32" s="273" t="s">
        <v>16</v>
      </c>
      <c r="N32" s="162"/>
      <c r="O32" s="162"/>
      <c r="P32" s="162"/>
      <c r="Q32" s="162"/>
      <c r="R32" s="162"/>
      <c r="S32" s="162"/>
      <c r="T32" s="162"/>
      <c r="U32" s="162"/>
      <c r="V32" s="162"/>
    </row>
    <row r="33" spans="2:23" ht="22.5">
      <c r="B33" s="277" t="s">
        <v>435</v>
      </c>
      <c r="C33" s="221" t="e">
        <f>HLOOKUP($C$4,$F$4:$M$37,30,FALSE)</f>
        <v>#REF!</v>
      </c>
      <c r="D33" s="162"/>
      <c r="E33" s="162"/>
      <c r="F33" s="273" t="s">
        <v>17</v>
      </c>
      <c r="G33" s="273" t="s">
        <v>17</v>
      </c>
      <c r="H33" s="273" t="s">
        <v>17</v>
      </c>
      <c r="I33" s="273" t="s">
        <v>17</v>
      </c>
      <c r="J33" s="273" t="s">
        <v>17</v>
      </c>
      <c r="K33" s="273" t="s">
        <v>17</v>
      </c>
      <c r="L33" s="273" t="s">
        <v>17</v>
      </c>
      <c r="M33" s="273" t="s">
        <v>17</v>
      </c>
      <c r="N33" s="162"/>
      <c r="O33" s="162"/>
      <c r="P33" s="162"/>
      <c r="Q33" s="162"/>
      <c r="R33" s="162"/>
      <c r="S33" s="162"/>
      <c r="T33" s="162"/>
      <c r="U33" s="162"/>
      <c r="V33" s="162"/>
    </row>
    <row r="34" spans="2:23" ht="54.75" customHeight="1">
      <c r="B34" s="277" t="s">
        <v>436</v>
      </c>
      <c r="C34" s="221" t="e">
        <f>HLOOKUP($C$4,$F$4:$M$37,31,FALSE)</f>
        <v>#REF!</v>
      </c>
      <c r="D34" s="162"/>
      <c r="E34" s="162"/>
      <c r="F34" s="273" t="s">
        <v>437</v>
      </c>
      <c r="G34" s="273" t="s">
        <v>437</v>
      </c>
      <c r="H34" s="273" t="s">
        <v>437</v>
      </c>
      <c r="I34" s="273" t="s">
        <v>437</v>
      </c>
      <c r="J34" s="273" t="s">
        <v>437</v>
      </c>
      <c r="K34" s="273" t="s">
        <v>437</v>
      </c>
      <c r="L34" s="273" t="s">
        <v>255</v>
      </c>
      <c r="M34" s="273" t="s">
        <v>255</v>
      </c>
      <c r="N34" s="162"/>
      <c r="O34" s="162"/>
      <c r="P34" s="162"/>
      <c r="Q34" s="162"/>
      <c r="R34" s="162"/>
      <c r="S34" s="162"/>
      <c r="T34" s="162"/>
      <c r="U34" s="162"/>
      <c r="V34" s="162"/>
    </row>
    <row r="35" spans="2:23" ht="38.25">
      <c r="B35" s="277" t="s">
        <v>438</v>
      </c>
      <c r="C35" s="221" t="e">
        <f>HLOOKUP($C$4,$F$4:$M$37,32,FALSE)</f>
        <v>#REF!</v>
      </c>
      <c r="D35" s="162"/>
      <c r="E35" s="162"/>
      <c r="F35" s="273" t="s">
        <v>256</v>
      </c>
      <c r="G35" s="273" t="s">
        <v>256</v>
      </c>
      <c r="H35" s="273" t="s">
        <v>256</v>
      </c>
      <c r="I35" s="273" t="s">
        <v>256</v>
      </c>
      <c r="J35" s="273" t="s">
        <v>256</v>
      </c>
      <c r="K35" s="273" t="s">
        <v>256</v>
      </c>
      <c r="L35" s="273" t="s">
        <v>256</v>
      </c>
      <c r="M35" s="273" t="s">
        <v>256</v>
      </c>
      <c r="N35" s="162"/>
      <c r="O35" s="162"/>
      <c r="P35" s="162"/>
      <c r="Q35" s="162"/>
      <c r="R35" s="162"/>
      <c r="S35" s="162"/>
      <c r="T35" s="162"/>
      <c r="U35" s="162"/>
      <c r="V35" s="162"/>
    </row>
    <row r="36" spans="2:23" ht="49.5" customHeight="1">
      <c r="B36" s="277" t="s">
        <v>439</v>
      </c>
      <c r="C36" s="221" t="e">
        <f>HLOOKUP($C$4,$F$4:$M$37,33,FALSE)</f>
        <v>#REF!</v>
      </c>
      <c r="D36" s="162"/>
      <c r="E36" s="162"/>
      <c r="F36" s="273" t="s">
        <v>257</v>
      </c>
      <c r="G36" s="273" t="s">
        <v>257</v>
      </c>
      <c r="H36" s="273" t="s">
        <v>257</v>
      </c>
      <c r="I36" s="273" t="s">
        <v>257</v>
      </c>
      <c r="J36" s="273" t="s">
        <v>257</v>
      </c>
      <c r="K36" s="273" t="s">
        <v>257</v>
      </c>
      <c r="L36" s="273" t="s">
        <v>257</v>
      </c>
      <c r="M36" s="273" t="s">
        <v>257</v>
      </c>
      <c r="N36" s="162"/>
      <c r="O36" s="162"/>
      <c r="P36" s="162"/>
      <c r="Q36" s="162"/>
      <c r="R36" s="162"/>
      <c r="S36" s="162"/>
      <c r="T36" s="162"/>
      <c r="U36" s="162"/>
      <c r="V36" s="162"/>
    </row>
    <row r="37" spans="2:23" ht="38.25">
      <c r="B37" s="277" t="s">
        <v>440</v>
      </c>
      <c r="C37" s="221" t="e">
        <f>HLOOKUP($C$4,$F$4:$M$37,34,FALSE)</f>
        <v>#REF!</v>
      </c>
      <c r="D37" s="162"/>
      <c r="E37" s="162"/>
      <c r="F37" s="273" t="s">
        <v>258</v>
      </c>
      <c r="G37" s="273" t="s">
        <v>258</v>
      </c>
      <c r="H37" s="273" t="s">
        <v>258</v>
      </c>
      <c r="I37" s="273" t="s">
        <v>258</v>
      </c>
      <c r="J37" s="273" t="s">
        <v>258</v>
      </c>
      <c r="K37" s="273" t="s">
        <v>258</v>
      </c>
      <c r="L37" s="273" t="s">
        <v>258</v>
      </c>
      <c r="M37" s="273" t="s">
        <v>258</v>
      </c>
      <c r="N37" s="162"/>
      <c r="O37" s="162"/>
      <c r="P37" s="162"/>
      <c r="Q37" s="162"/>
      <c r="R37" s="162"/>
      <c r="S37" s="162"/>
      <c r="T37" s="162"/>
      <c r="U37" s="162"/>
      <c r="V37" s="162"/>
    </row>
    <row r="38" spans="2:23">
      <c r="B38" s="1158" t="s">
        <v>441</v>
      </c>
      <c r="C38" s="1158"/>
      <c r="D38" s="1158"/>
      <c r="E38" s="1158"/>
      <c r="F38" s="1158"/>
      <c r="G38" s="1158"/>
      <c r="H38" s="1158"/>
      <c r="I38" s="1158"/>
      <c r="J38" s="1158"/>
      <c r="K38" s="1158"/>
      <c r="L38" s="1158"/>
      <c r="M38" s="1158"/>
      <c r="N38" s="1158"/>
      <c r="O38" s="1158"/>
      <c r="P38" s="1158"/>
      <c r="Q38" s="1158"/>
      <c r="R38" s="1158"/>
      <c r="S38" s="1158"/>
      <c r="T38" s="1158"/>
      <c r="U38" s="1158"/>
      <c r="V38" s="1158"/>
      <c r="W38" s="1158"/>
    </row>
    <row r="39" spans="2:23">
      <c r="B39" s="1158" t="s">
        <v>618</v>
      </c>
      <c r="C39" s="1158"/>
      <c r="D39" s="1158"/>
      <c r="E39" s="1158"/>
      <c r="F39" s="1158"/>
      <c r="G39" s="1158"/>
      <c r="H39" s="1158"/>
      <c r="I39" s="1158"/>
      <c r="J39" s="1158"/>
      <c r="K39" s="1158"/>
      <c r="L39" s="1158"/>
      <c r="M39" s="1158"/>
      <c r="N39" s="1158"/>
      <c r="O39" s="1158"/>
      <c r="P39" s="1158"/>
      <c r="Q39" s="1158"/>
      <c r="R39" s="1158"/>
      <c r="S39" s="1158"/>
      <c r="T39" s="1158"/>
      <c r="U39" s="1158"/>
      <c r="V39" s="1158"/>
      <c r="W39" s="1158"/>
    </row>
    <row r="40" spans="2:23">
      <c r="B40" s="1158" t="s">
        <v>443</v>
      </c>
      <c r="C40" s="1158"/>
      <c r="D40" s="1158"/>
      <c r="E40" s="1158"/>
      <c r="F40" s="1158"/>
      <c r="G40" s="1158"/>
      <c r="H40" s="1158"/>
      <c r="I40" s="1158"/>
      <c r="J40" s="1158"/>
      <c r="K40" s="1158"/>
      <c r="L40" s="1158"/>
      <c r="M40" s="1158"/>
      <c r="N40" s="1158"/>
      <c r="O40" s="1158"/>
      <c r="P40" s="1158"/>
      <c r="Q40" s="1158"/>
      <c r="R40" s="1158"/>
      <c r="S40" s="1158"/>
      <c r="T40" s="1158"/>
      <c r="U40" s="1158"/>
      <c r="V40" s="1158"/>
      <c r="W40" s="1158"/>
    </row>
    <row r="41" spans="2:23">
      <c r="B41" s="162"/>
      <c r="C41" s="162"/>
      <c r="D41" s="162"/>
      <c r="E41" s="162"/>
      <c r="F41" s="162"/>
      <c r="G41" s="162"/>
      <c r="H41" s="162"/>
      <c r="I41" s="162"/>
      <c r="J41" s="162"/>
      <c r="K41" s="162"/>
      <c r="L41" s="162"/>
      <c r="M41" s="162"/>
      <c r="N41" s="162"/>
      <c r="O41" s="162"/>
      <c r="P41" s="162"/>
      <c r="Q41" s="162"/>
      <c r="R41" s="162"/>
      <c r="S41" s="162"/>
      <c r="T41" s="162"/>
      <c r="U41" s="162"/>
      <c r="V41" s="162"/>
    </row>
    <row r="42" spans="2:23">
      <c r="B42" s="209" t="s">
        <v>444</v>
      </c>
      <c r="C42" s="212"/>
      <c r="D42" s="212"/>
      <c r="E42" s="162"/>
      <c r="F42" s="162"/>
      <c r="G42" s="162"/>
      <c r="H42" s="162"/>
      <c r="I42" s="162"/>
      <c r="J42" s="162"/>
      <c r="K42" s="162"/>
      <c r="L42" s="162"/>
      <c r="M42" s="162"/>
      <c r="N42" s="162"/>
      <c r="O42" s="162"/>
      <c r="P42" s="162"/>
      <c r="Q42" s="162"/>
      <c r="R42" s="162"/>
      <c r="S42" s="162"/>
      <c r="T42" s="162"/>
      <c r="U42" s="162"/>
      <c r="V42" s="162"/>
    </row>
    <row r="43" spans="2:23">
      <c r="B43" s="1159" t="s">
        <v>445</v>
      </c>
      <c r="C43" s="269" t="s">
        <v>446</v>
      </c>
      <c r="D43" s="269" t="s">
        <v>447</v>
      </c>
      <c r="E43" s="274"/>
      <c r="F43" s="1155" t="s">
        <v>446</v>
      </c>
      <c r="G43" s="1156"/>
      <c r="H43" s="1156"/>
      <c r="I43" s="1156"/>
      <c r="J43" s="1156"/>
      <c r="K43" s="1156"/>
      <c r="L43" s="1156"/>
      <c r="M43" s="1157"/>
      <c r="N43" s="162"/>
      <c r="O43" s="1155" t="s">
        <v>447</v>
      </c>
      <c r="P43" s="1156"/>
      <c r="Q43" s="1156"/>
      <c r="R43" s="1156"/>
      <c r="S43" s="1156"/>
      <c r="T43" s="1156"/>
      <c r="U43" s="1156"/>
      <c r="V43" s="1157"/>
    </row>
    <row r="44" spans="2:23">
      <c r="B44" s="1159"/>
      <c r="C44" s="230" t="e">
        <f>IF(#REF!="","&lt;select climate zone on 'Project Info' tab&gt;","Climate Zone "&amp;#REF!)</f>
        <v>#REF!</v>
      </c>
      <c r="D44" s="230" t="e">
        <f>IF(#REF!="","&lt;select climate zone on 'Project Info' tab&gt;","Climate Zone "&amp;#REF!)</f>
        <v>#REF!</v>
      </c>
      <c r="E44" s="274"/>
      <c r="F44" s="217" t="s">
        <v>448</v>
      </c>
      <c r="G44" s="217" t="s">
        <v>449</v>
      </c>
      <c r="H44" s="217" t="s">
        <v>450</v>
      </c>
      <c r="I44" s="217" t="s">
        <v>365</v>
      </c>
      <c r="J44" s="217" t="s">
        <v>366</v>
      </c>
      <c r="K44" s="217" t="s">
        <v>367</v>
      </c>
      <c r="L44" s="217" t="s">
        <v>451</v>
      </c>
      <c r="M44" s="217" t="s">
        <v>452</v>
      </c>
      <c r="N44" s="274"/>
      <c r="O44" s="231" t="s">
        <v>448</v>
      </c>
      <c r="P44" s="231" t="s">
        <v>449</v>
      </c>
      <c r="Q44" s="231" t="s">
        <v>450</v>
      </c>
      <c r="R44" s="231" t="s">
        <v>365</v>
      </c>
      <c r="S44" s="231" t="s">
        <v>366</v>
      </c>
      <c r="T44" s="231" t="s">
        <v>367</v>
      </c>
      <c r="U44" s="231" t="s">
        <v>451</v>
      </c>
      <c r="V44" s="231" t="s">
        <v>452</v>
      </c>
    </row>
    <row r="45" spans="2:23">
      <c r="B45" s="1154" t="s">
        <v>26</v>
      </c>
      <c r="C45" s="1154"/>
      <c r="D45" s="1154"/>
      <c r="E45" s="274"/>
      <c r="F45" s="271"/>
      <c r="G45" s="270"/>
      <c r="H45" s="270"/>
      <c r="I45" s="270"/>
      <c r="J45" s="270"/>
      <c r="K45" s="270"/>
      <c r="L45" s="270"/>
      <c r="M45" s="272"/>
      <c r="N45" s="274"/>
      <c r="O45" s="271"/>
      <c r="P45" s="270"/>
      <c r="Q45" s="270"/>
      <c r="R45" s="270"/>
      <c r="S45" s="270"/>
      <c r="T45" s="270"/>
      <c r="U45" s="270"/>
      <c r="V45" s="272"/>
    </row>
    <row r="46" spans="2:23">
      <c r="B46" s="231" t="s">
        <v>453</v>
      </c>
      <c r="C46" s="230" t="e">
        <f>HLOOKUP($C$44,$F$44:$M$71,3,FALSE)</f>
        <v>#REF!</v>
      </c>
      <c r="D46" s="230" t="e">
        <f>HLOOKUP($D$44,$O$44:$V$71,3,FALSE)</f>
        <v>#REF!</v>
      </c>
      <c r="E46" s="274"/>
      <c r="F46" s="235" t="s">
        <v>454</v>
      </c>
      <c r="G46" s="235" t="s">
        <v>454</v>
      </c>
      <c r="H46" s="235" t="s">
        <v>454</v>
      </c>
      <c r="I46" s="235" t="s">
        <v>454</v>
      </c>
      <c r="J46" s="235" t="s">
        <v>454</v>
      </c>
      <c r="K46" s="235" t="s">
        <v>455</v>
      </c>
      <c r="L46" s="235" t="s">
        <v>617</v>
      </c>
      <c r="M46" s="235" t="s">
        <v>617</v>
      </c>
      <c r="N46" s="274"/>
      <c r="O46" s="231" t="s">
        <v>456</v>
      </c>
      <c r="P46" s="231" t="s">
        <v>456</v>
      </c>
      <c r="Q46" s="231" t="s">
        <v>456</v>
      </c>
      <c r="R46" s="231" t="s">
        <v>456</v>
      </c>
      <c r="S46" s="231" t="s">
        <v>456</v>
      </c>
      <c r="T46" s="231" t="s">
        <v>457</v>
      </c>
      <c r="U46" s="231" t="s">
        <v>458</v>
      </c>
      <c r="V46" s="231" t="s">
        <v>458</v>
      </c>
    </row>
    <row r="47" spans="2:23">
      <c r="B47" s="231" t="s">
        <v>48</v>
      </c>
      <c r="C47" s="230" t="e">
        <f>HLOOKUP($C$44,$F$44:$M$71,4,FALSE)</f>
        <v>#REF!</v>
      </c>
      <c r="D47" s="230" t="e">
        <f>HLOOKUP($D$44,$O$44:$V$71,4,FALSE)</f>
        <v>#REF!</v>
      </c>
      <c r="E47" s="274"/>
      <c r="F47" s="231" t="s">
        <v>459</v>
      </c>
      <c r="G47" s="231" t="s">
        <v>459</v>
      </c>
      <c r="H47" s="231" t="s">
        <v>459</v>
      </c>
      <c r="I47" s="231" t="s">
        <v>459</v>
      </c>
      <c r="J47" s="231" t="s">
        <v>459</v>
      </c>
      <c r="K47" s="231" t="s">
        <v>460</v>
      </c>
      <c r="L47" s="231" t="s">
        <v>616</v>
      </c>
      <c r="M47" s="231" t="s">
        <v>616</v>
      </c>
      <c r="N47" s="274"/>
      <c r="O47" s="231" t="s">
        <v>461</v>
      </c>
      <c r="P47" s="231" t="s">
        <v>461</v>
      </c>
      <c r="Q47" s="231" t="s">
        <v>461</v>
      </c>
      <c r="R47" s="231" t="s">
        <v>461</v>
      </c>
      <c r="S47" s="231" t="s">
        <v>461</v>
      </c>
      <c r="T47" s="231" t="s">
        <v>462</v>
      </c>
      <c r="U47" s="231" t="s">
        <v>463</v>
      </c>
      <c r="V47" s="231" t="s">
        <v>463</v>
      </c>
    </row>
    <row r="48" spans="2:23">
      <c r="B48" s="231" t="s">
        <v>50</v>
      </c>
      <c r="C48" s="230" t="e">
        <f>HLOOKUP($C$44,$F$44:$M$71,5,FALSE)</f>
        <v>#REF!</v>
      </c>
      <c r="D48" s="230" t="e">
        <f>HLOOKUP($D$44,$O$44:$V$71,5,FALSE)</f>
        <v>#REF!</v>
      </c>
      <c r="E48" s="274"/>
      <c r="F48" s="231" t="s">
        <v>51</v>
      </c>
      <c r="G48" s="231" t="s">
        <v>51</v>
      </c>
      <c r="H48" s="231" t="s">
        <v>51</v>
      </c>
      <c r="I48" s="231" t="s">
        <v>51</v>
      </c>
      <c r="J48" s="231" t="s">
        <v>51</v>
      </c>
      <c r="K48" s="231" t="s">
        <v>51</v>
      </c>
      <c r="L48" s="231" t="s">
        <v>615</v>
      </c>
      <c r="M48" s="231" t="s">
        <v>615</v>
      </c>
      <c r="N48" s="274"/>
      <c r="O48" s="231" t="s">
        <v>464</v>
      </c>
      <c r="P48" s="231" t="s">
        <v>464</v>
      </c>
      <c r="Q48" s="231" t="s">
        <v>464</v>
      </c>
      <c r="R48" s="231" t="s">
        <v>464</v>
      </c>
      <c r="S48" s="231" t="s">
        <v>464</v>
      </c>
      <c r="T48" s="231" t="s">
        <v>464</v>
      </c>
      <c r="U48" s="231" t="s">
        <v>465</v>
      </c>
      <c r="V48" s="231" t="s">
        <v>465</v>
      </c>
    </row>
    <row r="49" spans="2:22">
      <c r="B49" s="1154" t="s">
        <v>56</v>
      </c>
      <c r="C49" s="1154"/>
      <c r="D49" s="1154"/>
      <c r="E49" s="274"/>
      <c r="F49" s="271"/>
      <c r="G49" s="270"/>
      <c r="H49" s="270"/>
      <c r="I49" s="270"/>
      <c r="J49" s="270"/>
      <c r="K49" s="270"/>
      <c r="L49" s="270"/>
      <c r="M49" s="272"/>
      <c r="N49" s="274"/>
      <c r="O49" s="236"/>
      <c r="P49" s="237"/>
      <c r="Q49" s="237"/>
      <c r="R49" s="237"/>
      <c r="S49" s="237"/>
      <c r="T49" s="237"/>
      <c r="U49" s="237"/>
      <c r="V49" s="238"/>
    </row>
    <row r="50" spans="2:22">
      <c r="B50" s="231" t="s">
        <v>466</v>
      </c>
      <c r="C50" s="230" t="e">
        <f>HLOOKUP($C$44,$F$44:$M$71,7,FALSE)</f>
        <v>#REF!</v>
      </c>
      <c r="D50" s="230" t="e">
        <f>HLOOKUP($D$44,$O$44:$V$71,7,FALSE)</f>
        <v>#REF!</v>
      </c>
      <c r="E50" s="274"/>
      <c r="F50" s="231" t="s">
        <v>614</v>
      </c>
      <c r="G50" s="231" t="s">
        <v>613</v>
      </c>
      <c r="H50" s="231" t="s">
        <v>612</v>
      </c>
      <c r="I50" s="231" t="s">
        <v>467</v>
      </c>
      <c r="J50" s="231" t="s">
        <v>468</v>
      </c>
      <c r="K50" s="231" t="s">
        <v>469</v>
      </c>
      <c r="L50" s="231" t="s">
        <v>469</v>
      </c>
      <c r="M50" s="231" t="s">
        <v>611</v>
      </c>
      <c r="N50" s="274"/>
      <c r="O50" s="239" t="s">
        <v>470</v>
      </c>
      <c r="P50" s="240" t="s">
        <v>471</v>
      </c>
      <c r="Q50" s="240" t="s">
        <v>472</v>
      </c>
      <c r="R50" s="240" t="s">
        <v>473</v>
      </c>
      <c r="S50" s="240" t="s">
        <v>474</v>
      </c>
      <c r="T50" s="240" t="s">
        <v>475</v>
      </c>
      <c r="U50" s="240" t="s">
        <v>475</v>
      </c>
      <c r="V50" s="239" t="s">
        <v>476</v>
      </c>
    </row>
    <row r="51" spans="2:22">
      <c r="B51" s="231" t="s">
        <v>48</v>
      </c>
      <c r="C51" s="230" t="e">
        <f>HLOOKUP($C$44,$F$44:$M$71,8,FALSE)</f>
        <v>#REF!</v>
      </c>
      <c r="D51" s="230" t="e">
        <f>HLOOKUP($D$44,$O$44:$V$71,8,FALSE)</f>
        <v>#REF!</v>
      </c>
      <c r="E51" s="274"/>
      <c r="F51" s="231" t="s">
        <v>610</v>
      </c>
      <c r="G51" s="231" t="s">
        <v>477</v>
      </c>
      <c r="H51" s="231" t="s">
        <v>477</v>
      </c>
      <c r="I51" s="231" t="s">
        <v>477</v>
      </c>
      <c r="J51" s="231" t="s">
        <v>477</v>
      </c>
      <c r="K51" s="231" t="s">
        <v>477</v>
      </c>
      <c r="L51" s="231" t="s">
        <v>609</v>
      </c>
      <c r="M51" s="231" t="s">
        <v>608</v>
      </c>
      <c r="N51" s="274"/>
      <c r="O51" s="239" t="s">
        <v>478</v>
      </c>
      <c r="P51" s="240" t="s">
        <v>479</v>
      </c>
      <c r="Q51" s="240" t="s">
        <v>479</v>
      </c>
      <c r="R51" s="240" t="s">
        <v>479</v>
      </c>
      <c r="S51" s="240" t="s">
        <v>479</v>
      </c>
      <c r="T51" s="240" t="s">
        <v>479</v>
      </c>
      <c r="U51" s="240" t="s">
        <v>456</v>
      </c>
      <c r="V51" s="239" t="s">
        <v>462</v>
      </c>
    </row>
    <row r="52" spans="2:22">
      <c r="B52" s="231" t="s">
        <v>480</v>
      </c>
      <c r="C52" s="230" t="e">
        <f>HLOOKUP($C$44,$F$44:$M$71,9,FALSE)</f>
        <v>#REF!</v>
      </c>
      <c r="D52" s="230" t="e">
        <f>HLOOKUP($D$44,$O$44:$V$71,9,FALSE)</f>
        <v>#REF!</v>
      </c>
      <c r="E52" s="274"/>
      <c r="F52" s="231" t="s">
        <v>607</v>
      </c>
      <c r="G52" s="231" t="s">
        <v>606</v>
      </c>
      <c r="H52" s="231" t="s">
        <v>606</v>
      </c>
      <c r="I52" s="231" t="s">
        <v>481</v>
      </c>
      <c r="J52" s="231" t="s">
        <v>481</v>
      </c>
      <c r="K52" s="231" t="s">
        <v>481</v>
      </c>
      <c r="L52" s="231" t="s">
        <v>601</v>
      </c>
      <c r="M52" s="231" t="s">
        <v>605</v>
      </c>
      <c r="N52" s="274"/>
      <c r="O52" s="239" t="s">
        <v>482</v>
      </c>
      <c r="P52" s="240" t="s">
        <v>483</v>
      </c>
      <c r="Q52" s="240" t="s">
        <v>483</v>
      </c>
      <c r="R52" s="240" t="s">
        <v>483</v>
      </c>
      <c r="S52" s="240" t="s">
        <v>483</v>
      </c>
      <c r="T52" s="240" t="s">
        <v>483</v>
      </c>
      <c r="U52" s="240" t="s">
        <v>484</v>
      </c>
      <c r="V52" s="239" t="s">
        <v>485</v>
      </c>
    </row>
    <row r="53" spans="2:22">
      <c r="B53" s="231" t="s">
        <v>71</v>
      </c>
      <c r="C53" s="230" t="e">
        <f>HLOOKUP($C$44,$F$44:$M$71,10,FALSE)</f>
        <v>#REF!</v>
      </c>
      <c r="D53" s="230" t="e">
        <f>HLOOKUP($D$44,$O$44:$V$71,10,FALSE)</f>
        <v>#REF!</v>
      </c>
      <c r="E53" s="274"/>
      <c r="F53" s="231" t="s">
        <v>604</v>
      </c>
      <c r="G53" s="231" t="s">
        <v>603</v>
      </c>
      <c r="H53" s="231" t="s">
        <v>603</v>
      </c>
      <c r="I53" s="231" t="s">
        <v>486</v>
      </c>
      <c r="J53" s="231" t="s">
        <v>481</v>
      </c>
      <c r="K53" s="231" t="s">
        <v>481</v>
      </c>
      <c r="L53" s="231" t="s">
        <v>602</v>
      </c>
      <c r="M53" s="231" t="s">
        <v>601</v>
      </c>
      <c r="N53" s="274"/>
      <c r="O53" s="239" t="s">
        <v>487</v>
      </c>
      <c r="P53" s="240" t="s">
        <v>487</v>
      </c>
      <c r="Q53" s="240" t="s">
        <v>487</v>
      </c>
      <c r="R53" s="240" t="s">
        <v>488</v>
      </c>
      <c r="S53" s="240" t="s">
        <v>489</v>
      </c>
      <c r="T53" s="240" t="s">
        <v>489</v>
      </c>
      <c r="U53" s="240" t="s">
        <v>489</v>
      </c>
      <c r="V53" s="239" t="s">
        <v>457</v>
      </c>
    </row>
    <row r="54" spans="2:22">
      <c r="B54" s="1154" t="s">
        <v>57</v>
      </c>
      <c r="C54" s="1154"/>
      <c r="D54" s="1154"/>
      <c r="E54" s="274"/>
      <c r="F54" s="271"/>
      <c r="G54" s="270"/>
      <c r="H54" s="270"/>
      <c r="I54" s="270"/>
      <c r="J54" s="270"/>
      <c r="K54" s="270"/>
      <c r="L54" s="270"/>
      <c r="M54" s="272"/>
      <c r="N54" s="274"/>
      <c r="O54" s="241"/>
      <c r="P54" s="242"/>
      <c r="Q54" s="242"/>
      <c r="R54" s="242"/>
      <c r="S54" s="242"/>
      <c r="T54" s="242"/>
      <c r="U54" s="242"/>
      <c r="V54" s="276"/>
    </row>
    <row r="55" spans="2:22" ht="22.5">
      <c r="B55" s="231" t="s">
        <v>490</v>
      </c>
      <c r="C55" s="230" t="e">
        <f>HLOOKUP($C$44,$F$44:$M$71,12,FALSE)</f>
        <v>#REF!</v>
      </c>
      <c r="D55" s="230" t="e">
        <f>HLOOKUP($D$44,$O$44:$V$71,12,FALSE)</f>
        <v>#REF!</v>
      </c>
      <c r="E55" s="274"/>
      <c r="F55" s="231" t="s">
        <v>493</v>
      </c>
      <c r="G55" s="231" t="s">
        <v>493</v>
      </c>
      <c r="H55" s="231" t="s">
        <v>493</v>
      </c>
      <c r="I55" s="231" t="s">
        <v>491</v>
      </c>
      <c r="J55" s="231" t="s">
        <v>492</v>
      </c>
      <c r="K55" s="231" t="s">
        <v>492</v>
      </c>
      <c r="L55" s="231" t="s">
        <v>600</v>
      </c>
      <c r="M55" s="231" t="s">
        <v>599</v>
      </c>
      <c r="N55" s="274"/>
      <c r="O55" s="231" t="s">
        <v>493</v>
      </c>
      <c r="P55" s="231" t="s">
        <v>493</v>
      </c>
      <c r="Q55" s="231" t="s">
        <v>493</v>
      </c>
      <c r="R55" s="231" t="s">
        <v>494</v>
      </c>
      <c r="S55" s="231" t="s">
        <v>494</v>
      </c>
      <c r="T55" s="231" t="s">
        <v>494</v>
      </c>
      <c r="U55" s="231" t="s">
        <v>495</v>
      </c>
      <c r="V55" s="231" t="s">
        <v>496</v>
      </c>
    </row>
    <row r="56" spans="2:22">
      <c r="B56" s="231" t="s">
        <v>4</v>
      </c>
      <c r="C56" s="230" t="e">
        <f>HLOOKUP($C$44,$F$44:$M$71,13,FALSE)</f>
        <v>#REF!</v>
      </c>
      <c r="D56" s="230" t="e">
        <f>HLOOKUP($D$44,$O$44:$V$71,13,FALSE)</f>
        <v>#REF!</v>
      </c>
      <c r="E56" s="274"/>
      <c r="F56" s="231" t="s">
        <v>493</v>
      </c>
      <c r="G56" s="231" t="s">
        <v>493</v>
      </c>
      <c r="H56" s="231" t="s">
        <v>493</v>
      </c>
      <c r="I56" s="231" t="s">
        <v>493</v>
      </c>
      <c r="J56" s="231" t="s">
        <v>493</v>
      </c>
      <c r="K56" s="231" t="s">
        <v>493</v>
      </c>
      <c r="L56" s="231" t="s">
        <v>493</v>
      </c>
      <c r="M56" s="231" t="s">
        <v>493</v>
      </c>
      <c r="N56" s="274"/>
      <c r="O56" s="231" t="s">
        <v>493</v>
      </c>
      <c r="P56" s="231" t="s">
        <v>493</v>
      </c>
      <c r="Q56" s="231" t="s">
        <v>493</v>
      </c>
      <c r="R56" s="231" t="s">
        <v>493</v>
      </c>
      <c r="S56" s="231" t="s">
        <v>493</v>
      </c>
      <c r="T56" s="231" t="s">
        <v>493</v>
      </c>
      <c r="U56" s="231" t="s">
        <v>493</v>
      </c>
      <c r="V56" s="231" t="s">
        <v>493</v>
      </c>
    </row>
    <row r="57" spans="2:22">
      <c r="B57" s="1154" t="s">
        <v>58</v>
      </c>
      <c r="C57" s="1154"/>
      <c r="D57" s="1154"/>
      <c r="E57" s="274"/>
      <c r="F57" s="236"/>
      <c r="G57" s="237"/>
      <c r="H57" s="237"/>
      <c r="I57" s="237"/>
      <c r="J57" s="237"/>
      <c r="K57" s="237"/>
      <c r="L57" s="237"/>
      <c r="M57" s="238"/>
      <c r="N57" s="274"/>
      <c r="O57" s="236"/>
      <c r="P57" s="237"/>
      <c r="Q57" s="237"/>
      <c r="R57" s="237"/>
      <c r="S57" s="237"/>
      <c r="T57" s="237"/>
      <c r="U57" s="237"/>
      <c r="V57" s="238"/>
    </row>
    <row r="58" spans="2:22">
      <c r="B58" s="231" t="s">
        <v>466</v>
      </c>
      <c r="C58" s="230" t="e">
        <f>HLOOKUP($C$44,$F$44:$M$71,15,FALSE)</f>
        <v>#REF!</v>
      </c>
      <c r="D58" s="230" t="e">
        <f>HLOOKUP($D$44,$O$44:$V$71,15,FALSE)</f>
        <v>#REF!</v>
      </c>
      <c r="E58" s="274"/>
      <c r="F58" s="240" t="s">
        <v>598</v>
      </c>
      <c r="G58" s="240" t="s">
        <v>597</v>
      </c>
      <c r="H58" s="240" t="s">
        <v>597</v>
      </c>
      <c r="I58" s="240" t="s">
        <v>230</v>
      </c>
      <c r="J58" s="240" t="s">
        <v>231</v>
      </c>
      <c r="K58" s="240" t="s">
        <v>327</v>
      </c>
      <c r="L58" s="240" t="s">
        <v>596</v>
      </c>
      <c r="M58" s="240" t="s">
        <v>596</v>
      </c>
      <c r="N58" s="274"/>
      <c r="O58" s="240" t="s">
        <v>497</v>
      </c>
      <c r="P58" s="240" t="s">
        <v>498</v>
      </c>
      <c r="Q58" s="240" t="s">
        <v>498</v>
      </c>
      <c r="R58" s="240" t="s">
        <v>487</v>
      </c>
      <c r="S58" s="240" t="s">
        <v>499</v>
      </c>
      <c r="T58" s="240" t="s">
        <v>488</v>
      </c>
      <c r="U58" s="240" t="s">
        <v>476</v>
      </c>
      <c r="V58" s="239" t="s">
        <v>476</v>
      </c>
    </row>
    <row r="59" spans="2:22">
      <c r="B59" s="231" t="s">
        <v>60</v>
      </c>
      <c r="C59" s="230" t="e">
        <f>HLOOKUP($C$44,$F$44:$M$71,16,FALSE)</f>
        <v>#REF!</v>
      </c>
      <c r="D59" s="230" t="e">
        <f>HLOOKUP($D$44,$O$44:$V$71,16,FALSE)</f>
        <v>#REF!</v>
      </c>
      <c r="E59" s="274"/>
      <c r="F59" s="240" t="s">
        <v>166</v>
      </c>
      <c r="G59" s="240" t="s">
        <v>52</v>
      </c>
      <c r="H59" s="240" t="s">
        <v>52</v>
      </c>
      <c r="I59" s="240" t="s">
        <v>49</v>
      </c>
      <c r="J59" s="240" t="s">
        <v>49</v>
      </c>
      <c r="K59" s="240" t="s">
        <v>500</v>
      </c>
      <c r="L59" s="240" t="s">
        <v>500</v>
      </c>
      <c r="M59" s="240" t="s">
        <v>500</v>
      </c>
      <c r="N59" s="274"/>
      <c r="O59" s="240" t="s">
        <v>479</v>
      </c>
      <c r="P59" s="240" t="s">
        <v>501</v>
      </c>
      <c r="Q59" s="240" t="s">
        <v>501</v>
      </c>
      <c r="R59" s="240" t="s">
        <v>457</v>
      </c>
      <c r="S59" s="240" t="s">
        <v>457</v>
      </c>
      <c r="T59" s="240" t="s">
        <v>502</v>
      </c>
      <c r="U59" s="240" t="s">
        <v>502</v>
      </c>
      <c r="V59" s="239" t="s">
        <v>502</v>
      </c>
    </row>
    <row r="60" spans="2:22">
      <c r="B60" s="231" t="s">
        <v>71</v>
      </c>
      <c r="C60" s="230" t="e">
        <f>HLOOKUP($C$44,$F$44:$M$71,17,FALSE)</f>
        <v>#REF!</v>
      </c>
      <c r="D60" s="230" t="e">
        <f>HLOOKUP($D$44,$O$44:$V$71,17,FALSE)</f>
        <v>#REF!</v>
      </c>
      <c r="E60" s="274"/>
      <c r="F60" s="240" t="s">
        <v>166</v>
      </c>
      <c r="G60" s="240" t="s">
        <v>503</v>
      </c>
      <c r="H60" s="240" t="s">
        <v>503</v>
      </c>
      <c r="I60" s="240" t="s">
        <v>503</v>
      </c>
      <c r="J60" s="240" t="s">
        <v>503</v>
      </c>
      <c r="K60" s="240" t="s">
        <v>503</v>
      </c>
      <c r="L60" s="240" t="s">
        <v>503</v>
      </c>
      <c r="M60" s="240" t="s">
        <v>503</v>
      </c>
      <c r="N60" s="274"/>
      <c r="O60" s="240" t="s">
        <v>488</v>
      </c>
      <c r="P60" s="240" t="s">
        <v>504</v>
      </c>
      <c r="Q60" s="240" t="s">
        <v>504</v>
      </c>
      <c r="R60" s="240" t="s">
        <v>504</v>
      </c>
      <c r="S60" s="240" t="s">
        <v>504</v>
      </c>
      <c r="T60" s="240" t="s">
        <v>504</v>
      </c>
      <c r="U60" s="240" t="s">
        <v>504</v>
      </c>
      <c r="V60" s="239" t="s">
        <v>504</v>
      </c>
    </row>
    <row r="61" spans="2:22">
      <c r="B61" s="1154" t="s">
        <v>59</v>
      </c>
      <c r="C61" s="1154"/>
      <c r="D61" s="1154"/>
      <c r="E61" s="274"/>
      <c r="F61" s="241"/>
      <c r="G61" s="242"/>
      <c r="H61" s="242"/>
      <c r="I61" s="242"/>
      <c r="J61" s="242"/>
      <c r="K61" s="242"/>
      <c r="L61" s="242"/>
      <c r="M61" s="276"/>
      <c r="N61" s="274"/>
      <c r="O61" s="241"/>
      <c r="P61" s="242"/>
      <c r="Q61" s="242"/>
      <c r="R61" s="242"/>
      <c r="S61" s="242"/>
      <c r="T61" s="242"/>
      <c r="U61" s="242"/>
      <c r="V61" s="276"/>
    </row>
    <row r="62" spans="2:22" ht="22.5">
      <c r="B62" s="231" t="s">
        <v>30</v>
      </c>
      <c r="C62" s="230" t="e">
        <f>HLOOKUP($C$44,$F$44:$M$71,19,FALSE)</f>
        <v>#REF!</v>
      </c>
      <c r="D62" s="230" t="e">
        <f>HLOOKUP($D$44,$O$44:$V$71,19,FALSE)</f>
        <v>#REF!</v>
      </c>
      <c r="E62" s="274"/>
      <c r="F62" s="231" t="s">
        <v>493</v>
      </c>
      <c r="G62" s="231" t="s">
        <v>493</v>
      </c>
      <c r="H62" s="231" t="s">
        <v>493</v>
      </c>
      <c r="I62" s="231" t="s">
        <v>232</v>
      </c>
      <c r="J62" s="231" t="s">
        <v>22</v>
      </c>
      <c r="K62" s="231" t="s">
        <v>53</v>
      </c>
      <c r="L62" s="231" t="s">
        <v>53</v>
      </c>
      <c r="M62" s="231" t="s">
        <v>595</v>
      </c>
      <c r="N62" s="274"/>
      <c r="O62" s="231" t="s">
        <v>493</v>
      </c>
      <c r="P62" s="231" t="s">
        <v>493</v>
      </c>
      <c r="Q62" s="231" t="s">
        <v>493</v>
      </c>
      <c r="R62" s="231" t="s">
        <v>232</v>
      </c>
      <c r="S62" s="231" t="s">
        <v>232</v>
      </c>
      <c r="T62" s="231" t="s">
        <v>233</v>
      </c>
      <c r="U62" s="231" t="s">
        <v>505</v>
      </c>
      <c r="V62" s="231" t="s">
        <v>505</v>
      </c>
    </row>
    <row r="63" spans="2:22" ht="30" customHeight="1">
      <c r="B63" s="231" t="s">
        <v>24</v>
      </c>
      <c r="C63" s="230" t="e">
        <f>HLOOKUP($C$44,$F$44:$M$71,20,FALSE)</f>
        <v>#REF!</v>
      </c>
      <c r="D63" s="230" t="e">
        <f>HLOOKUP($D$44,$O$44:$V$71,20,FALSE)</f>
        <v>#REF!</v>
      </c>
      <c r="E63" s="274"/>
      <c r="F63" s="231" t="s">
        <v>507</v>
      </c>
      <c r="G63" s="231" t="s">
        <v>507</v>
      </c>
      <c r="H63" s="231" t="s">
        <v>507</v>
      </c>
      <c r="I63" s="231" t="s">
        <v>506</v>
      </c>
      <c r="J63" s="231" t="s">
        <v>234</v>
      </c>
      <c r="K63" s="231" t="s">
        <v>234</v>
      </c>
      <c r="L63" s="231" t="s">
        <v>508</v>
      </c>
      <c r="M63" s="231" t="s">
        <v>508</v>
      </c>
      <c r="N63" s="274"/>
      <c r="O63" s="231" t="s">
        <v>507</v>
      </c>
      <c r="P63" s="231" t="s">
        <v>507</v>
      </c>
      <c r="Q63" s="231" t="s">
        <v>507</v>
      </c>
      <c r="R63" s="231" t="s">
        <v>326</v>
      </c>
      <c r="S63" s="231" t="s">
        <v>234</v>
      </c>
      <c r="T63" s="231" t="s">
        <v>234</v>
      </c>
      <c r="U63" s="231" t="s">
        <v>508</v>
      </c>
      <c r="V63" s="231" t="s">
        <v>508</v>
      </c>
    </row>
    <row r="64" spans="2:22">
      <c r="B64" s="1154" t="s">
        <v>383</v>
      </c>
      <c r="C64" s="1154"/>
      <c r="D64" s="1154"/>
      <c r="E64" s="274"/>
      <c r="F64" s="271"/>
      <c r="G64" s="270"/>
      <c r="H64" s="270"/>
      <c r="I64" s="270"/>
      <c r="J64" s="270"/>
      <c r="K64" s="270"/>
      <c r="L64" s="270"/>
      <c r="M64" s="272"/>
      <c r="N64" s="274"/>
      <c r="O64" s="271"/>
      <c r="P64" s="270"/>
      <c r="Q64" s="270"/>
      <c r="R64" s="270"/>
      <c r="S64" s="270"/>
      <c r="T64" s="270"/>
      <c r="U64" s="270"/>
      <c r="V64" s="272"/>
    </row>
    <row r="65" spans="2:22">
      <c r="B65" s="231" t="s">
        <v>509</v>
      </c>
      <c r="C65" s="230" t="e">
        <f>HLOOKUP($C$44,$F$44:$M$71,22,FALSE)</f>
        <v>#REF!</v>
      </c>
      <c r="D65" s="230" t="e">
        <f>HLOOKUP($D$44,$O$44:$V$71,22,FALSE)</f>
        <v>#REF!</v>
      </c>
      <c r="E65" s="274"/>
      <c r="F65" s="231" t="s">
        <v>384</v>
      </c>
      <c r="G65" s="231" t="s">
        <v>384</v>
      </c>
      <c r="H65" s="231" t="s">
        <v>384</v>
      </c>
      <c r="I65" s="231" t="s">
        <v>384</v>
      </c>
      <c r="J65" s="231" t="s">
        <v>384</v>
      </c>
      <c r="K65" s="231" t="s">
        <v>384</v>
      </c>
      <c r="L65" s="231" t="s">
        <v>384</v>
      </c>
      <c r="M65" s="231" t="s">
        <v>384</v>
      </c>
      <c r="N65" s="274"/>
      <c r="O65" s="231" t="s">
        <v>510</v>
      </c>
      <c r="P65" s="231" t="s">
        <v>510</v>
      </c>
      <c r="Q65" s="231" t="s">
        <v>510</v>
      </c>
      <c r="R65" s="231" t="s">
        <v>510</v>
      </c>
      <c r="S65" s="231" t="s">
        <v>511</v>
      </c>
      <c r="T65" s="231" t="s">
        <v>511</v>
      </c>
      <c r="U65" s="231" t="s">
        <v>511</v>
      </c>
      <c r="V65" s="231" t="s">
        <v>511</v>
      </c>
    </row>
    <row r="66" spans="2:22">
      <c r="B66" s="1154" t="s">
        <v>512</v>
      </c>
      <c r="C66" s="1154"/>
      <c r="D66" s="1154"/>
      <c r="E66" s="274"/>
      <c r="F66" s="271"/>
      <c r="G66" s="270"/>
      <c r="H66" s="270"/>
      <c r="I66" s="270"/>
      <c r="J66" s="270"/>
      <c r="K66" s="270"/>
      <c r="L66" s="270"/>
      <c r="M66" s="272"/>
      <c r="N66" s="274"/>
      <c r="O66" s="271"/>
      <c r="P66" s="270"/>
      <c r="Q66" s="270"/>
      <c r="R66" s="270"/>
      <c r="S66" s="270"/>
      <c r="T66" s="270"/>
      <c r="U66" s="270"/>
      <c r="V66" s="272"/>
    </row>
    <row r="67" spans="2:22">
      <c r="B67" s="231" t="s">
        <v>8</v>
      </c>
      <c r="C67" s="230" t="e">
        <f>HLOOKUP($C$44,$F$44:$M$71,24,FALSE)</f>
        <v>#REF!</v>
      </c>
      <c r="D67" s="230" t="e">
        <f>HLOOKUP($D$44,$O$44:$V$71,24,FALSE)</f>
        <v>#REF!</v>
      </c>
      <c r="E67" s="274"/>
      <c r="F67" s="231" t="s">
        <v>2</v>
      </c>
      <c r="G67" s="231" t="s">
        <v>2</v>
      </c>
      <c r="H67" s="231" t="s">
        <v>2</v>
      </c>
      <c r="I67" s="231" t="s">
        <v>2</v>
      </c>
      <c r="J67" s="231" t="s">
        <v>2</v>
      </c>
      <c r="K67" s="231" t="s">
        <v>2</v>
      </c>
      <c r="L67" s="231" t="s">
        <v>2</v>
      </c>
      <c r="M67" s="231" t="s">
        <v>2</v>
      </c>
      <c r="N67" s="274"/>
      <c r="O67" s="231" t="s">
        <v>2</v>
      </c>
      <c r="P67" s="231" t="s">
        <v>2</v>
      </c>
      <c r="Q67" s="231" t="s">
        <v>2</v>
      </c>
      <c r="R67" s="231" t="s">
        <v>2</v>
      </c>
      <c r="S67" s="231" t="s">
        <v>2</v>
      </c>
      <c r="T67" s="231" t="s">
        <v>2</v>
      </c>
      <c r="U67" s="231" t="s">
        <v>2</v>
      </c>
      <c r="V67" s="231" t="s">
        <v>2</v>
      </c>
    </row>
    <row r="68" spans="2:22">
      <c r="B68" s="244"/>
      <c r="C68" s="268" t="s">
        <v>513</v>
      </c>
      <c r="D68" s="268" t="s">
        <v>514</v>
      </c>
      <c r="E68" s="274"/>
      <c r="F68" s="236"/>
      <c r="G68" s="237"/>
      <c r="H68" s="237"/>
      <c r="I68" s="237"/>
      <c r="J68" s="237"/>
      <c r="K68" s="237"/>
      <c r="L68" s="237"/>
      <c r="M68" s="238"/>
      <c r="N68" s="274"/>
      <c r="O68" s="271"/>
      <c r="P68" s="270"/>
      <c r="Q68" s="270"/>
      <c r="R68" s="270"/>
      <c r="S68" s="270"/>
      <c r="T68" s="270"/>
      <c r="U68" s="270"/>
      <c r="V68" s="272"/>
    </row>
    <row r="69" spans="2:22">
      <c r="B69" s="231" t="s">
        <v>515</v>
      </c>
      <c r="C69" s="230" t="e">
        <f>HLOOKUP($C$44,$F$44:$M$71,26,FALSE)</f>
        <v>#REF!</v>
      </c>
      <c r="D69" s="230" t="e">
        <f>HLOOKUP($D$44,$O$44:$V$71,26,FALSE)</f>
        <v>#REF!</v>
      </c>
      <c r="E69" s="274"/>
      <c r="F69" s="240" t="s">
        <v>590</v>
      </c>
      <c r="G69" s="240" t="s">
        <v>522</v>
      </c>
      <c r="H69" s="240" t="s">
        <v>594</v>
      </c>
      <c r="I69" s="240" t="s">
        <v>516</v>
      </c>
      <c r="J69" s="240" t="s">
        <v>517</v>
      </c>
      <c r="K69" s="240" t="s">
        <v>517</v>
      </c>
      <c r="L69" s="240" t="s">
        <v>593</v>
      </c>
      <c r="M69" s="240" t="s">
        <v>593</v>
      </c>
      <c r="N69" s="275"/>
      <c r="O69" s="231" t="s">
        <v>518</v>
      </c>
      <c r="P69" s="231" t="s">
        <v>518</v>
      </c>
      <c r="Q69" s="231" t="s">
        <v>518</v>
      </c>
      <c r="R69" s="231" t="s">
        <v>519</v>
      </c>
      <c r="S69" s="231" t="s">
        <v>519</v>
      </c>
      <c r="T69" s="231" t="s">
        <v>519</v>
      </c>
      <c r="U69" s="231" t="s">
        <v>520</v>
      </c>
      <c r="V69" s="231" t="s">
        <v>520</v>
      </c>
    </row>
    <row r="70" spans="2:22">
      <c r="B70" s="231" t="s">
        <v>9</v>
      </c>
      <c r="C70" s="230" t="e">
        <f>HLOOKUP($C$44,$F$44:$M$71,27,FALSE)</f>
        <v>#REF!</v>
      </c>
      <c r="D70" s="230" t="e">
        <f>HLOOKUP($D$44,$O$44:$V$71,27,FALSE)</f>
        <v>#REF!</v>
      </c>
      <c r="E70" s="274"/>
      <c r="F70" s="240" t="s">
        <v>590</v>
      </c>
      <c r="G70" s="240" t="s">
        <v>592</v>
      </c>
      <c r="H70" s="240" t="s">
        <v>591</v>
      </c>
      <c r="I70" s="240" t="s">
        <v>521</v>
      </c>
      <c r="J70" s="240" t="s">
        <v>522</v>
      </c>
      <c r="K70" s="240" t="s">
        <v>522</v>
      </c>
      <c r="L70" s="240" t="s">
        <v>522</v>
      </c>
      <c r="M70" s="240" t="s">
        <v>522</v>
      </c>
      <c r="N70" s="274"/>
      <c r="O70" s="231" t="s">
        <v>518</v>
      </c>
      <c r="P70" s="231" t="s">
        <v>518</v>
      </c>
      <c r="Q70" s="231" t="s">
        <v>518</v>
      </c>
      <c r="R70" s="231" t="s">
        <v>519</v>
      </c>
      <c r="S70" s="231" t="s">
        <v>519</v>
      </c>
      <c r="T70" s="231" t="s">
        <v>519</v>
      </c>
      <c r="U70" s="231" t="s">
        <v>520</v>
      </c>
      <c r="V70" s="231" t="s">
        <v>520</v>
      </c>
    </row>
    <row r="71" spans="2:22">
      <c r="B71" s="231" t="s">
        <v>10</v>
      </c>
      <c r="C71" s="230" t="e">
        <f>HLOOKUP($C$44,$F$44:$M$71,28,FALSE)</f>
        <v>#REF!</v>
      </c>
      <c r="D71" s="230" t="e">
        <f>HLOOKUP($D$44,$O$44:$V$71,28,FALSE)</f>
        <v>#REF!</v>
      </c>
      <c r="E71" s="274"/>
      <c r="F71" s="240" t="s">
        <v>590</v>
      </c>
      <c r="G71" s="240" t="s">
        <v>521</v>
      </c>
      <c r="H71" s="240" t="s">
        <v>589</v>
      </c>
      <c r="I71" s="240" t="s">
        <v>523</v>
      </c>
      <c r="J71" s="240" t="s">
        <v>523</v>
      </c>
      <c r="K71" s="240" t="s">
        <v>523</v>
      </c>
      <c r="L71" s="240" t="s">
        <v>517</v>
      </c>
      <c r="M71" s="240" t="s">
        <v>517</v>
      </c>
      <c r="N71" s="274"/>
      <c r="O71" s="231" t="s">
        <v>518</v>
      </c>
      <c r="P71" s="231" t="s">
        <v>518</v>
      </c>
      <c r="Q71" s="231" t="s">
        <v>518</v>
      </c>
      <c r="R71" s="231" t="s">
        <v>519</v>
      </c>
      <c r="S71" s="231" t="s">
        <v>519</v>
      </c>
      <c r="T71" s="231" t="s">
        <v>519</v>
      </c>
      <c r="U71" s="231" t="s">
        <v>520</v>
      </c>
      <c r="V71" s="231" t="s">
        <v>520</v>
      </c>
    </row>
    <row r="84" ht="35.25" customHeight="1"/>
    <row r="100" ht="98.25" customHeight="1"/>
    <row r="115" ht="25.5" customHeight="1"/>
    <row r="116" ht="27" customHeight="1"/>
    <row r="129" ht="15" customHeight="1"/>
  </sheetData>
  <sheetProtection formatCells="0" formatColumns="0" formatRows="0"/>
  <mergeCells count="14">
    <mergeCell ref="F43:M43"/>
    <mergeCell ref="B38:W38"/>
    <mergeCell ref="B39:W39"/>
    <mergeCell ref="B40:W40"/>
    <mergeCell ref="O43:V43"/>
    <mergeCell ref="B43:B44"/>
    <mergeCell ref="B3:B4"/>
    <mergeCell ref="B64:D64"/>
    <mergeCell ref="B66:D66"/>
    <mergeCell ref="B57:D57"/>
    <mergeCell ref="B61:D61"/>
    <mergeCell ref="B45:D45"/>
    <mergeCell ref="B49:D49"/>
    <mergeCell ref="B54:D54"/>
  </mergeCells>
  <pageMargins left="0.75" right="0.75" top="1" bottom="1" header="0.5" footer="0.5"/>
  <pageSetup scale="62" orientation="portrait"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Instructions</vt:lpstr>
      <vt:lpstr>Version History</vt:lpstr>
      <vt:lpstr>Prescriptive Path</vt:lpstr>
      <vt:lpstr>Baseline</vt:lpstr>
      <vt:lpstr>Proposed</vt:lpstr>
      <vt:lpstr>ClimateZoneLookup</vt:lpstr>
      <vt:lpstr>Gut Rehab Envelope</vt:lpstr>
      <vt:lpstr>Savings</vt:lpstr>
      <vt:lpstr>Prescriptive Tables 1, 2 &amp;  (2</vt:lpstr>
      <vt:lpstr>Prescriptive Tables 1, 2 &amp; 3</vt:lpstr>
      <vt:lpstr>counties</vt:lpstr>
      <vt:lpstr>EEPS_Funding</vt:lpstr>
      <vt:lpstr>ElecUtility</vt:lpstr>
      <vt:lpstr>FanType</vt:lpstr>
      <vt:lpstr>Funding_Source_Code</vt:lpstr>
      <vt:lpstr>GasList</vt:lpstr>
      <vt:lpstr>GasUtility</vt:lpstr>
      <vt:lpstr>'Prescriptive Tables 1, 2 &amp;  (2'!Print_Area</vt:lpstr>
      <vt:lpstr>RoofRValue</vt:lpstr>
      <vt:lpstr>Utilities</vt:lpstr>
      <vt:lpstr>WallRValue</vt:lpstr>
      <vt:lpstr>WindowType</vt:lpstr>
      <vt:lpstr>YesNo</vt:lpstr>
      <vt:lpstr>YN</vt:lpstr>
    </vt:vector>
  </TitlesOfParts>
  <Company>SWinter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smaxwell</dc:creator>
  <cp:lastModifiedBy>Shelley Beaulieu</cp:lastModifiedBy>
  <cp:lastPrinted>2018-06-25T19:30:03Z</cp:lastPrinted>
  <dcterms:created xsi:type="dcterms:W3CDTF">2010-02-03T16:16:48Z</dcterms:created>
  <dcterms:modified xsi:type="dcterms:W3CDTF">2019-01-24T00:57:03Z</dcterms:modified>
</cp:coreProperties>
</file>