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LIFTONPARK-FP2\cliftonpark\Energy Services\Projects\MFB Program\Program Design Materials\MPP-NC Transition\Program Documents\"/>
    </mc:Choice>
  </mc:AlternateContent>
  <bookViews>
    <workbookView xWindow="1440" yWindow="1815" windowWidth="12225" windowHeight="6405" tabRatio="893" firstSheet="6" activeTab="6"/>
  </bookViews>
  <sheets>
    <sheet name="NYSERDA Reporting" sheetId="60" state="hidden" r:id="rId1"/>
    <sheet name="ERMs" sheetId="68" state="hidden" r:id="rId2"/>
    <sheet name="GHSF Calculator" sheetId="56" state="hidden" r:id="rId3"/>
    <sheet name="Demand Savings Lookup" sheetId="61" state="hidden" r:id="rId4"/>
    <sheet name="Lookup" sheetId="57" state="hidden" r:id="rId5"/>
    <sheet name="Drop Down" sheetId="54" state="hidden" r:id="rId6"/>
    <sheet name="Introduction" sheetId="65" r:id="rId7"/>
    <sheet name="Version History" sheetId="104" state="hidden" r:id="rId8"/>
    <sheet name="Basic Info" sheetId="42" r:id="rId9"/>
    <sheet name="Model Inputs" sheetId="62" r:id="rId10"/>
    <sheet name="Reporting Summary" sheetId="48" r:id="rId11"/>
    <sheet name="Detailed Measures" sheetId="47" r:id="rId12"/>
    <sheet name="Simulation Summary" sheetId="16" state="hidden" r:id="rId13"/>
    <sheet name="Results from eQUEST" sheetId="45" r:id="rId14"/>
    <sheet name="SG Appx Intro" sheetId="91" r:id="rId15"/>
    <sheet name="Windows eQuest" sheetId="93" r:id="rId16"/>
    <sheet name="DHW Demand" sheetId="98" r:id="rId17"/>
    <sheet name="Water Savings" sheetId="102" r:id="rId18"/>
    <sheet name="Appliances" sheetId="94" r:id="rId19"/>
    <sheet name="Lighting Schedule" sheetId="95" r:id="rId20"/>
    <sheet name="Interior Lighting" sheetId="96" r:id="rId21"/>
    <sheet name="In-Unit Lighting" sheetId="99" r:id="rId22"/>
    <sheet name="Exterior Lighting" sheetId="97" r:id="rId23"/>
    <sheet name="Infiltration&amp;Ventilation" sheetId="106" r:id="rId24"/>
    <sheet name="EIR for PTAC and PTHP" sheetId="101" r:id="rId25"/>
  </sheets>
  <externalReferences>
    <externalReference r:id="rId26"/>
    <externalReference r:id="rId27"/>
  </externalReferences>
  <definedNames>
    <definedName name="_xlnm._FilterDatabase" localSheetId="8" hidden="1">'Basic Info'!#REF!</definedName>
    <definedName name="AvoidedCostTable">#REF!</definedName>
    <definedName name="BaseSite">'Drop Down'!$AJ$2:$AJ$3</definedName>
    <definedName name="CentralHudson">#REF!</definedName>
    <definedName name="ClimateZone">'Drop Down'!$S$2:$S$9</definedName>
    <definedName name="Condition">'Drop Down'!$B$2:$B$6</definedName>
    <definedName name="ConEd">#REF!</definedName>
    <definedName name="construction">'Drop Down'!$H$2:$H$4</definedName>
    <definedName name="DHW_Method">'Drop Down'!$J$2:$J$4</definedName>
    <definedName name="Efficacy">'Lighting Schedule'!$X$3:$X$4</definedName>
    <definedName name="EStar">'Drop Down'!$L$2:$L$6</definedName>
    <definedName name="ExtLightZone">'Drop Down'!$AK$2:$AK$4</definedName>
    <definedName name="Fan">'Drop Down'!$Q$3:$Q$6</definedName>
    <definedName name="FanControl">'Drop Down'!$O$2:$O$8</definedName>
    <definedName name="FanRate">'Drop Down'!$R$3:$R$6</definedName>
    <definedName name="Floors">'[1]MeasureQC Calcs'!$B$53</definedName>
    <definedName name="Footcandles">'Drop Down'!$AA$2:$AA$16</definedName>
    <definedName name="fuel">'Drop Down'!$I$2:$I$7</definedName>
    <definedName name="Fuels">'Drop Down'!$AE$2:$AE$7</definedName>
    <definedName name="FuelType">[2]DropDowns!$A$3:$A$7</definedName>
    <definedName name="funding">[2]DropDowns!$I$3:$I$8</definedName>
    <definedName name="FundingCodes">'Drop Down'!$AF$2:$AF$8</definedName>
    <definedName name="Garage">'Drop Down'!$A$2:$A$5</definedName>
    <definedName name="GasUtility">'Drop Down'!$AG$2:$AG$6</definedName>
    <definedName name="HeatingControl">'Drop Down'!$P$2:$P$7</definedName>
    <definedName name="HousingType">[2]DropDowns!$E$3:$E$5</definedName>
    <definedName name="Income">'Drop Down'!$G$2:$G$4</definedName>
    <definedName name="KEDLI">#REF!</definedName>
    <definedName name="LightCalcMethod">'Drop Down'!$V$2:$V$3</definedName>
    <definedName name="LightingSpaceType">'Drop Down'!$W$2:$W$16</definedName>
    <definedName name="Location">'[1]MeasureQC Calcs'!$B$52</definedName>
    <definedName name="Low_Flow_Toilets" localSheetId="17">'Water Savings'!$E$22:$E$22</definedName>
    <definedName name="LPD2013SS">'Drop Down'!$X$2:$X$16</definedName>
    <definedName name="LPD2013WB">'Drop Down'!$Z$2:$Z$16</definedName>
    <definedName name="Measure_Type">'Demand Savings Lookup'!$A$2:$A$52</definedName>
    <definedName name="MeasureList">'[1]MeasureQC Calcs'!$A$6:$A$46</definedName>
    <definedName name="MeasureQCdata">'[1]MeasureQC Calcs'!$A$6:$AZ$45</definedName>
    <definedName name="Milestone">'Drop Down'!$D$2:$D$4</definedName>
    <definedName name="NationalGrid">#REF!</definedName>
    <definedName name="NYSEG">#REF!</definedName>
    <definedName name="OandR">#REF!</definedName>
    <definedName name="OSReq">'Drop Down'!$Y$2:$Y$16</definedName>
    <definedName name="_xlnm.Print_Area" localSheetId="1">ERMs!$A$2:$E$82</definedName>
    <definedName name="_xlnm.Print_Area" localSheetId="6">Introduction!$B$1:$C$25</definedName>
    <definedName name="_xlnm.Print_Area" localSheetId="10">'Reporting Summary'!$B$1:$L$139</definedName>
    <definedName name="_xlnm.Print_Area" localSheetId="14">'SG Appx Intro'!$B$1:$C$36</definedName>
    <definedName name="_xlnm.Print_Titles" localSheetId="20">'Interior Lighting'!$18:$18</definedName>
    <definedName name="Pump">'Drop Down'!$M$2:$M$6</definedName>
    <definedName name="PumpClass">'Drop Down'!$N$2:$N$5</definedName>
    <definedName name="reqd">[2]DropDowns!$G$3:$G$5</definedName>
    <definedName name="Rev">'Drop Down'!$E$2:$E$8</definedName>
    <definedName name="RGandE">#REF!</definedName>
    <definedName name="Rise">'[1]MeasureQC Calcs'!$B$54</definedName>
    <definedName name="SpaceType">'Drop Down'!$U$2:$U$16</definedName>
    <definedName name="SplitType">'Drop Down'!$AI$2:$AI$4</definedName>
    <definedName name="SqFt">'[1]MeasureQC Calcs'!$B$55</definedName>
    <definedName name="Standard">'Drop Down'!$F$2:$F$4</definedName>
    <definedName name="Units">'Drop Down'!$K$2:$K$10</definedName>
    <definedName name="UpDown">#REF!</definedName>
    <definedName name="Utility">'Drop Down'!$AC$2:$AC$7</definedName>
    <definedName name="Windows">'Drop Down'!$T$2:$T$3</definedName>
    <definedName name="YesNo">'Drop Down'!$AB$2:$AB$4</definedName>
    <definedName name="YN">'Drop Down'!$C$2:$C$4</definedName>
    <definedName name="ynn">[2]DropDowns!$C$3:$C$4</definedName>
    <definedName name="Z_04B77481_E3E8_40F9_BDC2_E6862D1359A5_.wvu.PrintArea" localSheetId="11" hidden="1">'Detailed Measures'!$D$4:$V$30</definedName>
  </definedNames>
  <calcPr calcId="152511"/>
</workbook>
</file>

<file path=xl/calcChain.xml><?xml version="1.0" encoding="utf-8"?>
<calcChain xmlns="http://schemas.openxmlformats.org/spreadsheetml/2006/main">
  <c r="E22" i="97" l="1"/>
  <c r="E23" i="97"/>
  <c r="E24" i="97"/>
  <c r="E25" i="97"/>
  <c r="E21" i="97"/>
  <c r="E14" i="97"/>
  <c r="E15" i="97"/>
  <c r="E16" i="97"/>
  <c r="E17" i="97"/>
  <c r="E13" i="97"/>
  <c r="M31" i="96"/>
  <c r="M32" i="96"/>
  <c r="M33" i="96"/>
  <c r="M34" i="96"/>
  <c r="M35" i="96"/>
  <c r="M36" i="96"/>
  <c r="M37" i="96"/>
  <c r="M38" i="96"/>
  <c r="M39" i="96"/>
  <c r="M40" i="96"/>
  <c r="M41" i="96"/>
  <c r="M42" i="96"/>
  <c r="M43" i="96"/>
  <c r="M44" i="96"/>
  <c r="M45" i="96"/>
  <c r="M46" i="96"/>
  <c r="M47" i="96"/>
  <c r="M48" i="96"/>
  <c r="M49" i="96"/>
  <c r="M50" i="96"/>
  <c r="M51" i="96"/>
  <c r="M52" i="96"/>
  <c r="M53" i="96"/>
  <c r="M54" i="96"/>
  <c r="M55" i="96"/>
  <c r="M56" i="96"/>
  <c r="M57" i="96"/>
  <c r="M58" i="96"/>
  <c r="M59" i="96"/>
  <c r="M60" i="96"/>
  <c r="M61" i="96"/>
  <c r="M62" i="96"/>
  <c r="M63" i="96"/>
  <c r="M64" i="96"/>
  <c r="M65" i="96"/>
  <c r="M66" i="96"/>
  <c r="M67" i="96"/>
  <c r="M68" i="96"/>
  <c r="M69" i="96"/>
  <c r="M70" i="96"/>
  <c r="M71" i="96"/>
  <c r="M72" i="96"/>
  <c r="M73" i="96"/>
  <c r="M74" i="96"/>
  <c r="M75" i="96"/>
  <c r="M76" i="96"/>
  <c r="M77" i="96"/>
  <c r="M78" i="96"/>
  <c r="M79" i="96"/>
  <c r="M80" i="96"/>
  <c r="M81" i="96"/>
  <c r="M82" i="96"/>
  <c r="M83" i="96"/>
  <c r="M84" i="96"/>
  <c r="M85" i="96"/>
  <c r="M86" i="96"/>
  <c r="M87" i="96"/>
  <c r="M88" i="96"/>
  <c r="M89" i="96"/>
  <c r="M90" i="96"/>
  <c r="M91" i="96"/>
  <c r="M92" i="96"/>
  <c r="M93" i="96"/>
  <c r="M94" i="96"/>
  <c r="M95" i="96"/>
  <c r="M96" i="96"/>
  <c r="M97" i="96"/>
  <c r="M98" i="96"/>
  <c r="M99" i="96"/>
  <c r="M100" i="96"/>
  <c r="M101" i="96"/>
  <c r="M102" i="96"/>
  <c r="M103" i="96"/>
  <c r="M104" i="96"/>
  <c r="M105" i="96"/>
  <c r="M106" i="96"/>
  <c r="M107" i="96"/>
  <c r="M108" i="96"/>
  <c r="M109" i="96"/>
  <c r="M110" i="96"/>
  <c r="M111" i="96"/>
  <c r="M112" i="96"/>
  <c r="M113" i="96"/>
  <c r="M114" i="96"/>
  <c r="M115" i="96"/>
  <c r="M116" i="96"/>
  <c r="M117" i="96"/>
  <c r="M118" i="96"/>
  <c r="M119" i="96"/>
  <c r="M120" i="96"/>
  <c r="M121" i="96"/>
  <c r="M122" i="96"/>
  <c r="M123" i="96"/>
  <c r="M124" i="96"/>
  <c r="M125" i="96"/>
  <c r="M126" i="96"/>
  <c r="M127" i="96"/>
  <c r="M128" i="96"/>
  <c r="M129" i="96"/>
  <c r="M130" i="96"/>
  <c r="M131" i="96"/>
  <c r="M132" i="96"/>
  <c r="M133" i="96"/>
  <c r="M134" i="96"/>
  <c r="M135" i="96"/>
  <c r="M136" i="96"/>
  <c r="M137" i="96"/>
  <c r="M138" i="96"/>
  <c r="M139" i="96"/>
  <c r="M140" i="96"/>
  <c r="M141" i="96"/>
  <c r="M142" i="96"/>
  <c r="M143" i="96"/>
  <c r="M144" i="96"/>
  <c r="M145" i="96"/>
  <c r="M146" i="96"/>
  <c r="M147" i="96"/>
  <c r="M148" i="96"/>
  <c r="M149" i="96"/>
  <c r="M150" i="96"/>
  <c r="M151" i="96"/>
  <c r="M152" i="96"/>
  <c r="M153" i="96"/>
  <c r="M154" i="96"/>
  <c r="M155" i="96"/>
  <c r="M156" i="96"/>
  <c r="M157" i="96"/>
  <c r="M158" i="96"/>
  <c r="M159" i="96"/>
  <c r="M160" i="96"/>
  <c r="M161" i="96"/>
  <c r="M162" i="96"/>
  <c r="M163" i="96"/>
  <c r="M164" i="96"/>
  <c r="M165" i="96"/>
  <c r="M166" i="96"/>
  <c r="M167" i="96"/>
  <c r="M168" i="96"/>
  <c r="M169" i="96"/>
  <c r="M170" i="96"/>
  <c r="M171" i="96"/>
  <c r="M172" i="96"/>
  <c r="M173" i="96"/>
  <c r="M174" i="96"/>
  <c r="M175" i="96"/>
  <c r="M176" i="96"/>
  <c r="M177" i="96"/>
  <c r="M178" i="96"/>
  <c r="M179" i="96"/>
  <c r="M180" i="96"/>
  <c r="M181" i="96"/>
  <c r="M182" i="96"/>
  <c r="M183" i="96"/>
  <c r="M184" i="96"/>
  <c r="M185" i="96"/>
  <c r="M186" i="96"/>
  <c r="M187" i="96"/>
  <c r="M188" i="96"/>
  <c r="M189" i="96"/>
  <c r="M190" i="96"/>
  <c r="M191" i="96"/>
  <c r="M192" i="96"/>
  <c r="M193" i="96"/>
  <c r="M194" i="96"/>
  <c r="M195" i="96"/>
  <c r="M196" i="96"/>
  <c r="M197" i="96"/>
  <c r="M198" i="96"/>
  <c r="M199" i="96"/>
  <c r="M200" i="96"/>
  <c r="M201" i="96"/>
  <c r="M202" i="96"/>
  <c r="M203" i="96"/>
  <c r="M204" i="96"/>
  <c r="M205" i="96"/>
  <c r="M206" i="96"/>
  <c r="M207" i="96"/>
  <c r="M208" i="96"/>
  <c r="M209" i="96"/>
  <c r="M210" i="96"/>
  <c r="M211" i="96"/>
  <c r="M212" i="96"/>
  <c r="M213" i="96"/>
  <c r="M214" i="96"/>
  <c r="M215" i="96"/>
  <c r="M216" i="96"/>
  <c r="M217" i="96"/>
  <c r="M218" i="96"/>
  <c r="M219" i="96"/>
  <c r="M220" i="96"/>
  <c r="M221" i="96"/>
  <c r="M222" i="96"/>
  <c r="M223" i="96"/>
  <c r="M224" i="96"/>
  <c r="M225" i="96"/>
  <c r="M226" i="96"/>
  <c r="M227" i="96"/>
  <c r="M228" i="96"/>
  <c r="M229" i="96"/>
  <c r="M230" i="96"/>
  <c r="M231" i="96"/>
  <c r="M232" i="96"/>
  <c r="M233" i="96"/>
  <c r="M234" i="96"/>
  <c r="M235" i="96"/>
  <c r="M236" i="96"/>
  <c r="M237" i="96"/>
  <c r="M238" i="96"/>
  <c r="M239" i="96"/>
  <c r="M240" i="96"/>
  <c r="M241" i="96"/>
  <c r="M242" i="96"/>
  <c r="M243" i="96"/>
  <c r="M244" i="96"/>
  <c r="M245" i="96"/>
  <c r="M246" i="96"/>
  <c r="M247" i="96"/>
  <c r="M248" i="96"/>
  <c r="M249" i="96"/>
  <c r="M250" i="96"/>
  <c r="M251" i="96"/>
  <c r="M252" i="96"/>
  <c r="M253" i="96"/>
  <c r="M254" i="96"/>
  <c r="M255" i="96"/>
  <c r="M256" i="96"/>
  <c r="M257" i="96"/>
  <c r="M258" i="96"/>
  <c r="M259" i="96"/>
  <c r="M260" i="96"/>
  <c r="M261" i="96"/>
  <c r="M262" i="96"/>
  <c r="M263" i="96"/>
  <c r="M264" i="96"/>
  <c r="M265" i="96"/>
  <c r="M266" i="96"/>
  <c r="M267" i="96"/>
  <c r="M268" i="96"/>
  <c r="M269" i="96"/>
  <c r="M270" i="96"/>
  <c r="M271" i="96"/>
  <c r="M272" i="96"/>
  <c r="M273" i="96"/>
  <c r="M274" i="96"/>
  <c r="M275" i="96"/>
  <c r="M276" i="96"/>
  <c r="M277" i="96"/>
  <c r="M278" i="96"/>
  <c r="M279" i="96"/>
  <c r="M280" i="96"/>
  <c r="M281" i="96"/>
  <c r="M282" i="96"/>
  <c r="M283" i="96"/>
  <c r="M284" i="96"/>
  <c r="M285" i="96"/>
  <c r="M286" i="96"/>
  <c r="M287" i="96"/>
  <c r="M288" i="96"/>
  <c r="M289" i="96"/>
  <c r="M290" i="96"/>
  <c r="M291" i="96"/>
  <c r="M292" i="96"/>
  <c r="M293" i="96"/>
  <c r="M294" i="96"/>
  <c r="M295" i="96"/>
  <c r="M296" i="96"/>
  <c r="M297" i="96"/>
  <c r="M298" i="96"/>
  <c r="M299" i="96"/>
  <c r="M300" i="96"/>
  <c r="M301" i="96"/>
  <c r="M302" i="96"/>
  <c r="M303" i="96"/>
  <c r="M304" i="96"/>
  <c r="M305" i="96"/>
  <c r="M306" i="96"/>
  <c r="M307" i="96"/>
  <c r="M308" i="96"/>
  <c r="M309" i="96"/>
  <c r="M310" i="96"/>
  <c r="M311" i="96"/>
  <c r="M312" i="96"/>
  <c r="M313" i="96"/>
  <c r="M314" i="96"/>
  <c r="M315" i="96"/>
  <c r="M316" i="96"/>
  <c r="M317" i="96"/>
  <c r="M318" i="96"/>
  <c r="M319" i="96"/>
  <c r="M320" i="96"/>
  <c r="M321" i="96"/>
  <c r="M322" i="96"/>
  <c r="M323" i="96"/>
  <c r="M324" i="96"/>
  <c r="M325" i="96"/>
  <c r="M326" i="96"/>
  <c r="M327" i="96"/>
  <c r="M328" i="96"/>
  <c r="M329" i="96"/>
  <c r="M330" i="96"/>
  <c r="M331" i="96"/>
  <c r="M332" i="96"/>
  <c r="M333" i="96"/>
  <c r="M334" i="96"/>
  <c r="M335" i="96"/>
  <c r="M336" i="96"/>
  <c r="M337" i="96"/>
  <c r="M338" i="96"/>
  <c r="M339" i="96"/>
  <c r="M340" i="96"/>
  <c r="M341" i="96"/>
  <c r="M342" i="96"/>
  <c r="M343" i="96"/>
  <c r="M344" i="96"/>
  <c r="M345" i="96"/>
  <c r="M346" i="96"/>
  <c r="M347" i="96"/>
  <c r="M348" i="96"/>
  <c r="M349" i="96"/>
  <c r="M350" i="96"/>
  <c r="M351" i="96"/>
  <c r="M352" i="96"/>
  <c r="M353" i="96"/>
  <c r="M354" i="96"/>
  <c r="M355" i="96"/>
  <c r="M356" i="96"/>
  <c r="M357" i="96"/>
  <c r="M358" i="96"/>
  <c r="M359" i="96"/>
  <c r="M360" i="96"/>
  <c r="M361" i="96"/>
  <c r="K30" i="96"/>
  <c r="U32" i="96"/>
  <c r="U33" i="96"/>
  <c r="U34" i="96"/>
  <c r="U35" i="96"/>
  <c r="U36" i="96"/>
  <c r="U37" i="96"/>
  <c r="U38" i="96"/>
  <c r="U39" i="96"/>
  <c r="U40" i="96"/>
  <c r="U41" i="96"/>
  <c r="U42" i="96"/>
  <c r="U43" i="96"/>
  <c r="U44" i="96"/>
  <c r="U45" i="96"/>
  <c r="U46" i="96"/>
  <c r="U47" i="96"/>
  <c r="U48" i="96"/>
  <c r="U49" i="96"/>
  <c r="U50" i="96"/>
  <c r="U51" i="96"/>
  <c r="U52" i="96"/>
  <c r="U53" i="96"/>
  <c r="U54" i="96"/>
  <c r="U55" i="96"/>
  <c r="U56" i="96"/>
  <c r="U57" i="96"/>
  <c r="U58" i="96"/>
  <c r="U59" i="96"/>
  <c r="U60" i="96"/>
  <c r="U61" i="96"/>
  <c r="U62" i="96"/>
  <c r="U63" i="96"/>
  <c r="U64" i="96"/>
  <c r="U65" i="96"/>
  <c r="U66" i="96"/>
  <c r="U67" i="96"/>
  <c r="U68" i="96"/>
  <c r="U69" i="96"/>
  <c r="U70" i="96"/>
  <c r="U71" i="96"/>
  <c r="U72" i="96"/>
  <c r="U73" i="96"/>
  <c r="U74" i="96"/>
  <c r="U75" i="96"/>
  <c r="U76" i="96"/>
  <c r="U77" i="96"/>
  <c r="U78" i="96"/>
  <c r="U79" i="96"/>
  <c r="U80" i="96"/>
  <c r="U81" i="96"/>
  <c r="U82" i="96"/>
  <c r="U83" i="96"/>
  <c r="U84" i="96"/>
  <c r="U85" i="96"/>
  <c r="U86" i="96"/>
  <c r="U87" i="96"/>
  <c r="U88" i="96"/>
  <c r="U89" i="96"/>
  <c r="U90" i="96"/>
  <c r="U91" i="96"/>
  <c r="U92" i="96"/>
  <c r="U93" i="96"/>
  <c r="U94" i="96"/>
  <c r="U95" i="96"/>
  <c r="U96" i="96"/>
  <c r="U97" i="96"/>
  <c r="U98" i="96"/>
  <c r="U99" i="96"/>
  <c r="U100" i="96"/>
  <c r="U101" i="96"/>
  <c r="U102" i="96"/>
  <c r="U103" i="96"/>
  <c r="U104" i="96"/>
  <c r="U105" i="96"/>
  <c r="U106" i="96"/>
  <c r="U107" i="96"/>
  <c r="U108" i="96"/>
  <c r="U109" i="96"/>
  <c r="U110" i="96"/>
  <c r="U111" i="96"/>
  <c r="U112" i="96"/>
  <c r="U113" i="96"/>
  <c r="U114" i="96"/>
  <c r="U115" i="96"/>
  <c r="U116" i="96"/>
  <c r="U117" i="96"/>
  <c r="U118" i="96"/>
  <c r="U119" i="96"/>
  <c r="U120" i="96"/>
  <c r="U121" i="96"/>
  <c r="U122" i="96"/>
  <c r="U123" i="96"/>
  <c r="U124" i="96"/>
  <c r="U125" i="96"/>
  <c r="U126" i="96"/>
  <c r="U127" i="96"/>
  <c r="U128" i="96"/>
  <c r="U129" i="96"/>
  <c r="U130" i="96"/>
  <c r="U131" i="96"/>
  <c r="U132" i="96"/>
  <c r="U133" i="96"/>
  <c r="U134" i="96"/>
  <c r="U135" i="96"/>
  <c r="U136" i="96"/>
  <c r="U137" i="96"/>
  <c r="U138" i="96"/>
  <c r="U139" i="96"/>
  <c r="U140" i="96"/>
  <c r="U141" i="96"/>
  <c r="U142" i="96"/>
  <c r="U143" i="96"/>
  <c r="U144" i="96"/>
  <c r="U145" i="96"/>
  <c r="U146" i="96"/>
  <c r="U147" i="96"/>
  <c r="U148" i="96"/>
  <c r="U149" i="96"/>
  <c r="U150" i="96"/>
  <c r="U151" i="96"/>
  <c r="U152" i="96"/>
  <c r="U153" i="96"/>
  <c r="U154" i="96"/>
  <c r="U155" i="96"/>
  <c r="U156" i="96"/>
  <c r="U157" i="96"/>
  <c r="U158" i="96"/>
  <c r="U159" i="96"/>
  <c r="U160" i="96"/>
  <c r="U161" i="96"/>
  <c r="U162" i="96"/>
  <c r="U163" i="96"/>
  <c r="U164" i="96"/>
  <c r="U165" i="96"/>
  <c r="U166" i="96"/>
  <c r="U167" i="96"/>
  <c r="U168" i="96"/>
  <c r="U169" i="96"/>
  <c r="U170" i="96"/>
  <c r="U171" i="96"/>
  <c r="U172" i="96"/>
  <c r="U173" i="96"/>
  <c r="U174" i="96"/>
  <c r="U175" i="96"/>
  <c r="U176" i="96"/>
  <c r="U177" i="96"/>
  <c r="U178" i="96"/>
  <c r="U179" i="96"/>
  <c r="U180" i="96"/>
  <c r="U181" i="96"/>
  <c r="U182" i="96"/>
  <c r="U183" i="96"/>
  <c r="U184" i="96"/>
  <c r="U185" i="96"/>
  <c r="U186" i="96"/>
  <c r="U187" i="96"/>
  <c r="U188" i="96"/>
  <c r="U189" i="96"/>
  <c r="U190" i="96"/>
  <c r="U191" i="96"/>
  <c r="U192" i="96"/>
  <c r="U193" i="96"/>
  <c r="U194" i="96"/>
  <c r="U195" i="96"/>
  <c r="U196" i="96"/>
  <c r="U197" i="96"/>
  <c r="U198" i="96"/>
  <c r="U199" i="96"/>
  <c r="U200" i="96"/>
  <c r="U201" i="96"/>
  <c r="U202" i="96"/>
  <c r="U203" i="96"/>
  <c r="U204" i="96"/>
  <c r="U205" i="96"/>
  <c r="U206" i="96"/>
  <c r="U207" i="96"/>
  <c r="U208" i="96"/>
  <c r="U209" i="96"/>
  <c r="U210" i="96"/>
  <c r="U211" i="96"/>
  <c r="U212" i="96"/>
  <c r="U213" i="96"/>
  <c r="U214" i="96"/>
  <c r="U215" i="96"/>
  <c r="U216" i="96"/>
  <c r="U217" i="96"/>
  <c r="U218" i="96"/>
  <c r="U219" i="96"/>
  <c r="U220" i="96"/>
  <c r="U221" i="96"/>
  <c r="U222" i="96"/>
  <c r="U223" i="96"/>
  <c r="U224" i="96"/>
  <c r="U225" i="96"/>
  <c r="U226" i="96"/>
  <c r="U227" i="96"/>
  <c r="U228" i="96"/>
  <c r="U229" i="96"/>
  <c r="U230" i="96"/>
  <c r="U231" i="96"/>
  <c r="U232" i="96"/>
  <c r="U233" i="96"/>
  <c r="U234" i="96"/>
  <c r="U235" i="96"/>
  <c r="U236" i="96"/>
  <c r="U237" i="96"/>
  <c r="U238" i="96"/>
  <c r="U239" i="96"/>
  <c r="U240" i="96"/>
  <c r="U241" i="96"/>
  <c r="U242" i="96"/>
  <c r="U243" i="96"/>
  <c r="U244" i="96"/>
  <c r="U245" i="96"/>
  <c r="U246" i="96"/>
  <c r="U247" i="96"/>
  <c r="U248" i="96"/>
  <c r="U249" i="96"/>
  <c r="U250" i="96"/>
  <c r="U251" i="96"/>
  <c r="U252" i="96"/>
  <c r="U253" i="96"/>
  <c r="U254" i="96"/>
  <c r="U255" i="96"/>
  <c r="U256" i="96"/>
  <c r="U257" i="96"/>
  <c r="U258" i="96"/>
  <c r="U259" i="96"/>
  <c r="U260" i="96"/>
  <c r="U261" i="96"/>
  <c r="U262" i="96"/>
  <c r="U263" i="96"/>
  <c r="U264" i="96"/>
  <c r="U265" i="96"/>
  <c r="U266" i="96"/>
  <c r="U267" i="96"/>
  <c r="U268" i="96"/>
  <c r="U269" i="96"/>
  <c r="U270" i="96"/>
  <c r="U271" i="96"/>
  <c r="U272" i="96"/>
  <c r="U273" i="96"/>
  <c r="U274" i="96"/>
  <c r="U275" i="96"/>
  <c r="U276" i="96"/>
  <c r="U277" i="96"/>
  <c r="U278" i="96"/>
  <c r="U279" i="96"/>
  <c r="U280" i="96"/>
  <c r="U281" i="96"/>
  <c r="U282" i="96"/>
  <c r="U283" i="96"/>
  <c r="U284" i="96"/>
  <c r="U285" i="96"/>
  <c r="U286" i="96"/>
  <c r="U287" i="96"/>
  <c r="U288" i="96"/>
  <c r="U289" i="96"/>
  <c r="U290" i="96"/>
  <c r="U291" i="96"/>
  <c r="U292" i="96"/>
  <c r="U293" i="96"/>
  <c r="U294" i="96"/>
  <c r="U295" i="96"/>
  <c r="U296" i="96"/>
  <c r="U297" i="96"/>
  <c r="U298" i="96"/>
  <c r="U299" i="96"/>
  <c r="U300" i="96"/>
  <c r="U301" i="96"/>
  <c r="U302" i="96"/>
  <c r="U303" i="96"/>
  <c r="U304" i="96"/>
  <c r="U305" i="96"/>
  <c r="U306" i="96"/>
  <c r="U307" i="96"/>
  <c r="U308" i="96"/>
  <c r="U309" i="96"/>
  <c r="U310" i="96"/>
  <c r="U311" i="96"/>
  <c r="U312" i="96"/>
  <c r="U313" i="96"/>
  <c r="U314" i="96"/>
  <c r="U315" i="96"/>
  <c r="U316" i="96"/>
  <c r="U317" i="96"/>
  <c r="U318" i="96"/>
  <c r="U319" i="96"/>
  <c r="U320" i="96"/>
  <c r="U321" i="96"/>
  <c r="U322" i="96"/>
  <c r="U323" i="96"/>
  <c r="U324" i="96"/>
  <c r="U325" i="96"/>
  <c r="U326" i="96"/>
  <c r="U327" i="96"/>
  <c r="U328" i="96"/>
  <c r="U329" i="96"/>
  <c r="U330" i="96"/>
  <c r="U331" i="96"/>
  <c r="U332" i="96"/>
  <c r="U333" i="96"/>
  <c r="U334" i="96"/>
  <c r="U335" i="96"/>
  <c r="U336" i="96"/>
  <c r="U337" i="96"/>
  <c r="U338" i="96"/>
  <c r="U339" i="96"/>
  <c r="U340" i="96"/>
  <c r="U341" i="96"/>
  <c r="U342" i="96"/>
  <c r="U343" i="96"/>
  <c r="U344" i="96"/>
  <c r="U345" i="96"/>
  <c r="U346" i="96"/>
  <c r="U347" i="96"/>
  <c r="U348" i="96"/>
  <c r="U349" i="96"/>
  <c r="U350" i="96"/>
  <c r="U351" i="96"/>
  <c r="U352" i="96"/>
  <c r="U353" i="96"/>
  <c r="U354" i="96"/>
  <c r="U355" i="96"/>
  <c r="U356" i="96"/>
  <c r="U357" i="96"/>
  <c r="U358" i="96"/>
  <c r="U359" i="96"/>
  <c r="U360" i="96"/>
  <c r="U361" i="96"/>
  <c r="U31" i="96"/>
  <c r="X31" i="96"/>
  <c r="X32" i="96"/>
  <c r="X33" i="96"/>
  <c r="X34" i="96"/>
  <c r="X35" i="96"/>
  <c r="X36" i="96"/>
  <c r="X37" i="96"/>
  <c r="X38" i="96"/>
  <c r="X39" i="96"/>
  <c r="X40" i="96"/>
  <c r="X41" i="96"/>
  <c r="X42" i="96"/>
  <c r="X43" i="96"/>
  <c r="X44" i="96"/>
  <c r="X45" i="96"/>
  <c r="X46" i="96"/>
  <c r="X47" i="96"/>
  <c r="X48" i="96"/>
  <c r="X49" i="96"/>
  <c r="X50" i="96"/>
  <c r="X51" i="96"/>
  <c r="X52" i="96"/>
  <c r="X53" i="96"/>
  <c r="X54" i="96"/>
  <c r="X55" i="96"/>
  <c r="X56" i="96"/>
  <c r="X57" i="96"/>
  <c r="X58" i="96"/>
  <c r="X59" i="96"/>
  <c r="X60" i="96"/>
  <c r="X61" i="96"/>
  <c r="X62" i="96"/>
  <c r="X63" i="96"/>
  <c r="X64" i="96"/>
  <c r="X65" i="96"/>
  <c r="X66" i="96"/>
  <c r="X67" i="96"/>
  <c r="X68" i="96"/>
  <c r="X69" i="96"/>
  <c r="X70" i="96"/>
  <c r="X71" i="96"/>
  <c r="X72" i="96"/>
  <c r="X73" i="96"/>
  <c r="X74" i="96"/>
  <c r="X75" i="96"/>
  <c r="X76" i="96"/>
  <c r="X77" i="96"/>
  <c r="X78" i="96"/>
  <c r="X79" i="96"/>
  <c r="X80" i="96"/>
  <c r="X81" i="96"/>
  <c r="X82" i="96"/>
  <c r="X83" i="96"/>
  <c r="X84" i="96"/>
  <c r="X85" i="96"/>
  <c r="X86" i="96"/>
  <c r="X87" i="96"/>
  <c r="X88" i="96"/>
  <c r="X89" i="96"/>
  <c r="X90" i="96"/>
  <c r="X91" i="96"/>
  <c r="X92" i="96"/>
  <c r="X93" i="96"/>
  <c r="X94" i="96"/>
  <c r="X95" i="96"/>
  <c r="X96" i="96"/>
  <c r="X97" i="96"/>
  <c r="X98" i="96"/>
  <c r="X99" i="96"/>
  <c r="X100" i="96"/>
  <c r="X101" i="96"/>
  <c r="X102" i="96"/>
  <c r="X103" i="96"/>
  <c r="X104" i="96"/>
  <c r="X105" i="96"/>
  <c r="X106" i="96"/>
  <c r="X107" i="96"/>
  <c r="X108" i="96"/>
  <c r="X109" i="96"/>
  <c r="X110" i="96"/>
  <c r="X111" i="96"/>
  <c r="X112" i="96"/>
  <c r="X113" i="96"/>
  <c r="X114" i="96"/>
  <c r="X115" i="96"/>
  <c r="X116" i="96"/>
  <c r="X117" i="96"/>
  <c r="X118" i="96"/>
  <c r="X119" i="96"/>
  <c r="X120" i="96"/>
  <c r="X121" i="96"/>
  <c r="X122" i="96"/>
  <c r="X123" i="96"/>
  <c r="X124" i="96"/>
  <c r="X125" i="96"/>
  <c r="X126" i="96"/>
  <c r="X127" i="96"/>
  <c r="X128" i="96"/>
  <c r="X129" i="96"/>
  <c r="X130" i="96"/>
  <c r="X131" i="96"/>
  <c r="X132" i="96"/>
  <c r="X133" i="96"/>
  <c r="X134" i="96"/>
  <c r="X135" i="96"/>
  <c r="X136" i="96"/>
  <c r="X137" i="96"/>
  <c r="X138" i="96"/>
  <c r="X139" i="96"/>
  <c r="X140" i="96"/>
  <c r="X141" i="96"/>
  <c r="X142" i="96"/>
  <c r="X143" i="96"/>
  <c r="X144" i="96"/>
  <c r="X145" i="96"/>
  <c r="X146" i="96"/>
  <c r="X147" i="96"/>
  <c r="X148" i="96"/>
  <c r="X149" i="96"/>
  <c r="X150" i="96"/>
  <c r="X151" i="96"/>
  <c r="X152" i="96"/>
  <c r="X153" i="96"/>
  <c r="X154" i="96"/>
  <c r="X155" i="96"/>
  <c r="X156" i="96"/>
  <c r="X157" i="96"/>
  <c r="X158" i="96"/>
  <c r="X159" i="96"/>
  <c r="X160" i="96"/>
  <c r="X161" i="96"/>
  <c r="X162" i="96"/>
  <c r="X163" i="96"/>
  <c r="X164" i="96"/>
  <c r="X165" i="96"/>
  <c r="X166" i="96"/>
  <c r="X167" i="96"/>
  <c r="X168" i="96"/>
  <c r="X169" i="96"/>
  <c r="X170" i="96"/>
  <c r="X171" i="96"/>
  <c r="X172" i="96"/>
  <c r="X173" i="96"/>
  <c r="X174" i="96"/>
  <c r="X175" i="96"/>
  <c r="X176" i="96"/>
  <c r="X177" i="96"/>
  <c r="X178" i="96"/>
  <c r="X179" i="96"/>
  <c r="X180" i="96"/>
  <c r="X181" i="96"/>
  <c r="X182" i="96"/>
  <c r="X183" i="96"/>
  <c r="X184" i="96"/>
  <c r="X185" i="96"/>
  <c r="X186" i="96"/>
  <c r="X187" i="96"/>
  <c r="X188" i="96"/>
  <c r="X189" i="96"/>
  <c r="X190" i="96"/>
  <c r="X191" i="96"/>
  <c r="X192" i="96"/>
  <c r="X193" i="96"/>
  <c r="X194" i="96"/>
  <c r="X195" i="96"/>
  <c r="X196" i="96"/>
  <c r="X197" i="96"/>
  <c r="X198" i="96"/>
  <c r="X199" i="96"/>
  <c r="X200" i="96"/>
  <c r="X201" i="96"/>
  <c r="X202" i="96"/>
  <c r="X203" i="96"/>
  <c r="X204" i="96"/>
  <c r="X205" i="96"/>
  <c r="X206" i="96"/>
  <c r="X207" i="96"/>
  <c r="X208" i="96"/>
  <c r="X209" i="96"/>
  <c r="X210" i="96"/>
  <c r="X211" i="96"/>
  <c r="X212" i="96"/>
  <c r="X213" i="96"/>
  <c r="X214" i="96"/>
  <c r="X215" i="96"/>
  <c r="X216" i="96"/>
  <c r="X217" i="96"/>
  <c r="X218" i="96"/>
  <c r="X219" i="96"/>
  <c r="X220" i="96"/>
  <c r="X221" i="96"/>
  <c r="X222" i="96"/>
  <c r="X223" i="96"/>
  <c r="X224" i="96"/>
  <c r="X225" i="96"/>
  <c r="X226" i="96"/>
  <c r="X227" i="96"/>
  <c r="X228" i="96"/>
  <c r="X229" i="96"/>
  <c r="X230" i="96"/>
  <c r="X231" i="96"/>
  <c r="X232" i="96"/>
  <c r="X233" i="96"/>
  <c r="X234" i="96"/>
  <c r="X235" i="96"/>
  <c r="X236" i="96"/>
  <c r="X237" i="96"/>
  <c r="X238" i="96"/>
  <c r="X239" i="96"/>
  <c r="X240" i="96"/>
  <c r="X241" i="96"/>
  <c r="X242" i="96"/>
  <c r="X243" i="96"/>
  <c r="X244" i="96"/>
  <c r="X245" i="96"/>
  <c r="X246" i="96"/>
  <c r="X247" i="96"/>
  <c r="X248" i="96"/>
  <c r="X249" i="96"/>
  <c r="X250" i="96"/>
  <c r="X251" i="96"/>
  <c r="X252" i="96"/>
  <c r="X253" i="96"/>
  <c r="X254" i="96"/>
  <c r="X255" i="96"/>
  <c r="X256" i="96"/>
  <c r="X257" i="96"/>
  <c r="X258" i="96"/>
  <c r="X259" i="96"/>
  <c r="X260" i="96"/>
  <c r="X261" i="96"/>
  <c r="X262" i="96"/>
  <c r="X263" i="96"/>
  <c r="X264" i="96"/>
  <c r="X265" i="96"/>
  <c r="X266" i="96"/>
  <c r="X267" i="96"/>
  <c r="X268" i="96"/>
  <c r="X269" i="96"/>
  <c r="X270" i="96"/>
  <c r="X271" i="96"/>
  <c r="X272" i="96"/>
  <c r="X273" i="96"/>
  <c r="X274" i="96"/>
  <c r="X275" i="96"/>
  <c r="X276" i="96"/>
  <c r="X277" i="96"/>
  <c r="X278" i="96"/>
  <c r="X279" i="96"/>
  <c r="X280" i="96"/>
  <c r="X281" i="96"/>
  <c r="X282" i="96"/>
  <c r="X283" i="96"/>
  <c r="X284" i="96"/>
  <c r="X285" i="96"/>
  <c r="X286" i="96"/>
  <c r="X287" i="96"/>
  <c r="X288" i="96"/>
  <c r="X289" i="96"/>
  <c r="X290" i="96"/>
  <c r="X291" i="96"/>
  <c r="X292" i="96"/>
  <c r="X293" i="96"/>
  <c r="X294" i="96"/>
  <c r="X295" i="96"/>
  <c r="X296" i="96"/>
  <c r="X297" i="96"/>
  <c r="X298" i="96"/>
  <c r="X299" i="96"/>
  <c r="X300" i="96"/>
  <c r="X301" i="96"/>
  <c r="X302" i="96"/>
  <c r="X303" i="96"/>
  <c r="X304" i="96"/>
  <c r="X305" i="96"/>
  <c r="X306" i="96"/>
  <c r="X307" i="96"/>
  <c r="X308" i="96"/>
  <c r="X309" i="96"/>
  <c r="X310" i="96"/>
  <c r="X311" i="96"/>
  <c r="X312" i="96"/>
  <c r="X313" i="96"/>
  <c r="X314" i="96"/>
  <c r="X315" i="96"/>
  <c r="X316" i="96"/>
  <c r="X317" i="96"/>
  <c r="X318" i="96"/>
  <c r="X319" i="96"/>
  <c r="X320" i="96"/>
  <c r="X321" i="96"/>
  <c r="X322" i="96"/>
  <c r="X323" i="96"/>
  <c r="X324" i="96"/>
  <c r="X325" i="96"/>
  <c r="X326" i="96"/>
  <c r="X327" i="96"/>
  <c r="X328" i="96"/>
  <c r="X329" i="96"/>
  <c r="X330" i="96"/>
  <c r="X331" i="96"/>
  <c r="X332" i="96"/>
  <c r="X333" i="96"/>
  <c r="X334" i="96"/>
  <c r="X335" i="96"/>
  <c r="X336" i="96"/>
  <c r="X337" i="96"/>
  <c r="X338" i="96"/>
  <c r="X339" i="96"/>
  <c r="X340" i="96"/>
  <c r="X341" i="96"/>
  <c r="X342" i="96"/>
  <c r="X343" i="96"/>
  <c r="X344" i="96"/>
  <c r="X345" i="96"/>
  <c r="X346" i="96"/>
  <c r="X347" i="96"/>
  <c r="X348" i="96"/>
  <c r="X349" i="96"/>
  <c r="X350" i="96"/>
  <c r="X351" i="96"/>
  <c r="X352" i="96"/>
  <c r="X353" i="96"/>
  <c r="X354" i="96"/>
  <c r="X355" i="96"/>
  <c r="X356" i="96"/>
  <c r="X357" i="96"/>
  <c r="X358" i="96"/>
  <c r="X359" i="96"/>
  <c r="X360" i="96"/>
  <c r="X361" i="96"/>
  <c r="X30" i="96"/>
  <c r="U30" i="96" s="1"/>
  <c r="N31" i="96"/>
  <c r="N32" i="96"/>
  <c r="N33" i="96"/>
  <c r="N34" i="96"/>
  <c r="N35" i="96"/>
  <c r="N36" i="96"/>
  <c r="N37" i="96"/>
  <c r="N38" i="96"/>
  <c r="N39" i="96"/>
  <c r="N40" i="96"/>
  <c r="N41" i="96"/>
  <c r="N42" i="96"/>
  <c r="N43" i="96"/>
  <c r="N44" i="96"/>
  <c r="N45" i="96"/>
  <c r="N46" i="96"/>
  <c r="N47" i="96"/>
  <c r="N48" i="96"/>
  <c r="N49" i="96"/>
  <c r="N50" i="96"/>
  <c r="N51" i="96"/>
  <c r="N52" i="96"/>
  <c r="N53" i="96"/>
  <c r="N54" i="96"/>
  <c r="N55" i="96"/>
  <c r="N56" i="96"/>
  <c r="N57" i="96"/>
  <c r="N58" i="96"/>
  <c r="N59" i="96"/>
  <c r="N60" i="96"/>
  <c r="N61" i="96"/>
  <c r="N62" i="96"/>
  <c r="N63" i="96"/>
  <c r="N64" i="96"/>
  <c r="N65" i="96"/>
  <c r="N66" i="96"/>
  <c r="N67" i="96"/>
  <c r="N68" i="96"/>
  <c r="N69" i="96"/>
  <c r="N70" i="96"/>
  <c r="N71" i="96"/>
  <c r="N72" i="96"/>
  <c r="N73" i="96"/>
  <c r="N74" i="96"/>
  <c r="N75" i="96"/>
  <c r="N76" i="96"/>
  <c r="N77" i="96"/>
  <c r="N78" i="96"/>
  <c r="N79" i="96"/>
  <c r="N80" i="96"/>
  <c r="N81" i="96"/>
  <c r="N82" i="96"/>
  <c r="N83" i="96"/>
  <c r="N84" i="96"/>
  <c r="N85" i="96"/>
  <c r="N86" i="96"/>
  <c r="N87" i="96"/>
  <c r="N88" i="96"/>
  <c r="N89" i="96"/>
  <c r="N90" i="96"/>
  <c r="N91" i="96"/>
  <c r="N92" i="96"/>
  <c r="N93" i="96"/>
  <c r="N94" i="96"/>
  <c r="N95" i="96"/>
  <c r="N96" i="96"/>
  <c r="N97" i="96"/>
  <c r="N98" i="96"/>
  <c r="N99" i="96"/>
  <c r="N100" i="96"/>
  <c r="N101" i="96"/>
  <c r="N102" i="96"/>
  <c r="N103" i="96"/>
  <c r="N104" i="96"/>
  <c r="N105" i="96"/>
  <c r="N106" i="96"/>
  <c r="N107" i="96"/>
  <c r="N108" i="96"/>
  <c r="N109" i="96"/>
  <c r="N110" i="96"/>
  <c r="N111" i="96"/>
  <c r="N112" i="96"/>
  <c r="N113" i="96"/>
  <c r="N114" i="96"/>
  <c r="N115" i="96"/>
  <c r="N116" i="96"/>
  <c r="N117" i="96"/>
  <c r="N118" i="96"/>
  <c r="N119" i="96"/>
  <c r="N120" i="96"/>
  <c r="N121" i="96"/>
  <c r="N122" i="96"/>
  <c r="N123" i="96"/>
  <c r="N124" i="96"/>
  <c r="N125" i="96"/>
  <c r="N126" i="96"/>
  <c r="N127" i="96"/>
  <c r="N128" i="96"/>
  <c r="N129" i="96"/>
  <c r="N130" i="96"/>
  <c r="N131" i="96"/>
  <c r="N132" i="96"/>
  <c r="N133" i="96"/>
  <c r="N134" i="96"/>
  <c r="N135" i="96"/>
  <c r="N136" i="96"/>
  <c r="N137" i="96"/>
  <c r="N138" i="96"/>
  <c r="N139" i="96"/>
  <c r="N140" i="96"/>
  <c r="N141" i="96"/>
  <c r="N142" i="96"/>
  <c r="N143" i="96"/>
  <c r="N144" i="96"/>
  <c r="N145" i="96"/>
  <c r="N146" i="96"/>
  <c r="N147" i="96"/>
  <c r="N148" i="96"/>
  <c r="N149" i="96"/>
  <c r="N150" i="96"/>
  <c r="N151" i="96"/>
  <c r="N152" i="96"/>
  <c r="N153" i="96"/>
  <c r="N154" i="96"/>
  <c r="N155" i="96"/>
  <c r="N156" i="96"/>
  <c r="N157" i="96"/>
  <c r="N158" i="96"/>
  <c r="N159" i="96"/>
  <c r="N160" i="96"/>
  <c r="N161" i="96"/>
  <c r="N162" i="96"/>
  <c r="N163" i="96"/>
  <c r="N164" i="96"/>
  <c r="N165" i="96"/>
  <c r="N166" i="96"/>
  <c r="N167" i="96"/>
  <c r="N168" i="96"/>
  <c r="N169" i="96"/>
  <c r="N170" i="96"/>
  <c r="N171" i="96"/>
  <c r="N172" i="96"/>
  <c r="N173" i="96"/>
  <c r="N174" i="96"/>
  <c r="N175" i="96"/>
  <c r="N176" i="96"/>
  <c r="N177" i="96"/>
  <c r="N178" i="96"/>
  <c r="N179" i="96"/>
  <c r="N180" i="96"/>
  <c r="N181" i="96"/>
  <c r="N182" i="96"/>
  <c r="N183" i="96"/>
  <c r="N184" i="96"/>
  <c r="N185" i="96"/>
  <c r="N186" i="96"/>
  <c r="N187" i="96"/>
  <c r="N188" i="96"/>
  <c r="N189" i="96"/>
  <c r="N190" i="96"/>
  <c r="N191" i="96"/>
  <c r="N192" i="96"/>
  <c r="N193" i="96"/>
  <c r="N194" i="96"/>
  <c r="N195" i="96"/>
  <c r="N196" i="96"/>
  <c r="N197" i="96"/>
  <c r="N198" i="96"/>
  <c r="N199" i="96"/>
  <c r="N200" i="96"/>
  <c r="N201" i="96"/>
  <c r="N202" i="96"/>
  <c r="N203" i="96"/>
  <c r="N204" i="96"/>
  <c r="N205" i="96"/>
  <c r="N206" i="96"/>
  <c r="N207" i="96"/>
  <c r="N208" i="96"/>
  <c r="N209" i="96"/>
  <c r="N210" i="96"/>
  <c r="N211" i="96"/>
  <c r="N212" i="96"/>
  <c r="N213" i="96"/>
  <c r="N214" i="96"/>
  <c r="N215" i="96"/>
  <c r="N216" i="96"/>
  <c r="N217" i="96"/>
  <c r="N218" i="96"/>
  <c r="N219" i="96"/>
  <c r="N220" i="96"/>
  <c r="N221" i="96"/>
  <c r="N222" i="96"/>
  <c r="N223" i="96"/>
  <c r="N224" i="96"/>
  <c r="N225" i="96"/>
  <c r="N226" i="96"/>
  <c r="N227" i="96"/>
  <c r="N228" i="96"/>
  <c r="N229" i="96"/>
  <c r="N230" i="96"/>
  <c r="N231" i="96"/>
  <c r="N232" i="96"/>
  <c r="N233" i="96"/>
  <c r="N234" i="96"/>
  <c r="N235" i="96"/>
  <c r="N236" i="96"/>
  <c r="N237" i="96"/>
  <c r="N238" i="96"/>
  <c r="N239" i="96"/>
  <c r="N240" i="96"/>
  <c r="N241" i="96"/>
  <c r="N242" i="96"/>
  <c r="N243" i="96"/>
  <c r="N244" i="96"/>
  <c r="N245" i="96"/>
  <c r="N246" i="96"/>
  <c r="N247" i="96"/>
  <c r="N248" i="96"/>
  <c r="N249" i="96"/>
  <c r="N250" i="96"/>
  <c r="N251" i="96"/>
  <c r="N252" i="96"/>
  <c r="N253" i="96"/>
  <c r="N254" i="96"/>
  <c r="N255" i="96"/>
  <c r="N256" i="96"/>
  <c r="N257" i="96"/>
  <c r="N258" i="96"/>
  <c r="N259" i="96"/>
  <c r="N260" i="96"/>
  <c r="N261" i="96"/>
  <c r="N262" i="96"/>
  <c r="N263" i="96"/>
  <c r="N264" i="96"/>
  <c r="N265" i="96"/>
  <c r="N266" i="96"/>
  <c r="N267" i="96"/>
  <c r="N268" i="96"/>
  <c r="N269" i="96"/>
  <c r="N270" i="96"/>
  <c r="N271" i="96"/>
  <c r="N272" i="96"/>
  <c r="N273" i="96"/>
  <c r="N274" i="96"/>
  <c r="N275" i="96"/>
  <c r="N276" i="96"/>
  <c r="N277" i="96"/>
  <c r="N278" i="96"/>
  <c r="N279" i="96"/>
  <c r="N280" i="96"/>
  <c r="N281" i="96"/>
  <c r="N282" i="96"/>
  <c r="N283" i="96"/>
  <c r="N284" i="96"/>
  <c r="N285" i="96"/>
  <c r="N286" i="96"/>
  <c r="N287" i="96"/>
  <c r="N288" i="96"/>
  <c r="N289" i="96"/>
  <c r="N290" i="96"/>
  <c r="N291" i="96"/>
  <c r="N292" i="96"/>
  <c r="N293" i="96"/>
  <c r="N294" i="96"/>
  <c r="N295" i="96"/>
  <c r="N296" i="96"/>
  <c r="N297" i="96"/>
  <c r="N298" i="96"/>
  <c r="N299" i="96"/>
  <c r="N300" i="96"/>
  <c r="N301" i="96"/>
  <c r="N302" i="96"/>
  <c r="N303" i="96"/>
  <c r="N304" i="96"/>
  <c r="N305" i="96"/>
  <c r="N306" i="96"/>
  <c r="N307" i="96"/>
  <c r="N308" i="96"/>
  <c r="N309" i="96"/>
  <c r="N310" i="96"/>
  <c r="N311" i="96"/>
  <c r="N312" i="96"/>
  <c r="N313" i="96"/>
  <c r="N314" i="96"/>
  <c r="N315" i="96"/>
  <c r="N316" i="96"/>
  <c r="N317" i="96"/>
  <c r="N318" i="96"/>
  <c r="N319" i="96"/>
  <c r="N320" i="96"/>
  <c r="N321" i="96"/>
  <c r="N322" i="96"/>
  <c r="N323" i="96"/>
  <c r="N324" i="96"/>
  <c r="N325" i="96"/>
  <c r="N326" i="96"/>
  <c r="N327" i="96"/>
  <c r="N328" i="96"/>
  <c r="N329" i="96"/>
  <c r="N330" i="96"/>
  <c r="N331" i="96"/>
  <c r="N332" i="96"/>
  <c r="N333" i="96"/>
  <c r="N334" i="96"/>
  <c r="N335" i="96"/>
  <c r="N336" i="96"/>
  <c r="N337" i="96"/>
  <c r="N338" i="96"/>
  <c r="N339" i="96"/>
  <c r="N340" i="96"/>
  <c r="N341" i="96"/>
  <c r="N342" i="96"/>
  <c r="N343" i="96"/>
  <c r="N344" i="96"/>
  <c r="N345" i="96"/>
  <c r="N346" i="96"/>
  <c r="N347" i="96"/>
  <c r="N348" i="96"/>
  <c r="N349" i="96"/>
  <c r="N350" i="96"/>
  <c r="N351" i="96"/>
  <c r="N352" i="96"/>
  <c r="N353" i="96"/>
  <c r="N354" i="96"/>
  <c r="N355" i="96"/>
  <c r="N356" i="96"/>
  <c r="N357" i="96"/>
  <c r="N358" i="96"/>
  <c r="N359" i="96"/>
  <c r="N360" i="96"/>
  <c r="N361" i="96"/>
  <c r="N30" i="96"/>
  <c r="C29" i="97" l="1"/>
  <c r="C30" i="97"/>
  <c r="E13" i="93"/>
  <c r="C13" i="93"/>
  <c r="C8" i="60" l="1"/>
  <c r="T10" i="47"/>
  <c r="P10" i="47"/>
  <c r="L11" i="47"/>
  <c r="B9" i="47"/>
  <c r="M9" i="47" s="1"/>
  <c r="T11" i="47" l="1"/>
  <c r="T12" i="47"/>
  <c r="T13" i="47"/>
  <c r="T14" i="47"/>
  <c r="T15" i="47"/>
  <c r="T16" i="47"/>
  <c r="T17" i="47"/>
  <c r="T18" i="47"/>
  <c r="T19" i="47"/>
  <c r="T20" i="47"/>
  <c r="T21" i="47"/>
  <c r="T22" i="47"/>
  <c r="T23" i="47"/>
  <c r="T24" i="47"/>
  <c r="T25" i="47"/>
  <c r="T26" i="47"/>
  <c r="T27" i="47"/>
  <c r="T28" i="47"/>
  <c r="T9" i="47"/>
  <c r="T30" i="47" l="1"/>
  <c r="D171" i="62"/>
  <c r="D170" i="62"/>
  <c r="D63" i="106"/>
  <c r="C63" i="106"/>
  <c r="O31" i="96"/>
  <c r="O32" i="96"/>
  <c r="O33" i="96"/>
  <c r="O34" i="96"/>
  <c r="O35" i="96"/>
  <c r="O36" i="96"/>
  <c r="O37" i="96"/>
  <c r="O38" i="96"/>
  <c r="O39" i="96"/>
  <c r="O40" i="96"/>
  <c r="O41" i="96"/>
  <c r="O42" i="96"/>
  <c r="O43" i="96"/>
  <c r="O44" i="96"/>
  <c r="O45" i="96"/>
  <c r="O46" i="96"/>
  <c r="O47" i="96"/>
  <c r="O48" i="96"/>
  <c r="O49" i="96"/>
  <c r="O50" i="96"/>
  <c r="O51" i="96"/>
  <c r="O52" i="96"/>
  <c r="O53" i="96"/>
  <c r="O54" i="96"/>
  <c r="O55" i="96"/>
  <c r="O56" i="96"/>
  <c r="O57" i="96"/>
  <c r="O58" i="96"/>
  <c r="O59" i="96"/>
  <c r="O60" i="96"/>
  <c r="O61" i="96"/>
  <c r="O62" i="96"/>
  <c r="O63" i="96"/>
  <c r="O64" i="96"/>
  <c r="O65" i="96"/>
  <c r="O66" i="96"/>
  <c r="O67" i="96"/>
  <c r="O68" i="96"/>
  <c r="O69" i="96"/>
  <c r="O70" i="96"/>
  <c r="O71" i="96"/>
  <c r="O72" i="96"/>
  <c r="O73" i="96"/>
  <c r="O74" i="96"/>
  <c r="O75" i="96"/>
  <c r="O76" i="96"/>
  <c r="O77" i="96"/>
  <c r="O78" i="96"/>
  <c r="O79" i="96"/>
  <c r="O80" i="96"/>
  <c r="O81" i="96"/>
  <c r="O82" i="96"/>
  <c r="O83" i="96"/>
  <c r="O84" i="96"/>
  <c r="O85" i="96"/>
  <c r="O86" i="96"/>
  <c r="O87" i="96"/>
  <c r="O88" i="96"/>
  <c r="O89" i="96"/>
  <c r="O90" i="96"/>
  <c r="O91" i="96"/>
  <c r="O92" i="96"/>
  <c r="O93" i="96"/>
  <c r="O94" i="96"/>
  <c r="O95" i="96"/>
  <c r="O96" i="96"/>
  <c r="O97" i="96"/>
  <c r="O98" i="96"/>
  <c r="O99" i="96"/>
  <c r="O100" i="96"/>
  <c r="O101" i="96"/>
  <c r="O102" i="96"/>
  <c r="O103" i="96"/>
  <c r="O104" i="96"/>
  <c r="O105" i="96"/>
  <c r="O106" i="96"/>
  <c r="O107" i="96"/>
  <c r="O108" i="96"/>
  <c r="O109" i="96"/>
  <c r="O110" i="96"/>
  <c r="O111" i="96"/>
  <c r="O112" i="96"/>
  <c r="O113" i="96"/>
  <c r="O114" i="96"/>
  <c r="O115" i="96"/>
  <c r="O116" i="96"/>
  <c r="O117" i="96"/>
  <c r="O118" i="96"/>
  <c r="O119" i="96"/>
  <c r="O120" i="96"/>
  <c r="O121" i="96"/>
  <c r="O122" i="96"/>
  <c r="O123" i="96"/>
  <c r="O124" i="96"/>
  <c r="O125" i="96"/>
  <c r="O126" i="96"/>
  <c r="O127" i="96"/>
  <c r="O128" i="96"/>
  <c r="O129" i="96"/>
  <c r="O130" i="96"/>
  <c r="O131" i="96"/>
  <c r="O132" i="96"/>
  <c r="O133" i="96"/>
  <c r="O134" i="96"/>
  <c r="O135" i="96"/>
  <c r="O136" i="96"/>
  <c r="O137" i="96"/>
  <c r="O138" i="96"/>
  <c r="O139" i="96"/>
  <c r="O140" i="96"/>
  <c r="O141" i="96"/>
  <c r="O142" i="96"/>
  <c r="O143" i="96"/>
  <c r="O144" i="96"/>
  <c r="O145" i="96"/>
  <c r="O146" i="96"/>
  <c r="O147" i="96"/>
  <c r="O148" i="96"/>
  <c r="O149" i="96"/>
  <c r="O150" i="96"/>
  <c r="O151" i="96"/>
  <c r="O152" i="96"/>
  <c r="O153" i="96"/>
  <c r="O154" i="96"/>
  <c r="O155" i="96"/>
  <c r="O156" i="96"/>
  <c r="O157" i="96"/>
  <c r="O158" i="96"/>
  <c r="O159" i="96"/>
  <c r="O160" i="96"/>
  <c r="O161" i="96"/>
  <c r="O162" i="96"/>
  <c r="O163" i="96"/>
  <c r="O164" i="96"/>
  <c r="O165" i="96"/>
  <c r="O166" i="96"/>
  <c r="O167" i="96"/>
  <c r="O168" i="96"/>
  <c r="O169" i="96"/>
  <c r="O170" i="96"/>
  <c r="O171" i="96"/>
  <c r="O172" i="96"/>
  <c r="O173" i="96"/>
  <c r="O174" i="96"/>
  <c r="O175" i="96"/>
  <c r="O176" i="96"/>
  <c r="O177" i="96"/>
  <c r="O178" i="96"/>
  <c r="O179" i="96"/>
  <c r="O180" i="96"/>
  <c r="O181" i="96"/>
  <c r="O182" i="96"/>
  <c r="O183" i="96"/>
  <c r="O184" i="96"/>
  <c r="O185" i="96"/>
  <c r="O186" i="96"/>
  <c r="O187" i="96"/>
  <c r="O188" i="96"/>
  <c r="O189" i="96"/>
  <c r="O190" i="96"/>
  <c r="O191" i="96"/>
  <c r="O192" i="96"/>
  <c r="O193" i="96"/>
  <c r="O194" i="96"/>
  <c r="O195" i="96"/>
  <c r="O196" i="96"/>
  <c r="O197" i="96"/>
  <c r="O198" i="96"/>
  <c r="O199" i="96"/>
  <c r="O200" i="96"/>
  <c r="O201" i="96"/>
  <c r="O202" i="96"/>
  <c r="O203" i="96"/>
  <c r="O204" i="96"/>
  <c r="O205" i="96"/>
  <c r="O206" i="96"/>
  <c r="O207" i="96"/>
  <c r="O208" i="96"/>
  <c r="O209" i="96"/>
  <c r="O210" i="96"/>
  <c r="O211" i="96"/>
  <c r="O212" i="96"/>
  <c r="O213" i="96"/>
  <c r="O214" i="96"/>
  <c r="O215" i="96"/>
  <c r="O216" i="96"/>
  <c r="O217" i="96"/>
  <c r="O218" i="96"/>
  <c r="O219" i="96"/>
  <c r="O220" i="96"/>
  <c r="O221" i="96"/>
  <c r="O222" i="96"/>
  <c r="O223" i="96"/>
  <c r="O224" i="96"/>
  <c r="O225" i="96"/>
  <c r="O226" i="96"/>
  <c r="O227" i="96"/>
  <c r="O228" i="96"/>
  <c r="O229" i="96"/>
  <c r="O230" i="96"/>
  <c r="O231" i="96"/>
  <c r="O232" i="96"/>
  <c r="O233" i="96"/>
  <c r="O234" i="96"/>
  <c r="O235" i="96"/>
  <c r="O236" i="96"/>
  <c r="O237" i="96"/>
  <c r="O238" i="96"/>
  <c r="O239" i="96"/>
  <c r="O240" i="96"/>
  <c r="O241" i="96"/>
  <c r="O242" i="96"/>
  <c r="O243" i="96"/>
  <c r="O244" i="96"/>
  <c r="O245" i="96"/>
  <c r="O246" i="96"/>
  <c r="O247" i="96"/>
  <c r="O248" i="96"/>
  <c r="O249" i="96"/>
  <c r="O250" i="96"/>
  <c r="O251" i="96"/>
  <c r="O252" i="96"/>
  <c r="O253" i="96"/>
  <c r="O254" i="96"/>
  <c r="O255" i="96"/>
  <c r="O256" i="96"/>
  <c r="O257" i="96"/>
  <c r="O258" i="96"/>
  <c r="O259" i="96"/>
  <c r="O260" i="96"/>
  <c r="O261" i="96"/>
  <c r="O262" i="96"/>
  <c r="O263" i="96"/>
  <c r="O264" i="96"/>
  <c r="O265" i="96"/>
  <c r="O266" i="96"/>
  <c r="O267" i="96"/>
  <c r="O268" i="96"/>
  <c r="O269" i="96"/>
  <c r="O270" i="96"/>
  <c r="O271" i="96"/>
  <c r="O272" i="96"/>
  <c r="O273" i="96"/>
  <c r="O274" i="96"/>
  <c r="O275" i="96"/>
  <c r="O276" i="96"/>
  <c r="O277" i="96"/>
  <c r="O278" i="96"/>
  <c r="O279" i="96"/>
  <c r="O280" i="96"/>
  <c r="O281" i="96"/>
  <c r="O282" i="96"/>
  <c r="O283" i="96"/>
  <c r="O284" i="96"/>
  <c r="O285" i="96"/>
  <c r="O286" i="96"/>
  <c r="O287" i="96"/>
  <c r="O288" i="96"/>
  <c r="O289" i="96"/>
  <c r="O290" i="96"/>
  <c r="O291" i="96"/>
  <c r="O292" i="96"/>
  <c r="O293" i="96"/>
  <c r="O294" i="96"/>
  <c r="O295" i="96"/>
  <c r="O296" i="96"/>
  <c r="O297" i="96"/>
  <c r="O298" i="96"/>
  <c r="O299" i="96"/>
  <c r="O300" i="96"/>
  <c r="O301" i="96"/>
  <c r="O302" i="96"/>
  <c r="O303" i="96"/>
  <c r="O304" i="96"/>
  <c r="O305" i="96"/>
  <c r="O306" i="96"/>
  <c r="O307" i="96"/>
  <c r="O308" i="96"/>
  <c r="O309" i="96"/>
  <c r="O310" i="96"/>
  <c r="O311" i="96"/>
  <c r="O312" i="96"/>
  <c r="O313" i="96"/>
  <c r="O314" i="96"/>
  <c r="O315" i="96"/>
  <c r="O316" i="96"/>
  <c r="O317" i="96"/>
  <c r="O318" i="96"/>
  <c r="O319" i="96"/>
  <c r="O320" i="96"/>
  <c r="O321" i="96"/>
  <c r="O322" i="96"/>
  <c r="O323" i="96"/>
  <c r="O324" i="96"/>
  <c r="O325" i="96"/>
  <c r="O326" i="96"/>
  <c r="O327" i="96"/>
  <c r="O328" i="96"/>
  <c r="O329" i="96"/>
  <c r="O330" i="96"/>
  <c r="O331" i="96"/>
  <c r="O332" i="96"/>
  <c r="O333" i="96"/>
  <c r="O334" i="96"/>
  <c r="O335" i="96"/>
  <c r="O336" i="96"/>
  <c r="O337" i="96"/>
  <c r="O338" i="96"/>
  <c r="O339" i="96"/>
  <c r="O340" i="96"/>
  <c r="O341" i="96"/>
  <c r="O342" i="96"/>
  <c r="O343" i="96"/>
  <c r="O344" i="96"/>
  <c r="O345" i="96"/>
  <c r="O346" i="96"/>
  <c r="O347" i="96"/>
  <c r="O348" i="96"/>
  <c r="O349" i="96"/>
  <c r="O350" i="96"/>
  <c r="O351" i="96"/>
  <c r="O352" i="96"/>
  <c r="O353" i="96"/>
  <c r="O354" i="96"/>
  <c r="O355" i="96"/>
  <c r="O356" i="96"/>
  <c r="O357" i="96"/>
  <c r="O358" i="96"/>
  <c r="O359" i="96"/>
  <c r="O360" i="96"/>
  <c r="O361" i="96"/>
  <c r="Q31" i="96"/>
  <c r="Q32" i="96"/>
  <c r="Q33" i="96"/>
  <c r="Q34" i="96"/>
  <c r="Q35" i="96"/>
  <c r="Q36" i="96"/>
  <c r="Q37" i="96"/>
  <c r="Q38" i="96"/>
  <c r="Q39" i="96"/>
  <c r="Q40" i="96"/>
  <c r="Q41" i="96"/>
  <c r="Q42" i="96"/>
  <c r="Q43" i="96"/>
  <c r="Q44" i="96"/>
  <c r="Q45" i="96"/>
  <c r="Q46" i="96"/>
  <c r="Q47" i="96"/>
  <c r="Q48" i="96"/>
  <c r="Q49" i="96"/>
  <c r="Q50" i="96"/>
  <c r="Q51" i="96"/>
  <c r="Q52" i="96"/>
  <c r="Q53" i="96"/>
  <c r="Q54" i="96"/>
  <c r="Q55" i="96"/>
  <c r="Q56" i="96"/>
  <c r="Q57" i="96"/>
  <c r="Q58" i="96"/>
  <c r="Q59" i="96"/>
  <c r="Q60" i="96"/>
  <c r="Q61" i="96"/>
  <c r="Q62" i="96"/>
  <c r="Q63" i="96"/>
  <c r="Q64" i="96"/>
  <c r="Q65" i="96"/>
  <c r="Q66" i="96"/>
  <c r="Q67" i="96"/>
  <c r="Q68" i="96"/>
  <c r="Q69" i="96"/>
  <c r="Q70" i="96"/>
  <c r="Q71" i="96"/>
  <c r="Q72" i="96"/>
  <c r="Q73" i="96"/>
  <c r="Q74" i="96"/>
  <c r="Q75" i="96"/>
  <c r="Q76" i="96"/>
  <c r="Q77" i="96"/>
  <c r="Q78" i="96"/>
  <c r="Q79" i="96"/>
  <c r="Q80" i="96"/>
  <c r="Q81" i="96"/>
  <c r="Q82" i="96"/>
  <c r="Q83" i="96"/>
  <c r="Q84" i="96"/>
  <c r="Q85" i="96"/>
  <c r="Q86" i="96"/>
  <c r="Q87" i="96"/>
  <c r="Q88" i="96"/>
  <c r="Q89" i="96"/>
  <c r="Q90" i="96"/>
  <c r="Q91" i="96"/>
  <c r="Q92" i="96"/>
  <c r="Q93" i="96"/>
  <c r="Q94" i="96"/>
  <c r="Q95" i="96"/>
  <c r="Q96" i="96"/>
  <c r="Q97" i="96"/>
  <c r="Q98" i="96"/>
  <c r="Q99" i="96"/>
  <c r="Q100" i="96"/>
  <c r="Q101" i="96"/>
  <c r="Q102" i="96"/>
  <c r="Q103" i="96"/>
  <c r="Q104" i="96"/>
  <c r="Q105" i="96"/>
  <c r="Q106" i="96"/>
  <c r="Q107" i="96"/>
  <c r="Q108" i="96"/>
  <c r="Q109" i="96"/>
  <c r="Q110" i="96"/>
  <c r="Q111" i="96"/>
  <c r="Q112" i="96"/>
  <c r="Q113" i="96"/>
  <c r="Q114" i="96"/>
  <c r="Q115" i="96"/>
  <c r="Q116" i="96"/>
  <c r="Q117" i="96"/>
  <c r="Q118" i="96"/>
  <c r="Q119" i="96"/>
  <c r="Q120" i="96"/>
  <c r="Q121" i="96"/>
  <c r="Q122" i="96"/>
  <c r="Q123" i="96"/>
  <c r="Q124" i="96"/>
  <c r="Q125" i="96"/>
  <c r="Q126" i="96"/>
  <c r="Q127" i="96"/>
  <c r="Q128" i="96"/>
  <c r="Q129" i="96"/>
  <c r="Q130" i="96"/>
  <c r="Q131" i="96"/>
  <c r="Q132" i="96"/>
  <c r="Q133" i="96"/>
  <c r="Q134" i="96"/>
  <c r="Q135" i="96"/>
  <c r="Q136" i="96"/>
  <c r="Q137" i="96"/>
  <c r="Q138" i="96"/>
  <c r="Q139" i="96"/>
  <c r="Q140" i="96"/>
  <c r="Q141" i="96"/>
  <c r="Q142" i="96"/>
  <c r="Q143" i="96"/>
  <c r="Q144" i="96"/>
  <c r="Q145" i="96"/>
  <c r="Q146" i="96"/>
  <c r="Q147" i="96"/>
  <c r="Q148" i="96"/>
  <c r="Q149" i="96"/>
  <c r="Q150" i="96"/>
  <c r="Q151" i="96"/>
  <c r="Q152" i="96"/>
  <c r="Q153" i="96"/>
  <c r="Q154" i="96"/>
  <c r="Q155" i="96"/>
  <c r="Q156" i="96"/>
  <c r="Q157" i="96"/>
  <c r="Q158" i="96"/>
  <c r="Q159" i="96"/>
  <c r="Q160" i="96"/>
  <c r="Q161" i="96"/>
  <c r="Q162" i="96"/>
  <c r="Q163" i="96"/>
  <c r="Q164" i="96"/>
  <c r="Q165" i="96"/>
  <c r="Q166" i="96"/>
  <c r="Q167" i="96"/>
  <c r="Q168" i="96"/>
  <c r="Q169" i="96"/>
  <c r="Q170" i="96"/>
  <c r="Q171" i="96"/>
  <c r="Q172" i="96"/>
  <c r="Q173" i="96"/>
  <c r="Q174" i="96"/>
  <c r="Q175" i="96"/>
  <c r="Q176" i="96"/>
  <c r="Q177" i="96"/>
  <c r="Q178" i="96"/>
  <c r="Q179" i="96"/>
  <c r="Q180" i="96"/>
  <c r="Q181" i="96"/>
  <c r="Q182" i="96"/>
  <c r="Q183" i="96"/>
  <c r="Q184" i="96"/>
  <c r="Q185" i="96"/>
  <c r="Q186" i="96"/>
  <c r="Q187" i="96"/>
  <c r="Q188" i="96"/>
  <c r="Q189" i="96"/>
  <c r="Q190" i="96"/>
  <c r="Q191" i="96"/>
  <c r="Q192" i="96"/>
  <c r="Q193" i="96"/>
  <c r="Q194" i="96"/>
  <c r="Q195" i="96"/>
  <c r="Q196" i="96"/>
  <c r="Q197" i="96"/>
  <c r="Q198" i="96"/>
  <c r="Q199" i="96"/>
  <c r="Q200" i="96"/>
  <c r="Q201" i="96"/>
  <c r="Q202" i="96"/>
  <c r="Q203" i="96"/>
  <c r="Q204" i="96"/>
  <c r="Q205" i="96"/>
  <c r="Q206" i="96"/>
  <c r="Q207" i="96"/>
  <c r="Q208" i="96"/>
  <c r="Q209" i="96"/>
  <c r="Q210" i="96"/>
  <c r="Q211" i="96"/>
  <c r="Q212" i="96"/>
  <c r="Q213" i="96"/>
  <c r="Q214" i="96"/>
  <c r="Q215" i="96"/>
  <c r="Q216" i="96"/>
  <c r="Q217" i="96"/>
  <c r="Q218" i="96"/>
  <c r="Q219" i="96"/>
  <c r="Q220" i="96"/>
  <c r="Q221" i="96"/>
  <c r="Q222" i="96"/>
  <c r="Q223" i="96"/>
  <c r="Q224" i="96"/>
  <c r="Q225" i="96"/>
  <c r="Q226" i="96"/>
  <c r="Q227" i="96"/>
  <c r="Q228" i="96"/>
  <c r="Q229" i="96"/>
  <c r="Q230" i="96"/>
  <c r="Q231" i="96"/>
  <c r="Q232" i="96"/>
  <c r="Q233" i="96"/>
  <c r="Q234" i="96"/>
  <c r="Q235" i="96"/>
  <c r="Q236" i="96"/>
  <c r="Q237" i="96"/>
  <c r="Q238" i="96"/>
  <c r="Q239" i="96"/>
  <c r="Q240" i="96"/>
  <c r="Q241" i="96"/>
  <c r="Q242" i="96"/>
  <c r="Q243" i="96"/>
  <c r="Q244" i="96"/>
  <c r="Q245" i="96"/>
  <c r="Q246" i="96"/>
  <c r="Q247" i="96"/>
  <c r="Q248" i="96"/>
  <c r="Q249" i="96"/>
  <c r="Q250" i="96"/>
  <c r="Q251" i="96"/>
  <c r="Q252" i="96"/>
  <c r="Q253" i="96"/>
  <c r="Q254" i="96"/>
  <c r="Q255" i="96"/>
  <c r="Q256" i="96"/>
  <c r="Q257" i="96"/>
  <c r="Q258" i="96"/>
  <c r="Q259" i="96"/>
  <c r="Q260" i="96"/>
  <c r="Q261" i="96"/>
  <c r="Q262" i="96"/>
  <c r="Q263" i="96"/>
  <c r="Q264" i="96"/>
  <c r="Q265" i="96"/>
  <c r="Q266" i="96"/>
  <c r="Q267" i="96"/>
  <c r="Q268" i="96"/>
  <c r="Q269" i="96"/>
  <c r="Q270" i="96"/>
  <c r="Q271" i="96"/>
  <c r="Q272" i="96"/>
  <c r="Q273" i="96"/>
  <c r="Q274" i="96"/>
  <c r="Q275" i="96"/>
  <c r="Q276" i="96"/>
  <c r="Q277" i="96"/>
  <c r="Q278" i="96"/>
  <c r="Q279" i="96"/>
  <c r="Q280" i="96"/>
  <c r="Q281" i="96"/>
  <c r="Q282" i="96"/>
  <c r="Q283" i="96"/>
  <c r="Q284" i="96"/>
  <c r="Q285" i="96"/>
  <c r="Q286" i="96"/>
  <c r="Q287" i="96"/>
  <c r="Q288" i="96"/>
  <c r="Q289" i="96"/>
  <c r="Q290" i="96"/>
  <c r="Q291" i="96"/>
  <c r="Q292" i="96"/>
  <c r="Q293" i="96"/>
  <c r="Q294" i="96"/>
  <c r="Q295" i="96"/>
  <c r="Q296" i="96"/>
  <c r="Q297" i="96"/>
  <c r="Q298" i="96"/>
  <c r="Q299" i="96"/>
  <c r="Q300" i="96"/>
  <c r="Q301" i="96"/>
  <c r="Q302" i="96"/>
  <c r="Q303" i="96"/>
  <c r="Q304" i="96"/>
  <c r="Q305" i="96"/>
  <c r="Q306" i="96"/>
  <c r="Q307" i="96"/>
  <c r="Q308" i="96"/>
  <c r="Q309" i="96"/>
  <c r="Q310" i="96"/>
  <c r="Q311" i="96"/>
  <c r="Q312" i="96"/>
  <c r="Q313" i="96"/>
  <c r="Q314" i="96"/>
  <c r="Q315" i="96"/>
  <c r="Q316" i="96"/>
  <c r="Q317" i="96"/>
  <c r="Q318" i="96"/>
  <c r="Q319" i="96"/>
  <c r="Q320" i="96"/>
  <c r="Q321" i="96"/>
  <c r="Q322" i="96"/>
  <c r="Q323" i="96"/>
  <c r="Q324" i="96"/>
  <c r="Q325" i="96"/>
  <c r="Q326" i="96"/>
  <c r="Q327" i="96"/>
  <c r="Q328" i="96"/>
  <c r="Q329" i="96"/>
  <c r="Q330" i="96"/>
  <c r="Q331" i="96"/>
  <c r="Q332" i="96"/>
  <c r="Q333" i="96"/>
  <c r="Q334" i="96"/>
  <c r="Q335" i="96"/>
  <c r="Q336" i="96"/>
  <c r="Q337" i="96"/>
  <c r="Q338" i="96"/>
  <c r="Q339" i="96"/>
  <c r="Q340" i="96"/>
  <c r="Q341" i="96"/>
  <c r="Q342" i="96"/>
  <c r="Q343" i="96"/>
  <c r="Q344" i="96"/>
  <c r="Q345" i="96"/>
  <c r="Q346" i="96"/>
  <c r="Q347" i="96"/>
  <c r="Q348" i="96"/>
  <c r="Q349" i="96"/>
  <c r="Q350" i="96"/>
  <c r="Q351" i="96"/>
  <c r="Q352" i="96"/>
  <c r="Q353" i="96"/>
  <c r="Q354" i="96"/>
  <c r="Q355" i="96"/>
  <c r="Q356" i="96"/>
  <c r="Q357" i="96"/>
  <c r="Q358" i="96"/>
  <c r="Q359" i="96"/>
  <c r="Q360" i="96"/>
  <c r="L31" i="96"/>
  <c r="L32" i="96"/>
  <c r="L33" i="96"/>
  <c r="L34" i="96"/>
  <c r="L35" i="96"/>
  <c r="L36" i="96"/>
  <c r="L37" i="96"/>
  <c r="L38" i="96"/>
  <c r="L39" i="96"/>
  <c r="L40" i="96"/>
  <c r="L41" i="96"/>
  <c r="L42" i="96"/>
  <c r="L43" i="96"/>
  <c r="L44" i="96"/>
  <c r="L45" i="96"/>
  <c r="L46" i="96"/>
  <c r="L47" i="96"/>
  <c r="L48" i="96"/>
  <c r="L49" i="96"/>
  <c r="L50" i="96"/>
  <c r="L51" i="96"/>
  <c r="L52" i="96"/>
  <c r="L53" i="96"/>
  <c r="L54" i="96"/>
  <c r="L55" i="96"/>
  <c r="L56" i="96"/>
  <c r="L57" i="96"/>
  <c r="L58" i="96"/>
  <c r="L59" i="96"/>
  <c r="L60" i="96"/>
  <c r="L61" i="96"/>
  <c r="L62" i="96"/>
  <c r="L63" i="96"/>
  <c r="L64" i="96"/>
  <c r="L65" i="96"/>
  <c r="L66" i="96"/>
  <c r="L67" i="96"/>
  <c r="L68" i="96"/>
  <c r="L69" i="96"/>
  <c r="L70" i="96"/>
  <c r="L71" i="96"/>
  <c r="L72" i="96"/>
  <c r="L73" i="96"/>
  <c r="L74" i="96"/>
  <c r="L75" i="96"/>
  <c r="L76" i="96"/>
  <c r="L77" i="96"/>
  <c r="L78" i="96"/>
  <c r="L79" i="96"/>
  <c r="L80" i="96"/>
  <c r="L81" i="96"/>
  <c r="L82" i="96"/>
  <c r="L83" i="96"/>
  <c r="L84" i="96"/>
  <c r="L85" i="96"/>
  <c r="L86" i="96"/>
  <c r="L87" i="96"/>
  <c r="L88" i="96"/>
  <c r="L89" i="96"/>
  <c r="L90" i="96"/>
  <c r="L91" i="96"/>
  <c r="L92" i="96"/>
  <c r="L93" i="96"/>
  <c r="L94" i="96"/>
  <c r="L95" i="96"/>
  <c r="L96" i="96"/>
  <c r="L97" i="96"/>
  <c r="L98" i="96"/>
  <c r="L99" i="96"/>
  <c r="L100" i="96"/>
  <c r="L101" i="96"/>
  <c r="L102" i="96"/>
  <c r="L103" i="96"/>
  <c r="L104" i="96"/>
  <c r="L105" i="96"/>
  <c r="L106" i="96"/>
  <c r="L107" i="96"/>
  <c r="L108" i="96"/>
  <c r="L109" i="96"/>
  <c r="L110" i="96"/>
  <c r="L111" i="96"/>
  <c r="L112" i="96"/>
  <c r="L113" i="96"/>
  <c r="L114" i="96"/>
  <c r="L115" i="96"/>
  <c r="L116" i="96"/>
  <c r="L117" i="96"/>
  <c r="L118" i="96"/>
  <c r="L119" i="96"/>
  <c r="L120" i="96"/>
  <c r="L121" i="96"/>
  <c r="L122" i="96"/>
  <c r="L123" i="96"/>
  <c r="L124" i="96"/>
  <c r="L125" i="96"/>
  <c r="L126" i="96"/>
  <c r="L127" i="96"/>
  <c r="L128" i="96"/>
  <c r="L129" i="96"/>
  <c r="L130" i="96"/>
  <c r="L131" i="96"/>
  <c r="L132" i="96"/>
  <c r="L133" i="96"/>
  <c r="L134" i="96"/>
  <c r="L135" i="96"/>
  <c r="L136" i="96"/>
  <c r="L137" i="96"/>
  <c r="L138" i="96"/>
  <c r="L139" i="96"/>
  <c r="L140" i="96"/>
  <c r="L141" i="96"/>
  <c r="L142" i="96"/>
  <c r="L143" i="96"/>
  <c r="L144" i="96"/>
  <c r="L145" i="96"/>
  <c r="L146" i="96"/>
  <c r="L147" i="96"/>
  <c r="L148" i="96"/>
  <c r="L149" i="96"/>
  <c r="L150" i="96"/>
  <c r="L151" i="96"/>
  <c r="L152" i="96"/>
  <c r="L153" i="96"/>
  <c r="L154" i="96"/>
  <c r="L155" i="96"/>
  <c r="L156" i="96"/>
  <c r="L157" i="96"/>
  <c r="L158" i="96"/>
  <c r="L159" i="96"/>
  <c r="L160" i="96"/>
  <c r="L161" i="96"/>
  <c r="L162" i="96"/>
  <c r="L163" i="96"/>
  <c r="L164" i="96"/>
  <c r="L165" i="96"/>
  <c r="L166" i="96"/>
  <c r="L167" i="96"/>
  <c r="L168" i="96"/>
  <c r="L169" i="96"/>
  <c r="L170" i="96"/>
  <c r="L171" i="96"/>
  <c r="L172" i="96"/>
  <c r="L173" i="96"/>
  <c r="L174" i="96"/>
  <c r="L175" i="96"/>
  <c r="L176" i="96"/>
  <c r="L177" i="96"/>
  <c r="L178" i="96"/>
  <c r="L179" i="96"/>
  <c r="L180" i="96"/>
  <c r="L181" i="96"/>
  <c r="L182" i="96"/>
  <c r="L183" i="96"/>
  <c r="L184" i="96"/>
  <c r="L185" i="96"/>
  <c r="L186" i="96"/>
  <c r="L187" i="96"/>
  <c r="L188" i="96"/>
  <c r="L189" i="96"/>
  <c r="L190" i="96"/>
  <c r="L191" i="96"/>
  <c r="L192" i="96"/>
  <c r="L193" i="96"/>
  <c r="L194" i="96"/>
  <c r="L195" i="96"/>
  <c r="L196" i="96"/>
  <c r="L197" i="96"/>
  <c r="L198" i="96"/>
  <c r="L199" i="96"/>
  <c r="L200" i="96"/>
  <c r="L201" i="96"/>
  <c r="L202" i="96"/>
  <c r="L203" i="96"/>
  <c r="L204" i="96"/>
  <c r="L205" i="96"/>
  <c r="L206" i="96"/>
  <c r="L207" i="96"/>
  <c r="L208" i="96"/>
  <c r="L209" i="96"/>
  <c r="L210" i="96"/>
  <c r="L211" i="96"/>
  <c r="L212" i="96"/>
  <c r="L213" i="96"/>
  <c r="L214" i="96"/>
  <c r="L215" i="96"/>
  <c r="L216" i="96"/>
  <c r="L217" i="96"/>
  <c r="L218" i="96"/>
  <c r="L219" i="96"/>
  <c r="L220" i="96"/>
  <c r="L221" i="96"/>
  <c r="L222" i="96"/>
  <c r="L223" i="96"/>
  <c r="L224" i="96"/>
  <c r="L225" i="96"/>
  <c r="L226" i="96"/>
  <c r="L227" i="96"/>
  <c r="L228" i="96"/>
  <c r="L229" i="96"/>
  <c r="L230" i="96"/>
  <c r="L231" i="96"/>
  <c r="L232" i="96"/>
  <c r="L233" i="96"/>
  <c r="L234" i="96"/>
  <c r="L235" i="96"/>
  <c r="L236" i="96"/>
  <c r="L237" i="96"/>
  <c r="L238" i="96"/>
  <c r="L239" i="96"/>
  <c r="L240" i="96"/>
  <c r="L241" i="96"/>
  <c r="L242" i="96"/>
  <c r="L243" i="96"/>
  <c r="L244" i="96"/>
  <c r="L245" i="96"/>
  <c r="L246" i="96"/>
  <c r="L247" i="96"/>
  <c r="L248" i="96"/>
  <c r="L249" i="96"/>
  <c r="L250" i="96"/>
  <c r="L251" i="96"/>
  <c r="L252" i="96"/>
  <c r="L253" i="96"/>
  <c r="L254" i="96"/>
  <c r="L255" i="96"/>
  <c r="L256" i="96"/>
  <c r="L257" i="96"/>
  <c r="L258" i="96"/>
  <c r="L259" i="96"/>
  <c r="L260" i="96"/>
  <c r="L261" i="96"/>
  <c r="L262" i="96"/>
  <c r="L263" i="96"/>
  <c r="L264" i="96"/>
  <c r="L265" i="96"/>
  <c r="L266" i="96"/>
  <c r="L267" i="96"/>
  <c r="L268" i="96"/>
  <c r="L269" i="96"/>
  <c r="L270" i="96"/>
  <c r="L271" i="96"/>
  <c r="L272" i="96"/>
  <c r="L273" i="96"/>
  <c r="L274" i="96"/>
  <c r="L275" i="96"/>
  <c r="L276" i="96"/>
  <c r="L277" i="96"/>
  <c r="L278" i="96"/>
  <c r="L279" i="96"/>
  <c r="L280" i="96"/>
  <c r="L281" i="96"/>
  <c r="L282" i="96"/>
  <c r="L283" i="96"/>
  <c r="L284" i="96"/>
  <c r="L285" i="96"/>
  <c r="L286" i="96"/>
  <c r="L287" i="96"/>
  <c r="L288" i="96"/>
  <c r="L289" i="96"/>
  <c r="L290" i="96"/>
  <c r="L291" i="96"/>
  <c r="L292" i="96"/>
  <c r="L293" i="96"/>
  <c r="L294" i="96"/>
  <c r="L295" i="96"/>
  <c r="L296" i="96"/>
  <c r="L297" i="96"/>
  <c r="L298" i="96"/>
  <c r="L299" i="96"/>
  <c r="L300" i="96"/>
  <c r="L301" i="96"/>
  <c r="L302" i="96"/>
  <c r="L303" i="96"/>
  <c r="L304" i="96"/>
  <c r="L305" i="96"/>
  <c r="L306" i="96"/>
  <c r="L307" i="96"/>
  <c r="L308" i="96"/>
  <c r="L309" i="96"/>
  <c r="L310" i="96"/>
  <c r="L311" i="96"/>
  <c r="L312" i="96"/>
  <c r="L313" i="96"/>
  <c r="L314" i="96"/>
  <c r="L315" i="96"/>
  <c r="L316" i="96"/>
  <c r="L317" i="96"/>
  <c r="L318" i="96"/>
  <c r="L319" i="96"/>
  <c r="L320" i="96"/>
  <c r="L321" i="96"/>
  <c r="L322" i="96"/>
  <c r="L323" i="96"/>
  <c r="L324" i="96"/>
  <c r="L325" i="96"/>
  <c r="L326" i="96"/>
  <c r="L327" i="96"/>
  <c r="L328" i="96"/>
  <c r="L329" i="96"/>
  <c r="L330" i="96"/>
  <c r="L331" i="96"/>
  <c r="L332" i="96"/>
  <c r="L333" i="96"/>
  <c r="L334" i="96"/>
  <c r="L335" i="96"/>
  <c r="L336" i="96"/>
  <c r="L337" i="96"/>
  <c r="L338" i="96"/>
  <c r="L339" i="96"/>
  <c r="L340" i="96"/>
  <c r="L341" i="96"/>
  <c r="L342" i="96"/>
  <c r="L343" i="96"/>
  <c r="L344" i="96"/>
  <c r="L345" i="96"/>
  <c r="L346" i="96"/>
  <c r="L347" i="96"/>
  <c r="L348" i="96"/>
  <c r="L349" i="96"/>
  <c r="L350" i="96"/>
  <c r="L351" i="96"/>
  <c r="L352" i="96"/>
  <c r="L353" i="96"/>
  <c r="L354" i="96"/>
  <c r="L355" i="96"/>
  <c r="L356" i="96"/>
  <c r="L357" i="96"/>
  <c r="L358" i="96"/>
  <c r="L359" i="96"/>
  <c r="L360" i="96"/>
  <c r="E148" i="62" l="1"/>
  <c r="D148" i="62"/>
  <c r="K17" i="99"/>
  <c r="K18" i="99"/>
  <c r="K19" i="99"/>
  <c r="K20" i="99"/>
  <c r="K21" i="99"/>
  <c r="K22" i="99"/>
  <c r="K23" i="99"/>
  <c r="K24" i="99"/>
  <c r="K25" i="99"/>
  <c r="K26" i="99"/>
  <c r="K27" i="99"/>
  <c r="K28" i="99"/>
  <c r="K29" i="99"/>
  <c r="K30" i="99"/>
  <c r="K31" i="99"/>
  <c r="K32" i="99"/>
  <c r="K33" i="99"/>
  <c r="K34" i="99"/>
  <c r="K35" i="99"/>
  <c r="K36" i="99"/>
  <c r="K37" i="99"/>
  <c r="K38" i="99"/>
  <c r="K39" i="99"/>
  <c r="K40" i="99"/>
  <c r="K41" i="99"/>
  <c r="K42" i="99"/>
  <c r="K43" i="99"/>
  <c r="K44" i="99"/>
  <c r="K16" i="99"/>
  <c r="M19" i="96" l="1"/>
  <c r="R19" i="96"/>
  <c r="S19" i="96"/>
  <c r="E82" i="68" l="1"/>
  <c r="E55" i="68"/>
  <c r="C79" i="68"/>
  <c r="C63" i="68"/>
  <c r="C59" i="68"/>
  <c r="E59" i="68" s="1"/>
  <c r="E48" i="68"/>
  <c r="C48" i="68"/>
  <c r="B12" i="47" l="1"/>
  <c r="N12" i="47" s="1"/>
  <c r="J12" i="47"/>
  <c r="L12" i="47"/>
  <c r="M12" i="47"/>
  <c r="I110" i="48"/>
  <c r="I109" i="48"/>
  <c r="I102" i="48"/>
  <c r="I101" i="48"/>
  <c r="I100" i="48"/>
  <c r="I99" i="48"/>
  <c r="I97" i="48"/>
  <c r="I95" i="48"/>
  <c r="I94" i="48"/>
  <c r="I92" i="48"/>
  <c r="I91" i="48"/>
  <c r="I90" i="48"/>
  <c r="I89" i="48"/>
  <c r="I88" i="48"/>
  <c r="K125" i="48"/>
  <c r="O121" i="48" s="1"/>
  <c r="O119" i="48"/>
  <c r="O120" i="48"/>
  <c r="O122" i="48"/>
  <c r="O123" i="48"/>
  <c r="O124" i="48"/>
  <c r="N119" i="48"/>
  <c r="N120" i="48"/>
  <c r="N121" i="48"/>
  <c r="N122" i="48"/>
  <c r="N123" i="48"/>
  <c r="N124" i="48"/>
  <c r="N118" i="48"/>
  <c r="U12" i="47" l="1"/>
  <c r="P12" i="47"/>
  <c r="O12" i="47"/>
  <c r="O118" i="48"/>
  <c r="Q12" i="47" l="1"/>
  <c r="D174" i="62"/>
  <c r="D173" i="62"/>
  <c r="D172" i="62"/>
  <c r="D169" i="62"/>
  <c r="C8" i="68"/>
  <c r="E8" i="68" s="1"/>
  <c r="C7" i="68"/>
  <c r="E7" i="68" s="1"/>
  <c r="D7" i="68"/>
  <c r="D8" i="68"/>
  <c r="B8" i="68"/>
  <c r="B7" i="68"/>
  <c r="C9" i="42" l="1"/>
  <c r="D67" i="106" l="1"/>
  <c r="D45" i="106"/>
  <c r="E45" i="106"/>
  <c r="F45" i="106"/>
  <c r="G45" i="106"/>
  <c r="C45" i="106"/>
  <c r="D39" i="106"/>
  <c r="C39" i="106"/>
  <c r="R5" i="96" l="1"/>
  <c r="R6" i="96"/>
  <c r="R7" i="96"/>
  <c r="R8" i="96"/>
  <c r="R9" i="96"/>
  <c r="R10" i="96"/>
  <c r="R11" i="96"/>
  <c r="R12" i="96"/>
  <c r="R13" i="96"/>
  <c r="R14" i="96"/>
  <c r="R15" i="96"/>
  <c r="R16" i="96"/>
  <c r="R17" i="96"/>
  <c r="R18" i="96"/>
  <c r="R20" i="96"/>
  <c r="R21" i="96"/>
  <c r="R22" i="96"/>
  <c r="R23" i="96"/>
  <c r="R24" i="96"/>
  <c r="R25" i="96"/>
  <c r="R26" i="96"/>
  <c r="R27" i="96"/>
  <c r="D13" i="93"/>
  <c r="E65" i="62"/>
  <c r="E62" i="62"/>
  <c r="E61" i="62"/>
  <c r="D15" i="106" l="1"/>
  <c r="D21" i="106"/>
  <c r="E15" i="106" s="1"/>
  <c r="C22" i="106"/>
  <c r="N20" i="101" l="1"/>
  <c r="O20" i="101" s="1"/>
  <c r="O17" i="101"/>
  <c r="P17" i="101" s="1"/>
  <c r="N14" i="101"/>
  <c r="O14" i="101" s="1"/>
  <c r="W31" i="96" l="1"/>
  <c r="W32" i="96"/>
  <c r="W33" i="96"/>
  <c r="W34" i="96"/>
  <c r="W35" i="96"/>
  <c r="W36" i="96"/>
  <c r="W37" i="96"/>
  <c r="W38" i="96"/>
  <c r="W39" i="96"/>
  <c r="W40" i="96"/>
  <c r="W41" i="96"/>
  <c r="W42" i="96"/>
  <c r="W43" i="96"/>
  <c r="W44" i="96"/>
  <c r="W45" i="96"/>
  <c r="W46" i="96"/>
  <c r="W47" i="96"/>
  <c r="W48" i="96"/>
  <c r="W49" i="96"/>
  <c r="W50" i="96"/>
  <c r="W51" i="96"/>
  <c r="W52" i="96"/>
  <c r="W53" i="96"/>
  <c r="W54" i="96"/>
  <c r="W55" i="96"/>
  <c r="W56" i="96"/>
  <c r="W57" i="96"/>
  <c r="W58" i="96"/>
  <c r="W59" i="96"/>
  <c r="W60" i="96"/>
  <c r="W61" i="96"/>
  <c r="W62" i="96"/>
  <c r="W63" i="96"/>
  <c r="W64" i="96"/>
  <c r="W65" i="96"/>
  <c r="W66" i="96"/>
  <c r="W67" i="96"/>
  <c r="W68" i="96"/>
  <c r="W69" i="96"/>
  <c r="W70" i="96"/>
  <c r="W71" i="96"/>
  <c r="W72" i="96"/>
  <c r="W73" i="96"/>
  <c r="W74" i="96"/>
  <c r="W75" i="96"/>
  <c r="W76" i="96"/>
  <c r="W77" i="96"/>
  <c r="W78" i="96"/>
  <c r="W79" i="96"/>
  <c r="W80" i="96"/>
  <c r="W81" i="96"/>
  <c r="W82" i="96"/>
  <c r="W83" i="96"/>
  <c r="W84" i="96"/>
  <c r="W85" i="96"/>
  <c r="W86" i="96"/>
  <c r="W87" i="96"/>
  <c r="W88" i="96"/>
  <c r="W89" i="96"/>
  <c r="W90" i="96"/>
  <c r="W91" i="96"/>
  <c r="W92" i="96"/>
  <c r="W93" i="96"/>
  <c r="W94" i="96"/>
  <c r="W95" i="96"/>
  <c r="W96" i="96"/>
  <c r="W97" i="96"/>
  <c r="W98" i="96"/>
  <c r="W99" i="96"/>
  <c r="W100" i="96"/>
  <c r="W101" i="96"/>
  <c r="W102" i="96"/>
  <c r="W103" i="96"/>
  <c r="W104" i="96"/>
  <c r="W105" i="96"/>
  <c r="W106" i="96"/>
  <c r="W107" i="96"/>
  <c r="W108" i="96"/>
  <c r="W109" i="96"/>
  <c r="W110" i="96"/>
  <c r="W111" i="96"/>
  <c r="W112" i="96"/>
  <c r="W113" i="96"/>
  <c r="W114" i="96"/>
  <c r="W115" i="96"/>
  <c r="W116" i="96"/>
  <c r="W117" i="96"/>
  <c r="W118" i="96"/>
  <c r="W119" i="96"/>
  <c r="W120" i="96"/>
  <c r="W121" i="96"/>
  <c r="W122" i="96"/>
  <c r="W123" i="96"/>
  <c r="W124" i="96"/>
  <c r="W125" i="96"/>
  <c r="W126" i="96"/>
  <c r="W127" i="96"/>
  <c r="W128" i="96"/>
  <c r="W129" i="96"/>
  <c r="W130" i="96"/>
  <c r="W131" i="96"/>
  <c r="W132" i="96"/>
  <c r="W133" i="96"/>
  <c r="W134" i="96"/>
  <c r="W135" i="96"/>
  <c r="W136" i="96"/>
  <c r="W137" i="96"/>
  <c r="W138" i="96"/>
  <c r="W139" i="96"/>
  <c r="W140" i="96"/>
  <c r="W141" i="96"/>
  <c r="W142" i="96"/>
  <c r="W143" i="96"/>
  <c r="W144" i="96"/>
  <c r="W145" i="96"/>
  <c r="W146" i="96"/>
  <c r="W147" i="96"/>
  <c r="W148" i="96"/>
  <c r="W149" i="96"/>
  <c r="W150" i="96"/>
  <c r="W151" i="96"/>
  <c r="W152" i="96"/>
  <c r="W153" i="96"/>
  <c r="W154" i="96"/>
  <c r="W155" i="96"/>
  <c r="W156" i="96"/>
  <c r="W157" i="96"/>
  <c r="W158" i="96"/>
  <c r="W159" i="96"/>
  <c r="W160" i="96"/>
  <c r="W161" i="96"/>
  <c r="W162" i="96"/>
  <c r="W163" i="96"/>
  <c r="W164" i="96"/>
  <c r="W165" i="96"/>
  <c r="W166" i="96"/>
  <c r="W167" i="96"/>
  <c r="W168" i="96"/>
  <c r="W169" i="96"/>
  <c r="W170" i="96"/>
  <c r="W171" i="96"/>
  <c r="W172" i="96"/>
  <c r="W173" i="96"/>
  <c r="W174" i="96"/>
  <c r="W175" i="96"/>
  <c r="W176" i="96"/>
  <c r="W177" i="96"/>
  <c r="W178" i="96"/>
  <c r="W179" i="96"/>
  <c r="W180" i="96"/>
  <c r="W181" i="96"/>
  <c r="W182" i="96"/>
  <c r="W183" i="96"/>
  <c r="W184" i="96"/>
  <c r="W185" i="96"/>
  <c r="W186" i="96"/>
  <c r="W187" i="96"/>
  <c r="W188" i="96"/>
  <c r="W189" i="96"/>
  <c r="W190" i="96"/>
  <c r="W191" i="96"/>
  <c r="W192" i="96"/>
  <c r="W193" i="96"/>
  <c r="W194" i="96"/>
  <c r="W195" i="96"/>
  <c r="W196" i="96"/>
  <c r="W197" i="96"/>
  <c r="W198" i="96"/>
  <c r="W199" i="96"/>
  <c r="W200" i="96"/>
  <c r="W201" i="96"/>
  <c r="W202" i="96"/>
  <c r="W203" i="96"/>
  <c r="W204" i="96"/>
  <c r="W205" i="96"/>
  <c r="W206" i="96"/>
  <c r="W207" i="96"/>
  <c r="W208" i="96"/>
  <c r="W209" i="96"/>
  <c r="W210" i="96"/>
  <c r="W211" i="96"/>
  <c r="W212" i="96"/>
  <c r="W213" i="96"/>
  <c r="W214" i="96"/>
  <c r="W215" i="96"/>
  <c r="W216" i="96"/>
  <c r="W217" i="96"/>
  <c r="W218" i="96"/>
  <c r="W219" i="96"/>
  <c r="W220" i="96"/>
  <c r="W221" i="96"/>
  <c r="W222" i="96"/>
  <c r="W223" i="96"/>
  <c r="W224" i="96"/>
  <c r="W225" i="96"/>
  <c r="W226" i="96"/>
  <c r="W227" i="96"/>
  <c r="W228" i="96"/>
  <c r="W229" i="96"/>
  <c r="W230" i="96"/>
  <c r="W231" i="96"/>
  <c r="W232" i="96"/>
  <c r="W233" i="96"/>
  <c r="W234" i="96"/>
  <c r="W235" i="96"/>
  <c r="W236" i="96"/>
  <c r="W237" i="96"/>
  <c r="W238" i="96"/>
  <c r="W239" i="96"/>
  <c r="W240" i="96"/>
  <c r="W241" i="96"/>
  <c r="W242" i="96"/>
  <c r="W243" i="96"/>
  <c r="W244" i="96"/>
  <c r="W245" i="96"/>
  <c r="W246" i="96"/>
  <c r="W247" i="96"/>
  <c r="W248" i="96"/>
  <c r="W249" i="96"/>
  <c r="W250" i="96"/>
  <c r="W251" i="96"/>
  <c r="W252" i="96"/>
  <c r="W253" i="96"/>
  <c r="W254" i="96"/>
  <c r="W255" i="96"/>
  <c r="W256" i="96"/>
  <c r="W257" i="96"/>
  <c r="W258" i="96"/>
  <c r="W259" i="96"/>
  <c r="W260" i="96"/>
  <c r="W261" i="96"/>
  <c r="W262" i="96"/>
  <c r="W263" i="96"/>
  <c r="W264" i="96"/>
  <c r="W265" i="96"/>
  <c r="W266" i="96"/>
  <c r="W267" i="96"/>
  <c r="W268" i="96"/>
  <c r="W269" i="96"/>
  <c r="W270" i="96"/>
  <c r="W271" i="96"/>
  <c r="W272" i="96"/>
  <c r="W273" i="96"/>
  <c r="W274" i="96"/>
  <c r="W275" i="96"/>
  <c r="W276" i="96"/>
  <c r="W277" i="96"/>
  <c r="W278" i="96"/>
  <c r="W279" i="96"/>
  <c r="W280" i="96"/>
  <c r="W281" i="96"/>
  <c r="W282" i="96"/>
  <c r="W283" i="96"/>
  <c r="W284" i="96"/>
  <c r="W285" i="96"/>
  <c r="W286" i="96"/>
  <c r="W287" i="96"/>
  <c r="W288" i="96"/>
  <c r="W289" i="96"/>
  <c r="W290" i="96"/>
  <c r="W291" i="96"/>
  <c r="W292" i="96"/>
  <c r="W293" i="96"/>
  <c r="W294" i="96"/>
  <c r="W295" i="96"/>
  <c r="W296" i="96"/>
  <c r="W297" i="96"/>
  <c r="W298" i="96"/>
  <c r="W299" i="96"/>
  <c r="W300" i="96"/>
  <c r="W301" i="96"/>
  <c r="W302" i="96"/>
  <c r="W303" i="96"/>
  <c r="W304" i="96"/>
  <c r="W305" i="96"/>
  <c r="W306" i="96"/>
  <c r="W307" i="96"/>
  <c r="W308" i="96"/>
  <c r="W309" i="96"/>
  <c r="W310" i="96"/>
  <c r="W311" i="96"/>
  <c r="W312" i="96"/>
  <c r="W313" i="96"/>
  <c r="W314" i="96"/>
  <c r="W315" i="96"/>
  <c r="W316" i="96"/>
  <c r="W317" i="96"/>
  <c r="W318" i="96"/>
  <c r="W319" i="96"/>
  <c r="W320" i="96"/>
  <c r="W321" i="96"/>
  <c r="W322" i="96"/>
  <c r="W323" i="96"/>
  <c r="W324" i="96"/>
  <c r="W325" i="96"/>
  <c r="W326" i="96"/>
  <c r="W327" i="96"/>
  <c r="W328" i="96"/>
  <c r="W329" i="96"/>
  <c r="W330" i="96"/>
  <c r="W331" i="96"/>
  <c r="W332" i="96"/>
  <c r="W333" i="96"/>
  <c r="W334" i="96"/>
  <c r="W335" i="96"/>
  <c r="W336" i="96"/>
  <c r="W337" i="96"/>
  <c r="W338" i="96"/>
  <c r="W339" i="96"/>
  <c r="W340" i="96"/>
  <c r="W341" i="96"/>
  <c r="W342" i="96"/>
  <c r="W343" i="96"/>
  <c r="W344" i="96"/>
  <c r="W345" i="96"/>
  <c r="W346" i="96"/>
  <c r="W347" i="96"/>
  <c r="W348" i="96"/>
  <c r="W349" i="96"/>
  <c r="W350" i="96"/>
  <c r="W351" i="96"/>
  <c r="W352" i="96"/>
  <c r="W353" i="96"/>
  <c r="W354" i="96"/>
  <c r="W355" i="96"/>
  <c r="W356" i="96"/>
  <c r="W357" i="96"/>
  <c r="W358" i="96"/>
  <c r="W359" i="96"/>
  <c r="W360" i="96"/>
  <c r="W361" i="96"/>
  <c r="W30" i="96"/>
  <c r="F17" i="99" l="1"/>
  <c r="F18" i="99"/>
  <c r="F19" i="99"/>
  <c r="F20" i="99"/>
  <c r="F21" i="99"/>
  <c r="F22" i="99"/>
  <c r="F23" i="99"/>
  <c r="F24" i="99"/>
  <c r="F25" i="99"/>
  <c r="F26" i="99"/>
  <c r="F27" i="99"/>
  <c r="F28" i="99"/>
  <c r="F29" i="99"/>
  <c r="F30" i="99"/>
  <c r="F31" i="99"/>
  <c r="F32" i="99"/>
  <c r="F33" i="99"/>
  <c r="F34" i="99"/>
  <c r="F35" i="99"/>
  <c r="F36" i="99"/>
  <c r="F37" i="99"/>
  <c r="F38" i="99"/>
  <c r="F39" i="99"/>
  <c r="F40" i="99"/>
  <c r="F41" i="99"/>
  <c r="F42" i="99"/>
  <c r="F43" i="99"/>
  <c r="F44" i="99"/>
  <c r="F16" i="99"/>
  <c r="I30" i="96"/>
  <c r="H17" i="99"/>
  <c r="I17" i="99"/>
  <c r="H18" i="99"/>
  <c r="I18" i="99"/>
  <c r="J18" i="99" s="1"/>
  <c r="H19" i="99"/>
  <c r="I19" i="99"/>
  <c r="H20" i="99"/>
  <c r="I20" i="99"/>
  <c r="J20" i="99" s="1"/>
  <c r="H21" i="99"/>
  <c r="I21" i="99"/>
  <c r="H22" i="99"/>
  <c r="I22" i="99"/>
  <c r="J22" i="99" s="1"/>
  <c r="H23" i="99"/>
  <c r="I23" i="99"/>
  <c r="H24" i="99"/>
  <c r="I24" i="99"/>
  <c r="J24" i="99" s="1"/>
  <c r="H25" i="99"/>
  <c r="I25" i="99"/>
  <c r="H26" i="99"/>
  <c r="I26" i="99"/>
  <c r="J26" i="99" s="1"/>
  <c r="H27" i="99"/>
  <c r="I27" i="99"/>
  <c r="H28" i="99"/>
  <c r="I28" i="99"/>
  <c r="J28" i="99" s="1"/>
  <c r="H29" i="99"/>
  <c r="I29" i="99"/>
  <c r="H30" i="99"/>
  <c r="I30" i="99"/>
  <c r="J30" i="99" s="1"/>
  <c r="H31" i="99"/>
  <c r="I31" i="99"/>
  <c r="H32" i="99"/>
  <c r="I32" i="99"/>
  <c r="J32" i="99" s="1"/>
  <c r="H33" i="99"/>
  <c r="I33" i="99"/>
  <c r="J33" i="99" s="1"/>
  <c r="H34" i="99"/>
  <c r="I34" i="99"/>
  <c r="J34" i="99" s="1"/>
  <c r="H35" i="99"/>
  <c r="I35" i="99"/>
  <c r="H36" i="99"/>
  <c r="I36" i="99"/>
  <c r="J36" i="99" s="1"/>
  <c r="H37" i="99"/>
  <c r="I37" i="99"/>
  <c r="J37" i="99" s="1"/>
  <c r="H38" i="99"/>
  <c r="I38" i="99"/>
  <c r="J38" i="99" s="1"/>
  <c r="H39" i="99"/>
  <c r="I39" i="99"/>
  <c r="H40" i="99"/>
  <c r="I40" i="99"/>
  <c r="J40" i="99" s="1"/>
  <c r="H41" i="99"/>
  <c r="I41" i="99"/>
  <c r="J41" i="99" s="1"/>
  <c r="H42" i="99"/>
  <c r="I42" i="99"/>
  <c r="J42" i="99" s="1"/>
  <c r="H43" i="99"/>
  <c r="I43" i="99"/>
  <c r="H44" i="99"/>
  <c r="I44" i="99"/>
  <c r="J44" i="99" s="1"/>
  <c r="I16" i="99"/>
  <c r="J16" i="99" s="1"/>
  <c r="H16" i="99"/>
  <c r="E24" i="96"/>
  <c r="E23" i="96"/>
  <c r="D24" i="96"/>
  <c r="C10" i="102"/>
  <c r="M5" i="96"/>
  <c r="M6" i="96"/>
  <c r="M7" i="96"/>
  <c r="M8" i="96"/>
  <c r="M9" i="96"/>
  <c r="M10" i="96"/>
  <c r="M11" i="96"/>
  <c r="M12" i="96"/>
  <c r="M13" i="96"/>
  <c r="M14" i="96"/>
  <c r="M15" i="96"/>
  <c r="M16" i="96"/>
  <c r="M17" i="96"/>
  <c r="M18" i="96"/>
  <c r="M20" i="96"/>
  <c r="M21" i="96"/>
  <c r="M22" i="96"/>
  <c r="M23" i="96"/>
  <c r="M24" i="96"/>
  <c r="M25" i="96"/>
  <c r="M26" i="96"/>
  <c r="M27" i="96"/>
  <c r="M4" i="96"/>
  <c r="R31" i="96"/>
  <c r="R32" i="96"/>
  <c r="R33" i="96"/>
  <c r="R34" i="96"/>
  <c r="R35" i="96"/>
  <c r="R36" i="96"/>
  <c r="R37" i="96"/>
  <c r="R38" i="96"/>
  <c r="R39" i="96"/>
  <c r="R40" i="96"/>
  <c r="R41" i="96"/>
  <c r="R42" i="96"/>
  <c r="R43" i="96"/>
  <c r="R44" i="96"/>
  <c r="R45" i="96"/>
  <c r="R46" i="96"/>
  <c r="R47" i="96"/>
  <c r="R48" i="96"/>
  <c r="R49" i="96"/>
  <c r="R50" i="96"/>
  <c r="R51" i="96"/>
  <c r="R52" i="96"/>
  <c r="R53" i="96"/>
  <c r="R54" i="96"/>
  <c r="R55" i="96"/>
  <c r="R56" i="96"/>
  <c r="R57" i="96"/>
  <c r="R58" i="96"/>
  <c r="R59" i="96"/>
  <c r="R60" i="96"/>
  <c r="R61" i="96"/>
  <c r="R62" i="96"/>
  <c r="R63" i="96"/>
  <c r="R64" i="96"/>
  <c r="R65" i="96"/>
  <c r="R66" i="96"/>
  <c r="R67" i="96"/>
  <c r="R68" i="96"/>
  <c r="R69" i="96"/>
  <c r="R70" i="96"/>
  <c r="R71" i="96"/>
  <c r="R72" i="96"/>
  <c r="R73" i="96"/>
  <c r="R74" i="96"/>
  <c r="R75" i="96"/>
  <c r="R76" i="96"/>
  <c r="R77" i="96"/>
  <c r="R78" i="96"/>
  <c r="R79" i="96"/>
  <c r="R80" i="96"/>
  <c r="R81" i="96"/>
  <c r="R82" i="96"/>
  <c r="R83" i="96"/>
  <c r="R84" i="96"/>
  <c r="R85" i="96"/>
  <c r="R86" i="96"/>
  <c r="R87" i="96"/>
  <c r="R88" i="96"/>
  <c r="R89" i="96"/>
  <c r="R90" i="96"/>
  <c r="R91" i="96"/>
  <c r="R92" i="96"/>
  <c r="R93" i="96"/>
  <c r="R94" i="96"/>
  <c r="R95" i="96"/>
  <c r="R96" i="96"/>
  <c r="R97" i="96"/>
  <c r="R98" i="96"/>
  <c r="R99" i="96"/>
  <c r="R100" i="96"/>
  <c r="R101" i="96"/>
  <c r="R102" i="96"/>
  <c r="R103" i="96"/>
  <c r="R104" i="96"/>
  <c r="R105" i="96"/>
  <c r="R106" i="96"/>
  <c r="R107" i="96"/>
  <c r="R108" i="96"/>
  <c r="R109" i="96"/>
  <c r="R110" i="96"/>
  <c r="R111" i="96"/>
  <c r="R112" i="96"/>
  <c r="R113" i="96"/>
  <c r="R114" i="96"/>
  <c r="R115" i="96"/>
  <c r="R116" i="96"/>
  <c r="R117" i="96"/>
  <c r="R118" i="96"/>
  <c r="R119" i="96"/>
  <c r="R120" i="96"/>
  <c r="R121" i="96"/>
  <c r="R122" i="96"/>
  <c r="R123" i="96"/>
  <c r="R124" i="96"/>
  <c r="R125" i="96"/>
  <c r="R126" i="96"/>
  <c r="R127" i="96"/>
  <c r="R128" i="96"/>
  <c r="R129" i="96"/>
  <c r="R130" i="96"/>
  <c r="R131" i="96"/>
  <c r="R132" i="96"/>
  <c r="R133" i="96"/>
  <c r="R134" i="96"/>
  <c r="R135" i="96"/>
  <c r="R136" i="96"/>
  <c r="R137" i="96"/>
  <c r="R138" i="96"/>
  <c r="R139" i="96"/>
  <c r="R140" i="96"/>
  <c r="R141" i="96"/>
  <c r="R142" i="96"/>
  <c r="R143" i="96"/>
  <c r="R144" i="96"/>
  <c r="R145" i="96"/>
  <c r="R146" i="96"/>
  <c r="R147" i="96"/>
  <c r="R148" i="96"/>
  <c r="R149" i="96"/>
  <c r="R150" i="96"/>
  <c r="R151" i="96"/>
  <c r="R152" i="96"/>
  <c r="R153" i="96"/>
  <c r="R154" i="96"/>
  <c r="R155" i="96"/>
  <c r="R156" i="96"/>
  <c r="R157" i="96"/>
  <c r="R158" i="96"/>
  <c r="R159" i="96"/>
  <c r="R160" i="96"/>
  <c r="R161" i="96"/>
  <c r="R162" i="96"/>
  <c r="R163" i="96"/>
  <c r="R164" i="96"/>
  <c r="R165" i="96"/>
  <c r="R166" i="96"/>
  <c r="R167" i="96"/>
  <c r="R168" i="96"/>
  <c r="R169" i="96"/>
  <c r="R170" i="96"/>
  <c r="R171" i="96"/>
  <c r="R172" i="96"/>
  <c r="R173" i="96"/>
  <c r="R174" i="96"/>
  <c r="R175" i="96"/>
  <c r="R176" i="96"/>
  <c r="R177" i="96"/>
  <c r="R178" i="96"/>
  <c r="R179" i="96"/>
  <c r="R180" i="96"/>
  <c r="R181" i="96"/>
  <c r="R182" i="96"/>
  <c r="R183" i="96"/>
  <c r="R184" i="96"/>
  <c r="R185" i="96"/>
  <c r="R186" i="96"/>
  <c r="R187" i="96"/>
  <c r="R188" i="96"/>
  <c r="R189" i="96"/>
  <c r="R190" i="96"/>
  <c r="R191" i="96"/>
  <c r="R192" i="96"/>
  <c r="R193" i="96"/>
  <c r="R194" i="96"/>
  <c r="R195" i="96"/>
  <c r="R196" i="96"/>
  <c r="R197" i="96"/>
  <c r="R198" i="96"/>
  <c r="R199" i="96"/>
  <c r="R200" i="96"/>
  <c r="R201" i="96"/>
  <c r="R202" i="96"/>
  <c r="R203" i="96"/>
  <c r="R204" i="96"/>
  <c r="R205" i="96"/>
  <c r="R206" i="96"/>
  <c r="R207" i="96"/>
  <c r="R208" i="96"/>
  <c r="R209" i="96"/>
  <c r="R210" i="96"/>
  <c r="R211" i="96"/>
  <c r="R212" i="96"/>
  <c r="R213" i="96"/>
  <c r="R214" i="96"/>
  <c r="R215" i="96"/>
  <c r="R216" i="96"/>
  <c r="R217" i="96"/>
  <c r="R218" i="96"/>
  <c r="R219" i="96"/>
  <c r="R220" i="96"/>
  <c r="R221" i="96"/>
  <c r="R222" i="96"/>
  <c r="R223" i="96"/>
  <c r="R224" i="96"/>
  <c r="R225" i="96"/>
  <c r="R226" i="96"/>
  <c r="R227" i="96"/>
  <c r="R228" i="96"/>
  <c r="R229" i="96"/>
  <c r="R230" i="96"/>
  <c r="R231" i="96"/>
  <c r="R232" i="96"/>
  <c r="R233" i="96"/>
  <c r="R234" i="96"/>
  <c r="R235" i="96"/>
  <c r="R236" i="96"/>
  <c r="R237" i="96"/>
  <c r="R238" i="96"/>
  <c r="R239" i="96"/>
  <c r="R240" i="96"/>
  <c r="R241" i="96"/>
  <c r="R242" i="96"/>
  <c r="R243" i="96"/>
  <c r="R244" i="96"/>
  <c r="R245" i="96"/>
  <c r="R246" i="96"/>
  <c r="R247" i="96"/>
  <c r="R248" i="96"/>
  <c r="R249" i="96"/>
  <c r="R250" i="96"/>
  <c r="R251" i="96"/>
  <c r="R252" i="96"/>
  <c r="R253" i="96"/>
  <c r="R254" i="96"/>
  <c r="R255" i="96"/>
  <c r="R256" i="96"/>
  <c r="R257" i="96"/>
  <c r="R258" i="96"/>
  <c r="R259" i="96"/>
  <c r="R260" i="96"/>
  <c r="R261" i="96"/>
  <c r="R262" i="96"/>
  <c r="R263" i="96"/>
  <c r="R264" i="96"/>
  <c r="R265" i="96"/>
  <c r="R266" i="96"/>
  <c r="R267" i="96"/>
  <c r="R268" i="96"/>
  <c r="R269" i="96"/>
  <c r="R270" i="96"/>
  <c r="R271" i="96"/>
  <c r="R272" i="96"/>
  <c r="R273" i="96"/>
  <c r="R274" i="96"/>
  <c r="R275" i="96"/>
  <c r="R276" i="96"/>
  <c r="R277" i="96"/>
  <c r="R278" i="96"/>
  <c r="R279" i="96"/>
  <c r="R280" i="96"/>
  <c r="R281" i="96"/>
  <c r="R282" i="96"/>
  <c r="R283" i="96"/>
  <c r="R284" i="96"/>
  <c r="R285" i="96"/>
  <c r="R286" i="96"/>
  <c r="R287" i="96"/>
  <c r="R288" i="96"/>
  <c r="R289" i="96"/>
  <c r="R290" i="96"/>
  <c r="R291" i="96"/>
  <c r="R292" i="96"/>
  <c r="R293" i="96"/>
  <c r="R294" i="96"/>
  <c r="R295" i="96"/>
  <c r="R296" i="96"/>
  <c r="R297" i="96"/>
  <c r="R298" i="96"/>
  <c r="R299" i="96"/>
  <c r="R300" i="96"/>
  <c r="R301" i="96"/>
  <c r="R302" i="96"/>
  <c r="R303" i="96"/>
  <c r="R304" i="96"/>
  <c r="R305" i="96"/>
  <c r="R306" i="96"/>
  <c r="R307" i="96"/>
  <c r="R308" i="96"/>
  <c r="R309" i="96"/>
  <c r="R310" i="96"/>
  <c r="R311" i="96"/>
  <c r="R312" i="96"/>
  <c r="R313" i="96"/>
  <c r="R314" i="96"/>
  <c r="R315" i="96"/>
  <c r="R316" i="96"/>
  <c r="R317" i="96"/>
  <c r="R318" i="96"/>
  <c r="R319" i="96"/>
  <c r="R320" i="96"/>
  <c r="R321" i="96"/>
  <c r="R322" i="96"/>
  <c r="R323" i="96"/>
  <c r="R324" i="96"/>
  <c r="R325" i="96"/>
  <c r="R326" i="96"/>
  <c r="R327" i="96"/>
  <c r="R328" i="96"/>
  <c r="R329" i="96"/>
  <c r="R330" i="96"/>
  <c r="R331" i="96"/>
  <c r="R332" i="96"/>
  <c r="R333" i="96"/>
  <c r="R334" i="96"/>
  <c r="R335" i="96"/>
  <c r="R336" i="96"/>
  <c r="R337" i="96"/>
  <c r="R338" i="96"/>
  <c r="R339" i="96"/>
  <c r="R340" i="96"/>
  <c r="R341" i="96"/>
  <c r="R342" i="96"/>
  <c r="R343" i="96"/>
  <c r="R344" i="96"/>
  <c r="R345" i="96"/>
  <c r="R346" i="96"/>
  <c r="R347" i="96"/>
  <c r="R348" i="96"/>
  <c r="R349" i="96"/>
  <c r="R350" i="96"/>
  <c r="R351" i="96"/>
  <c r="R352" i="96"/>
  <c r="R353" i="96"/>
  <c r="R354" i="96"/>
  <c r="R355" i="96"/>
  <c r="R356" i="96"/>
  <c r="R357" i="96"/>
  <c r="R358" i="96"/>
  <c r="R359" i="96"/>
  <c r="R360" i="96"/>
  <c r="R361" i="96"/>
  <c r="R30" i="96"/>
  <c r="AB79" i="96"/>
  <c r="AB143" i="96"/>
  <c r="AB207" i="96"/>
  <c r="AB262" i="96"/>
  <c r="AB286" i="96"/>
  <c r="AB294" i="96"/>
  <c r="AB314" i="96"/>
  <c r="AB318" i="96"/>
  <c r="AB342" i="96"/>
  <c r="AB350" i="96"/>
  <c r="E30" i="96"/>
  <c r="AB30" i="96" s="1"/>
  <c r="Z31" i="96"/>
  <c r="AA31" i="96" s="1"/>
  <c r="Z32" i="96"/>
  <c r="AA32" i="96" s="1"/>
  <c r="Z33" i="96"/>
  <c r="AA33" i="96" s="1"/>
  <c r="Z34" i="96"/>
  <c r="AA34" i="96" s="1"/>
  <c r="Z35" i="96"/>
  <c r="AA35" i="96" s="1"/>
  <c r="Z36" i="96"/>
  <c r="AA36" i="96" s="1"/>
  <c r="Z37" i="96"/>
  <c r="AA37" i="96" s="1"/>
  <c r="Z38" i="96"/>
  <c r="AA38" i="96" s="1"/>
  <c r="Z39" i="96"/>
  <c r="AA39" i="96" s="1"/>
  <c r="Z40" i="96"/>
  <c r="AA40" i="96" s="1"/>
  <c r="Z41" i="96"/>
  <c r="AA41" i="96" s="1"/>
  <c r="Z42" i="96"/>
  <c r="AA42" i="96" s="1"/>
  <c r="Z43" i="96"/>
  <c r="AA43" i="96" s="1"/>
  <c r="Z44" i="96"/>
  <c r="AA44" i="96" s="1"/>
  <c r="Z45" i="96"/>
  <c r="AA45" i="96" s="1"/>
  <c r="Z46" i="96"/>
  <c r="AA46" i="96" s="1"/>
  <c r="Z47" i="96"/>
  <c r="AA47" i="96" s="1"/>
  <c r="Z48" i="96"/>
  <c r="AA48" i="96" s="1"/>
  <c r="Z49" i="96"/>
  <c r="AA49" i="96" s="1"/>
  <c r="Z50" i="96"/>
  <c r="AA50" i="96" s="1"/>
  <c r="Z51" i="96"/>
  <c r="AA51" i="96" s="1"/>
  <c r="Z52" i="96"/>
  <c r="AA52" i="96" s="1"/>
  <c r="Z53" i="96"/>
  <c r="AA53" i="96" s="1"/>
  <c r="Z54" i="96"/>
  <c r="AA54" i="96" s="1"/>
  <c r="Z55" i="96"/>
  <c r="AA55" i="96" s="1"/>
  <c r="Z56" i="96"/>
  <c r="AA56" i="96" s="1"/>
  <c r="Z57" i="96"/>
  <c r="AA57" i="96" s="1"/>
  <c r="Z58" i="96"/>
  <c r="AA58" i="96" s="1"/>
  <c r="Z59" i="96"/>
  <c r="AA59" i="96" s="1"/>
  <c r="Z60" i="96"/>
  <c r="AA60" i="96" s="1"/>
  <c r="Z61" i="96"/>
  <c r="AA61" i="96" s="1"/>
  <c r="Z62" i="96"/>
  <c r="AA62" i="96" s="1"/>
  <c r="Z63" i="96"/>
  <c r="AA63" i="96" s="1"/>
  <c r="Z64" i="96"/>
  <c r="AA64" i="96" s="1"/>
  <c r="Z65" i="96"/>
  <c r="AA65" i="96" s="1"/>
  <c r="Z66" i="96"/>
  <c r="AA66" i="96" s="1"/>
  <c r="Z67" i="96"/>
  <c r="AA67" i="96" s="1"/>
  <c r="Z68" i="96"/>
  <c r="AA68" i="96" s="1"/>
  <c r="Z69" i="96"/>
  <c r="AA69" i="96" s="1"/>
  <c r="Z70" i="96"/>
  <c r="AA70" i="96" s="1"/>
  <c r="Z71" i="96"/>
  <c r="AA71" i="96" s="1"/>
  <c r="Z72" i="96"/>
  <c r="AA72" i="96" s="1"/>
  <c r="Z73" i="96"/>
  <c r="AA73" i="96" s="1"/>
  <c r="Z74" i="96"/>
  <c r="AA74" i="96" s="1"/>
  <c r="Z75" i="96"/>
  <c r="AA75" i="96" s="1"/>
  <c r="Z76" i="96"/>
  <c r="AA76" i="96" s="1"/>
  <c r="Z77" i="96"/>
  <c r="AA77" i="96" s="1"/>
  <c r="Z78" i="96"/>
  <c r="AA78" i="96" s="1"/>
  <c r="Z79" i="96"/>
  <c r="AA79" i="96" s="1"/>
  <c r="Z80" i="96"/>
  <c r="AA80" i="96" s="1"/>
  <c r="Z81" i="96"/>
  <c r="AA81" i="96" s="1"/>
  <c r="Z82" i="96"/>
  <c r="AA82" i="96" s="1"/>
  <c r="Z83" i="96"/>
  <c r="AA83" i="96" s="1"/>
  <c r="Z84" i="96"/>
  <c r="AA84" i="96" s="1"/>
  <c r="Z85" i="96"/>
  <c r="AA85" i="96" s="1"/>
  <c r="Z86" i="96"/>
  <c r="AA86" i="96" s="1"/>
  <c r="Z87" i="96"/>
  <c r="AA87" i="96" s="1"/>
  <c r="Z88" i="96"/>
  <c r="AA88" i="96" s="1"/>
  <c r="Z89" i="96"/>
  <c r="AA89" i="96" s="1"/>
  <c r="Z90" i="96"/>
  <c r="AA90" i="96" s="1"/>
  <c r="Z91" i="96"/>
  <c r="AA91" i="96" s="1"/>
  <c r="Z92" i="96"/>
  <c r="AA92" i="96" s="1"/>
  <c r="Z93" i="96"/>
  <c r="AA93" i="96" s="1"/>
  <c r="Z94" i="96"/>
  <c r="AA94" i="96" s="1"/>
  <c r="Z95" i="96"/>
  <c r="AA95" i="96" s="1"/>
  <c r="Z96" i="96"/>
  <c r="AA96" i="96" s="1"/>
  <c r="Z97" i="96"/>
  <c r="AA97" i="96" s="1"/>
  <c r="Z98" i="96"/>
  <c r="AA98" i="96" s="1"/>
  <c r="Z99" i="96"/>
  <c r="AA99" i="96" s="1"/>
  <c r="Z100" i="96"/>
  <c r="AA100" i="96" s="1"/>
  <c r="Z101" i="96"/>
  <c r="AA101" i="96" s="1"/>
  <c r="Z102" i="96"/>
  <c r="AA102" i="96" s="1"/>
  <c r="Z103" i="96"/>
  <c r="AA103" i="96" s="1"/>
  <c r="Z104" i="96"/>
  <c r="AA104" i="96" s="1"/>
  <c r="Z105" i="96"/>
  <c r="AA105" i="96" s="1"/>
  <c r="Z106" i="96"/>
  <c r="AA106" i="96" s="1"/>
  <c r="Z107" i="96"/>
  <c r="AA107" i="96" s="1"/>
  <c r="Z108" i="96"/>
  <c r="AA108" i="96" s="1"/>
  <c r="Z109" i="96"/>
  <c r="AA109" i="96" s="1"/>
  <c r="Z110" i="96"/>
  <c r="AA110" i="96" s="1"/>
  <c r="Z111" i="96"/>
  <c r="AA111" i="96" s="1"/>
  <c r="Z112" i="96"/>
  <c r="AA112" i="96" s="1"/>
  <c r="Z113" i="96"/>
  <c r="AA113" i="96" s="1"/>
  <c r="Z114" i="96"/>
  <c r="AA114" i="96" s="1"/>
  <c r="Z115" i="96"/>
  <c r="AA115" i="96" s="1"/>
  <c r="Z116" i="96"/>
  <c r="AA116" i="96" s="1"/>
  <c r="Z117" i="96"/>
  <c r="AA117" i="96" s="1"/>
  <c r="Z118" i="96"/>
  <c r="AA118" i="96" s="1"/>
  <c r="Z119" i="96"/>
  <c r="AA119" i="96" s="1"/>
  <c r="Z120" i="96"/>
  <c r="AA120" i="96" s="1"/>
  <c r="Z121" i="96"/>
  <c r="AA121" i="96" s="1"/>
  <c r="Z122" i="96"/>
  <c r="AA122" i="96" s="1"/>
  <c r="Z123" i="96"/>
  <c r="AA123" i="96" s="1"/>
  <c r="Z124" i="96"/>
  <c r="AA124" i="96" s="1"/>
  <c r="Z125" i="96"/>
  <c r="AA125" i="96" s="1"/>
  <c r="Z126" i="96"/>
  <c r="AA126" i="96" s="1"/>
  <c r="Z127" i="96"/>
  <c r="AA127" i="96" s="1"/>
  <c r="Z128" i="96"/>
  <c r="AA128" i="96" s="1"/>
  <c r="Z129" i="96"/>
  <c r="AA129" i="96" s="1"/>
  <c r="Z130" i="96"/>
  <c r="AA130" i="96" s="1"/>
  <c r="Z131" i="96"/>
  <c r="AA131" i="96" s="1"/>
  <c r="Z132" i="96"/>
  <c r="AA132" i="96" s="1"/>
  <c r="Z133" i="96"/>
  <c r="AA133" i="96" s="1"/>
  <c r="Z134" i="96"/>
  <c r="AA134" i="96" s="1"/>
  <c r="Z135" i="96"/>
  <c r="AA135" i="96" s="1"/>
  <c r="Z136" i="96"/>
  <c r="AA136" i="96" s="1"/>
  <c r="Z137" i="96"/>
  <c r="AA137" i="96" s="1"/>
  <c r="Z138" i="96"/>
  <c r="AA138" i="96" s="1"/>
  <c r="Z139" i="96"/>
  <c r="AA139" i="96" s="1"/>
  <c r="Z140" i="96"/>
  <c r="AA140" i="96" s="1"/>
  <c r="Z141" i="96"/>
  <c r="AA141" i="96" s="1"/>
  <c r="Z142" i="96"/>
  <c r="AA142" i="96" s="1"/>
  <c r="Z143" i="96"/>
  <c r="AA143" i="96" s="1"/>
  <c r="Z144" i="96"/>
  <c r="AA144" i="96" s="1"/>
  <c r="Z145" i="96"/>
  <c r="AA145" i="96" s="1"/>
  <c r="Z146" i="96"/>
  <c r="AA146" i="96" s="1"/>
  <c r="Z147" i="96"/>
  <c r="AA147" i="96" s="1"/>
  <c r="Z148" i="96"/>
  <c r="AA148" i="96" s="1"/>
  <c r="Z149" i="96"/>
  <c r="AA149" i="96" s="1"/>
  <c r="Z150" i="96"/>
  <c r="AA150" i="96" s="1"/>
  <c r="Z151" i="96"/>
  <c r="AA151" i="96" s="1"/>
  <c r="Z152" i="96"/>
  <c r="AA152" i="96" s="1"/>
  <c r="Z153" i="96"/>
  <c r="AA153" i="96" s="1"/>
  <c r="Z154" i="96"/>
  <c r="AA154" i="96" s="1"/>
  <c r="Z155" i="96"/>
  <c r="AA155" i="96" s="1"/>
  <c r="Z156" i="96"/>
  <c r="AA156" i="96" s="1"/>
  <c r="Z157" i="96"/>
  <c r="AA157" i="96" s="1"/>
  <c r="Z158" i="96"/>
  <c r="AA158" i="96" s="1"/>
  <c r="Z159" i="96"/>
  <c r="AA159" i="96" s="1"/>
  <c r="Z160" i="96"/>
  <c r="AA160" i="96" s="1"/>
  <c r="Z161" i="96"/>
  <c r="AA161" i="96" s="1"/>
  <c r="Z162" i="96"/>
  <c r="AA162" i="96" s="1"/>
  <c r="Z163" i="96"/>
  <c r="AA163" i="96" s="1"/>
  <c r="Z164" i="96"/>
  <c r="AA164" i="96" s="1"/>
  <c r="Z165" i="96"/>
  <c r="AA165" i="96" s="1"/>
  <c r="Z166" i="96"/>
  <c r="AA166" i="96" s="1"/>
  <c r="Z167" i="96"/>
  <c r="AA167" i="96" s="1"/>
  <c r="Z168" i="96"/>
  <c r="AA168" i="96" s="1"/>
  <c r="Z169" i="96"/>
  <c r="AA169" i="96" s="1"/>
  <c r="Z170" i="96"/>
  <c r="AA170" i="96" s="1"/>
  <c r="Z171" i="96"/>
  <c r="AA171" i="96" s="1"/>
  <c r="Z172" i="96"/>
  <c r="AA172" i="96" s="1"/>
  <c r="Z173" i="96"/>
  <c r="AA173" i="96" s="1"/>
  <c r="Z174" i="96"/>
  <c r="AA174" i="96" s="1"/>
  <c r="Z175" i="96"/>
  <c r="AA175" i="96" s="1"/>
  <c r="Z176" i="96"/>
  <c r="AA176" i="96" s="1"/>
  <c r="Z177" i="96"/>
  <c r="AA177" i="96" s="1"/>
  <c r="Z178" i="96"/>
  <c r="AA178" i="96" s="1"/>
  <c r="Z179" i="96"/>
  <c r="AA179" i="96" s="1"/>
  <c r="Z180" i="96"/>
  <c r="AA180" i="96" s="1"/>
  <c r="Z181" i="96"/>
  <c r="AA181" i="96" s="1"/>
  <c r="Z182" i="96"/>
  <c r="AA182" i="96" s="1"/>
  <c r="Z183" i="96"/>
  <c r="AA183" i="96" s="1"/>
  <c r="Z184" i="96"/>
  <c r="AA184" i="96" s="1"/>
  <c r="Z185" i="96"/>
  <c r="AA185" i="96" s="1"/>
  <c r="Z186" i="96"/>
  <c r="AA186" i="96" s="1"/>
  <c r="Z187" i="96"/>
  <c r="AA187" i="96" s="1"/>
  <c r="Z188" i="96"/>
  <c r="AA188" i="96" s="1"/>
  <c r="Z189" i="96"/>
  <c r="AA189" i="96" s="1"/>
  <c r="Z190" i="96"/>
  <c r="AA190" i="96" s="1"/>
  <c r="Z191" i="96"/>
  <c r="AA191" i="96" s="1"/>
  <c r="Z192" i="96"/>
  <c r="AA192" i="96" s="1"/>
  <c r="Z193" i="96"/>
  <c r="AA193" i="96" s="1"/>
  <c r="Z194" i="96"/>
  <c r="AA194" i="96" s="1"/>
  <c r="Z195" i="96"/>
  <c r="AA195" i="96" s="1"/>
  <c r="Z196" i="96"/>
  <c r="AA196" i="96" s="1"/>
  <c r="Z197" i="96"/>
  <c r="AA197" i="96" s="1"/>
  <c r="Z198" i="96"/>
  <c r="AA198" i="96" s="1"/>
  <c r="Z199" i="96"/>
  <c r="AA199" i="96" s="1"/>
  <c r="Z200" i="96"/>
  <c r="AA200" i="96" s="1"/>
  <c r="Z201" i="96"/>
  <c r="AA201" i="96" s="1"/>
  <c r="Z202" i="96"/>
  <c r="AA202" i="96" s="1"/>
  <c r="Z203" i="96"/>
  <c r="AA203" i="96" s="1"/>
  <c r="Z204" i="96"/>
  <c r="AA204" i="96" s="1"/>
  <c r="Z205" i="96"/>
  <c r="AA205" i="96" s="1"/>
  <c r="Z206" i="96"/>
  <c r="AA206" i="96" s="1"/>
  <c r="Z207" i="96"/>
  <c r="AA207" i="96" s="1"/>
  <c r="Z208" i="96"/>
  <c r="AA208" i="96" s="1"/>
  <c r="Z209" i="96"/>
  <c r="AA209" i="96" s="1"/>
  <c r="Z210" i="96"/>
  <c r="AA210" i="96" s="1"/>
  <c r="Z211" i="96"/>
  <c r="AA211" i="96" s="1"/>
  <c r="Z212" i="96"/>
  <c r="AA212" i="96" s="1"/>
  <c r="Z213" i="96"/>
  <c r="AA213" i="96" s="1"/>
  <c r="Z214" i="96"/>
  <c r="AA214" i="96" s="1"/>
  <c r="Z215" i="96"/>
  <c r="AA215" i="96" s="1"/>
  <c r="Z216" i="96"/>
  <c r="AA216" i="96" s="1"/>
  <c r="Z217" i="96"/>
  <c r="AA217" i="96" s="1"/>
  <c r="Z218" i="96"/>
  <c r="AA218" i="96" s="1"/>
  <c r="Z219" i="96"/>
  <c r="AA219" i="96" s="1"/>
  <c r="Z220" i="96"/>
  <c r="AA220" i="96" s="1"/>
  <c r="Z221" i="96"/>
  <c r="AA221" i="96" s="1"/>
  <c r="Z222" i="96"/>
  <c r="AA222" i="96" s="1"/>
  <c r="Z223" i="96"/>
  <c r="AA223" i="96" s="1"/>
  <c r="Z224" i="96"/>
  <c r="AA224" i="96" s="1"/>
  <c r="Z225" i="96"/>
  <c r="AA225" i="96" s="1"/>
  <c r="Z226" i="96"/>
  <c r="AA226" i="96" s="1"/>
  <c r="Z227" i="96"/>
  <c r="AA227" i="96" s="1"/>
  <c r="Z228" i="96"/>
  <c r="AA228" i="96" s="1"/>
  <c r="Z229" i="96"/>
  <c r="AA229" i="96" s="1"/>
  <c r="Z230" i="96"/>
  <c r="AA230" i="96" s="1"/>
  <c r="Z231" i="96"/>
  <c r="AA231" i="96" s="1"/>
  <c r="Z232" i="96"/>
  <c r="AA232" i="96" s="1"/>
  <c r="Z233" i="96"/>
  <c r="AA233" i="96" s="1"/>
  <c r="Z234" i="96"/>
  <c r="AA234" i="96" s="1"/>
  <c r="Z235" i="96"/>
  <c r="AA235" i="96" s="1"/>
  <c r="Z236" i="96"/>
  <c r="AA236" i="96" s="1"/>
  <c r="Z237" i="96"/>
  <c r="AA237" i="96" s="1"/>
  <c r="Z238" i="96"/>
  <c r="AA238" i="96" s="1"/>
  <c r="Z239" i="96"/>
  <c r="AA239" i="96" s="1"/>
  <c r="Z240" i="96"/>
  <c r="AA240" i="96" s="1"/>
  <c r="Z241" i="96"/>
  <c r="AA241" i="96" s="1"/>
  <c r="Z242" i="96"/>
  <c r="AA242" i="96" s="1"/>
  <c r="Z243" i="96"/>
  <c r="AA243" i="96" s="1"/>
  <c r="Z244" i="96"/>
  <c r="AA244" i="96" s="1"/>
  <c r="Z245" i="96"/>
  <c r="AA245" i="96" s="1"/>
  <c r="Z246" i="96"/>
  <c r="AA246" i="96" s="1"/>
  <c r="Z247" i="96"/>
  <c r="AA247" i="96" s="1"/>
  <c r="Z248" i="96"/>
  <c r="AA248" i="96" s="1"/>
  <c r="Z249" i="96"/>
  <c r="AA249" i="96" s="1"/>
  <c r="Z250" i="96"/>
  <c r="AA250" i="96" s="1"/>
  <c r="Z251" i="96"/>
  <c r="AA251" i="96" s="1"/>
  <c r="Z252" i="96"/>
  <c r="AA252" i="96" s="1"/>
  <c r="Z253" i="96"/>
  <c r="AA253" i="96" s="1"/>
  <c r="Z254" i="96"/>
  <c r="AA254" i="96" s="1"/>
  <c r="Z255" i="96"/>
  <c r="AA255" i="96" s="1"/>
  <c r="Z256" i="96"/>
  <c r="AA256" i="96" s="1"/>
  <c r="Z257" i="96"/>
  <c r="AA257" i="96" s="1"/>
  <c r="Z258" i="96"/>
  <c r="AA258" i="96" s="1"/>
  <c r="Z259" i="96"/>
  <c r="AA259" i="96" s="1"/>
  <c r="Z260" i="96"/>
  <c r="AA260" i="96" s="1"/>
  <c r="Z261" i="96"/>
  <c r="AA261" i="96" s="1"/>
  <c r="Z262" i="96"/>
  <c r="AA262" i="96" s="1"/>
  <c r="Z263" i="96"/>
  <c r="AA263" i="96" s="1"/>
  <c r="Z264" i="96"/>
  <c r="AA264" i="96" s="1"/>
  <c r="Z265" i="96"/>
  <c r="AA265" i="96" s="1"/>
  <c r="Z266" i="96"/>
  <c r="AA266" i="96" s="1"/>
  <c r="Z267" i="96"/>
  <c r="AA267" i="96" s="1"/>
  <c r="Z268" i="96"/>
  <c r="AA268" i="96" s="1"/>
  <c r="Z269" i="96"/>
  <c r="AA269" i="96" s="1"/>
  <c r="Z270" i="96"/>
  <c r="AA270" i="96" s="1"/>
  <c r="Z271" i="96"/>
  <c r="AA271" i="96" s="1"/>
  <c r="Z272" i="96"/>
  <c r="AA272" i="96" s="1"/>
  <c r="Z273" i="96"/>
  <c r="AA273" i="96" s="1"/>
  <c r="Z274" i="96"/>
  <c r="AA274" i="96" s="1"/>
  <c r="Z275" i="96"/>
  <c r="AA275" i="96" s="1"/>
  <c r="Z276" i="96"/>
  <c r="AA276" i="96" s="1"/>
  <c r="Z277" i="96"/>
  <c r="AA277" i="96" s="1"/>
  <c r="Z278" i="96"/>
  <c r="AA278" i="96" s="1"/>
  <c r="Z279" i="96"/>
  <c r="AA279" i="96" s="1"/>
  <c r="Z280" i="96"/>
  <c r="AA280" i="96" s="1"/>
  <c r="Z281" i="96"/>
  <c r="AA281" i="96" s="1"/>
  <c r="Z282" i="96"/>
  <c r="AA282" i="96" s="1"/>
  <c r="Z283" i="96"/>
  <c r="AA283" i="96" s="1"/>
  <c r="Z284" i="96"/>
  <c r="AA284" i="96" s="1"/>
  <c r="Z285" i="96"/>
  <c r="AA285" i="96" s="1"/>
  <c r="Z286" i="96"/>
  <c r="AA286" i="96" s="1"/>
  <c r="Z287" i="96"/>
  <c r="AA287" i="96" s="1"/>
  <c r="Z288" i="96"/>
  <c r="AA288" i="96" s="1"/>
  <c r="Z289" i="96"/>
  <c r="AA289" i="96" s="1"/>
  <c r="Z290" i="96"/>
  <c r="AA290" i="96" s="1"/>
  <c r="Z291" i="96"/>
  <c r="AA291" i="96" s="1"/>
  <c r="Z292" i="96"/>
  <c r="AA292" i="96" s="1"/>
  <c r="Z293" i="96"/>
  <c r="AA293" i="96" s="1"/>
  <c r="Z294" i="96"/>
  <c r="AA294" i="96" s="1"/>
  <c r="Z295" i="96"/>
  <c r="AA295" i="96" s="1"/>
  <c r="Z296" i="96"/>
  <c r="AA296" i="96" s="1"/>
  <c r="Z297" i="96"/>
  <c r="AA297" i="96" s="1"/>
  <c r="Z298" i="96"/>
  <c r="AA298" i="96" s="1"/>
  <c r="Z299" i="96"/>
  <c r="AA299" i="96" s="1"/>
  <c r="Z300" i="96"/>
  <c r="AA300" i="96" s="1"/>
  <c r="Z301" i="96"/>
  <c r="AA301" i="96" s="1"/>
  <c r="Z302" i="96"/>
  <c r="AA302" i="96" s="1"/>
  <c r="Z303" i="96"/>
  <c r="AA303" i="96" s="1"/>
  <c r="Z304" i="96"/>
  <c r="AA304" i="96" s="1"/>
  <c r="Z305" i="96"/>
  <c r="AA305" i="96" s="1"/>
  <c r="Z306" i="96"/>
  <c r="AA306" i="96" s="1"/>
  <c r="Z307" i="96"/>
  <c r="AA307" i="96" s="1"/>
  <c r="Z308" i="96"/>
  <c r="AA308" i="96" s="1"/>
  <c r="Z309" i="96"/>
  <c r="AA309" i="96" s="1"/>
  <c r="Z310" i="96"/>
  <c r="AA310" i="96" s="1"/>
  <c r="Z311" i="96"/>
  <c r="AA311" i="96" s="1"/>
  <c r="Z312" i="96"/>
  <c r="AA312" i="96" s="1"/>
  <c r="Z313" i="96"/>
  <c r="AA313" i="96" s="1"/>
  <c r="Z314" i="96"/>
  <c r="AA314" i="96" s="1"/>
  <c r="Z315" i="96"/>
  <c r="AA315" i="96" s="1"/>
  <c r="Z316" i="96"/>
  <c r="AA316" i="96" s="1"/>
  <c r="Z317" i="96"/>
  <c r="AA317" i="96" s="1"/>
  <c r="Z318" i="96"/>
  <c r="AA318" i="96" s="1"/>
  <c r="Z319" i="96"/>
  <c r="AA319" i="96" s="1"/>
  <c r="Z320" i="96"/>
  <c r="AA320" i="96" s="1"/>
  <c r="Z321" i="96"/>
  <c r="AA321" i="96" s="1"/>
  <c r="Z322" i="96"/>
  <c r="AA322" i="96" s="1"/>
  <c r="Z323" i="96"/>
  <c r="AA323" i="96" s="1"/>
  <c r="Z324" i="96"/>
  <c r="AA324" i="96" s="1"/>
  <c r="Z325" i="96"/>
  <c r="AA325" i="96" s="1"/>
  <c r="Z326" i="96"/>
  <c r="AA326" i="96" s="1"/>
  <c r="Z327" i="96"/>
  <c r="AA327" i="96" s="1"/>
  <c r="Z328" i="96"/>
  <c r="AA328" i="96" s="1"/>
  <c r="Z329" i="96"/>
  <c r="AA329" i="96" s="1"/>
  <c r="Z330" i="96"/>
  <c r="AA330" i="96" s="1"/>
  <c r="Z331" i="96"/>
  <c r="AA331" i="96" s="1"/>
  <c r="Z332" i="96"/>
  <c r="AA332" i="96" s="1"/>
  <c r="Z333" i="96"/>
  <c r="AA333" i="96" s="1"/>
  <c r="Z334" i="96"/>
  <c r="AA334" i="96" s="1"/>
  <c r="Z335" i="96"/>
  <c r="AA335" i="96" s="1"/>
  <c r="Z336" i="96"/>
  <c r="AA336" i="96" s="1"/>
  <c r="Z337" i="96"/>
  <c r="AA337" i="96" s="1"/>
  <c r="Z338" i="96"/>
  <c r="AA338" i="96" s="1"/>
  <c r="Z339" i="96"/>
  <c r="AA339" i="96" s="1"/>
  <c r="Z340" i="96"/>
  <c r="AA340" i="96" s="1"/>
  <c r="Z341" i="96"/>
  <c r="AA341" i="96" s="1"/>
  <c r="Z342" i="96"/>
  <c r="AA342" i="96" s="1"/>
  <c r="Z343" i="96"/>
  <c r="AA343" i="96" s="1"/>
  <c r="Z344" i="96"/>
  <c r="AA344" i="96" s="1"/>
  <c r="Z345" i="96"/>
  <c r="AA345" i="96" s="1"/>
  <c r="Z346" i="96"/>
  <c r="AA346" i="96" s="1"/>
  <c r="Z347" i="96"/>
  <c r="AA347" i="96" s="1"/>
  <c r="Z348" i="96"/>
  <c r="AA348" i="96" s="1"/>
  <c r="Z349" i="96"/>
  <c r="AA349" i="96" s="1"/>
  <c r="Z350" i="96"/>
  <c r="AA350" i="96" s="1"/>
  <c r="Z351" i="96"/>
  <c r="AA351" i="96" s="1"/>
  <c r="Z352" i="96"/>
  <c r="AA352" i="96" s="1"/>
  <c r="Z353" i="96"/>
  <c r="AA353" i="96" s="1"/>
  <c r="Z354" i="96"/>
  <c r="AA354" i="96" s="1"/>
  <c r="Z355" i="96"/>
  <c r="AA355" i="96" s="1"/>
  <c r="Z356" i="96"/>
  <c r="AA356" i="96" s="1"/>
  <c r="Z357" i="96"/>
  <c r="AA357" i="96" s="1"/>
  <c r="Z358" i="96"/>
  <c r="AA358" i="96" s="1"/>
  <c r="Z359" i="96"/>
  <c r="AA359" i="96" s="1"/>
  <c r="Z360" i="96"/>
  <c r="AA360" i="96" s="1"/>
  <c r="Z361" i="96"/>
  <c r="AA361" i="96" s="1"/>
  <c r="Z30" i="96"/>
  <c r="AA30" i="96" s="1"/>
  <c r="Y31" i="96"/>
  <c r="Y32" i="96"/>
  <c r="Y33" i="96"/>
  <c r="Y34" i="96"/>
  <c r="Y35" i="96"/>
  <c r="Y36" i="96"/>
  <c r="Y37" i="96"/>
  <c r="Y38" i="96"/>
  <c r="Y39" i="96"/>
  <c r="Y40" i="96"/>
  <c r="Y41" i="96"/>
  <c r="Y42" i="96"/>
  <c r="Y43" i="96"/>
  <c r="Y44" i="96"/>
  <c r="Y45" i="96"/>
  <c r="Y46" i="96"/>
  <c r="Y47" i="96"/>
  <c r="Y48" i="96"/>
  <c r="Y49" i="96"/>
  <c r="Y50" i="96"/>
  <c r="Y51" i="96"/>
  <c r="Y52" i="96"/>
  <c r="Y53" i="96"/>
  <c r="Y54" i="96"/>
  <c r="Y55" i="96"/>
  <c r="Y56" i="96"/>
  <c r="Y57" i="96"/>
  <c r="Y58" i="96"/>
  <c r="Y59" i="96"/>
  <c r="Y60" i="96"/>
  <c r="Y61" i="96"/>
  <c r="Y62" i="96"/>
  <c r="Y63" i="96"/>
  <c r="Y64" i="96"/>
  <c r="Y65" i="96"/>
  <c r="Y66" i="96"/>
  <c r="Y67" i="96"/>
  <c r="Y68" i="96"/>
  <c r="Y69" i="96"/>
  <c r="Y70" i="96"/>
  <c r="Y71" i="96"/>
  <c r="Y72" i="96"/>
  <c r="Y73" i="96"/>
  <c r="Y74" i="96"/>
  <c r="Y75" i="96"/>
  <c r="Y76" i="96"/>
  <c r="Y77" i="96"/>
  <c r="Y78" i="96"/>
  <c r="Y79" i="96"/>
  <c r="Y80" i="96"/>
  <c r="Y81" i="96"/>
  <c r="Y82" i="96"/>
  <c r="Y83" i="96"/>
  <c r="Y84" i="96"/>
  <c r="Y85" i="96"/>
  <c r="Y86" i="96"/>
  <c r="Y87" i="96"/>
  <c r="Y88" i="96"/>
  <c r="Y89" i="96"/>
  <c r="Y90" i="96"/>
  <c r="Y91" i="96"/>
  <c r="Y92" i="96"/>
  <c r="Y93" i="96"/>
  <c r="Y94" i="96"/>
  <c r="Y95" i="96"/>
  <c r="Y96" i="96"/>
  <c r="Y97" i="96"/>
  <c r="Y98" i="96"/>
  <c r="Y99" i="96"/>
  <c r="Y100" i="96"/>
  <c r="Y101" i="96"/>
  <c r="Y102" i="96"/>
  <c r="Y103" i="96"/>
  <c r="Y104" i="96"/>
  <c r="Y105" i="96"/>
  <c r="Y106" i="96"/>
  <c r="Y107" i="96"/>
  <c r="Y108" i="96"/>
  <c r="Y109" i="96"/>
  <c r="Y110" i="96"/>
  <c r="Y111" i="96"/>
  <c r="Y112" i="96"/>
  <c r="Y113" i="96"/>
  <c r="Y114" i="96"/>
  <c r="Y115" i="96"/>
  <c r="Y116" i="96"/>
  <c r="Y117" i="96"/>
  <c r="Y118" i="96"/>
  <c r="Y119" i="96"/>
  <c r="Y120" i="96"/>
  <c r="Y121" i="96"/>
  <c r="Y122" i="96"/>
  <c r="Y123" i="96"/>
  <c r="Y124" i="96"/>
  <c r="Y125" i="96"/>
  <c r="Y126" i="96"/>
  <c r="Y127" i="96"/>
  <c r="Y128" i="96"/>
  <c r="Y129" i="96"/>
  <c r="Y130" i="96"/>
  <c r="Y131" i="96"/>
  <c r="Y132" i="96"/>
  <c r="Y133" i="96"/>
  <c r="Y134" i="96"/>
  <c r="Y135" i="96"/>
  <c r="Y136" i="96"/>
  <c r="Y137" i="96"/>
  <c r="Y138" i="96"/>
  <c r="Y139" i="96"/>
  <c r="Y140" i="96"/>
  <c r="Y141" i="96"/>
  <c r="Y142" i="96"/>
  <c r="Y143" i="96"/>
  <c r="Y144" i="96"/>
  <c r="Y145" i="96"/>
  <c r="Y146" i="96"/>
  <c r="Y147" i="96"/>
  <c r="Y148" i="96"/>
  <c r="Y149" i="96"/>
  <c r="Y150" i="96"/>
  <c r="Y151" i="96"/>
  <c r="Y152" i="96"/>
  <c r="Y153" i="96"/>
  <c r="Y154" i="96"/>
  <c r="Y155" i="96"/>
  <c r="Y156" i="96"/>
  <c r="Y157" i="96"/>
  <c r="Y158" i="96"/>
  <c r="Y159" i="96"/>
  <c r="Y160" i="96"/>
  <c r="Y161" i="96"/>
  <c r="Y162" i="96"/>
  <c r="Y163" i="96"/>
  <c r="Y164" i="96"/>
  <c r="Y165" i="96"/>
  <c r="Y166" i="96"/>
  <c r="Y167" i="96"/>
  <c r="Y168" i="96"/>
  <c r="Y169" i="96"/>
  <c r="Y170" i="96"/>
  <c r="Y171" i="96"/>
  <c r="Y172" i="96"/>
  <c r="Y173" i="96"/>
  <c r="Y174" i="96"/>
  <c r="Y175" i="96"/>
  <c r="Y176" i="96"/>
  <c r="Y177" i="96"/>
  <c r="Y178" i="96"/>
  <c r="Y179" i="96"/>
  <c r="Y180" i="96"/>
  <c r="Y181" i="96"/>
  <c r="Y182" i="96"/>
  <c r="Y183" i="96"/>
  <c r="Y184" i="96"/>
  <c r="Y185" i="96"/>
  <c r="Y186" i="96"/>
  <c r="Y187" i="96"/>
  <c r="Y188" i="96"/>
  <c r="Y189" i="96"/>
  <c r="Y190" i="96"/>
  <c r="Y191" i="96"/>
  <c r="Y192" i="96"/>
  <c r="Y193" i="96"/>
  <c r="Y194" i="96"/>
  <c r="Y195" i="96"/>
  <c r="Y196" i="96"/>
  <c r="Y197" i="96"/>
  <c r="Y198" i="96"/>
  <c r="Y199" i="96"/>
  <c r="Y200" i="96"/>
  <c r="Y201" i="96"/>
  <c r="Y202" i="96"/>
  <c r="Y203" i="96"/>
  <c r="Y204" i="96"/>
  <c r="Y205" i="96"/>
  <c r="Y206" i="96"/>
  <c r="Y207" i="96"/>
  <c r="Y208" i="96"/>
  <c r="Y209" i="96"/>
  <c r="Y210" i="96"/>
  <c r="Y211" i="96"/>
  <c r="Y212" i="96"/>
  <c r="Y213" i="96"/>
  <c r="Y214" i="96"/>
  <c r="Y215" i="96"/>
  <c r="Y216" i="96"/>
  <c r="Y217" i="96"/>
  <c r="Y218" i="96"/>
  <c r="Y219" i="96"/>
  <c r="Y220" i="96"/>
  <c r="Y221" i="96"/>
  <c r="Y222" i="96"/>
  <c r="Y223" i="96"/>
  <c r="Y224" i="96"/>
  <c r="Y225" i="96"/>
  <c r="Y226" i="96"/>
  <c r="Y227" i="96"/>
  <c r="Y228" i="96"/>
  <c r="Y229" i="96"/>
  <c r="Y230" i="96"/>
  <c r="Y231" i="96"/>
  <c r="Y232" i="96"/>
  <c r="Y233" i="96"/>
  <c r="Y234" i="96"/>
  <c r="Y235" i="96"/>
  <c r="Y236" i="96"/>
  <c r="Y237" i="96"/>
  <c r="Y238" i="96"/>
  <c r="Y239" i="96"/>
  <c r="Y240" i="96"/>
  <c r="Y241" i="96"/>
  <c r="Y242" i="96"/>
  <c r="Y243" i="96"/>
  <c r="Y244" i="96"/>
  <c r="Y245" i="96"/>
  <c r="Y246" i="96"/>
  <c r="Y247" i="96"/>
  <c r="Y248" i="96"/>
  <c r="Y249" i="96"/>
  <c r="Y250" i="96"/>
  <c r="Y251" i="96"/>
  <c r="Y252" i="96"/>
  <c r="Y253" i="96"/>
  <c r="Y254" i="96"/>
  <c r="Y255" i="96"/>
  <c r="Y256" i="96"/>
  <c r="Y257" i="96"/>
  <c r="Y258" i="96"/>
  <c r="Y259" i="96"/>
  <c r="Y260" i="96"/>
  <c r="Y261" i="96"/>
  <c r="Y262" i="96"/>
  <c r="Y263" i="96"/>
  <c r="Y264" i="96"/>
  <c r="Y265" i="96"/>
  <c r="Y266" i="96"/>
  <c r="Y267" i="96"/>
  <c r="Y268" i="96"/>
  <c r="Y269" i="96"/>
  <c r="Y270" i="96"/>
  <c r="Y271" i="96"/>
  <c r="Y272" i="96"/>
  <c r="Y273" i="96"/>
  <c r="Y274" i="96"/>
  <c r="Y275" i="96"/>
  <c r="Y276" i="96"/>
  <c r="Y277" i="96"/>
  <c r="Y278" i="96"/>
  <c r="Y279" i="96"/>
  <c r="Y280" i="96"/>
  <c r="Y281" i="96"/>
  <c r="Y282" i="96"/>
  <c r="Y283" i="96"/>
  <c r="Y284" i="96"/>
  <c r="Y285" i="96"/>
  <c r="Y286" i="96"/>
  <c r="Y287" i="96"/>
  <c r="Y288" i="96"/>
  <c r="Y289" i="96"/>
  <c r="Y290" i="96"/>
  <c r="Y291" i="96"/>
  <c r="Y292" i="96"/>
  <c r="Y293" i="96"/>
  <c r="Y294" i="96"/>
  <c r="Y295" i="96"/>
  <c r="Y296" i="96"/>
  <c r="Y297" i="96"/>
  <c r="Y298" i="96"/>
  <c r="Y299" i="96"/>
  <c r="Y300" i="96"/>
  <c r="Y301" i="96"/>
  <c r="Y302" i="96"/>
  <c r="Y303" i="96"/>
  <c r="Y304" i="96"/>
  <c r="Y305" i="96"/>
  <c r="Y306" i="96"/>
  <c r="Y307" i="96"/>
  <c r="Y308" i="96"/>
  <c r="Y309" i="96"/>
  <c r="Y310" i="96"/>
  <c r="Y311" i="96"/>
  <c r="Y312" i="96"/>
  <c r="Y313" i="96"/>
  <c r="Y314" i="96"/>
  <c r="Y315" i="96"/>
  <c r="Y316" i="96"/>
  <c r="Y317" i="96"/>
  <c r="Y318" i="96"/>
  <c r="Y319" i="96"/>
  <c r="Y320" i="96"/>
  <c r="Y321" i="96"/>
  <c r="Y322" i="96"/>
  <c r="Y323" i="96"/>
  <c r="Y324" i="96"/>
  <c r="Y325" i="96"/>
  <c r="Y326" i="96"/>
  <c r="Y327" i="96"/>
  <c r="Y328" i="96"/>
  <c r="Y329" i="96"/>
  <c r="Y330" i="96"/>
  <c r="Y331" i="96"/>
  <c r="Y332" i="96"/>
  <c r="Y333" i="96"/>
  <c r="Y334" i="96"/>
  <c r="Y335" i="96"/>
  <c r="Y336" i="96"/>
  <c r="Y337" i="96"/>
  <c r="Y338" i="96"/>
  <c r="Y339" i="96"/>
  <c r="Y340" i="96"/>
  <c r="Y341" i="96"/>
  <c r="Y342" i="96"/>
  <c r="Y343" i="96"/>
  <c r="Y344" i="96"/>
  <c r="Y345" i="96"/>
  <c r="Y346" i="96"/>
  <c r="Y347" i="96"/>
  <c r="Y348" i="96"/>
  <c r="Y349" i="96"/>
  <c r="Y350" i="96"/>
  <c r="Y351" i="96"/>
  <c r="Y352" i="96"/>
  <c r="Y353" i="96"/>
  <c r="Y354" i="96"/>
  <c r="Y355" i="96"/>
  <c r="Y356" i="96"/>
  <c r="Y357" i="96"/>
  <c r="Y358" i="96"/>
  <c r="Y359" i="96"/>
  <c r="Y360" i="96"/>
  <c r="Y361" i="96"/>
  <c r="I31" i="96"/>
  <c r="I32" i="96"/>
  <c r="I33" i="96"/>
  <c r="I34" i="96"/>
  <c r="I35" i="96"/>
  <c r="I36" i="96"/>
  <c r="I37" i="96"/>
  <c r="I38" i="96"/>
  <c r="I39" i="96"/>
  <c r="I40" i="96"/>
  <c r="I41" i="96"/>
  <c r="I42" i="96"/>
  <c r="I43" i="96"/>
  <c r="I44" i="96"/>
  <c r="I45" i="96"/>
  <c r="I46" i="96"/>
  <c r="I47" i="96"/>
  <c r="I48" i="96"/>
  <c r="I49" i="96"/>
  <c r="I50" i="96"/>
  <c r="I51" i="96"/>
  <c r="I52" i="96"/>
  <c r="I53" i="96"/>
  <c r="I54" i="96"/>
  <c r="I55" i="96"/>
  <c r="I56" i="96"/>
  <c r="I57" i="96"/>
  <c r="I58" i="96"/>
  <c r="I59" i="96"/>
  <c r="I60" i="96"/>
  <c r="I61" i="96"/>
  <c r="I62" i="96"/>
  <c r="I63" i="96"/>
  <c r="I64" i="96"/>
  <c r="I65" i="96"/>
  <c r="I66" i="96"/>
  <c r="I67" i="96"/>
  <c r="I68" i="96"/>
  <c r="I69" i="96"/>
  <c r="I70" i="96"/>
  <c r="I71" i="96"/>
  <c r="I72" i="96"/>
  <c r="I73" i="96"/>
  <c r="I74" i="96"/>
  <c r="I75" i="96"/>
  <c r="I76" i="96"/>
  <c r="I77" i="96"/>
  <c r="I78" i="96"/>
  <c r="I79" i="96"/>
  <c r="I80" i="96"/>
  <c r="I81" i="96"/>
  <c r="I82" i="96"/>
  <c r="I83" i="96"/>
  <c r="I84" i="96"/>
  <c r="I85" i="96"/>
  <c r="I86" i="96"/>
  <c r="I87" i="96"/>
  <c r="I88" i="96"/>
  <c r="I89" i="96"/>
  <c r="I90" i="96"/>
  <c r="I91" i="96"/>
  <c r="I92" i="96"/>
  <c r="I93" i="96"/>
  <c r="I94" i="96"/>
  <c r="I95" i="96"/>
  <c r="I96" i="96"/>
  <c r="I97" i="96"/>
  <c r="I98" i="96"/>
  <c r="I99" i="96"/>
  <c r="I100" i="96"/>
  <c r="I101" i="96"/>
  <c r="I102" i="96"/>
  <c r="I103" i="96"/>
  <c r="I104" i="96"/>
  <c r="I105" i="96"/>
  <c r="I106" i="96"/>
  <c r="I107" i="96"/>
  <c r="I108" i="96"/>
  <c r="I109" i="96"/>
  <c r="I110" i="96"/>
  <c r="I111" i="96"/>
  <c r="I112" i="96"/>
  <c r="I113" i="96"/>
  <c r="I114" i="96"/>
  <c r="I115" i="96"/>
  <c r="I116" i="96"/>
  <c r="I117" i="96"/>
  <c r="I118" i="96"/>
  <c r="I119" i="96"/>
  <c r="I120" i="96"/>
  <c r="I121" i="96"/>
  <c r="I122" i="96"/>
  <c r="I123" i="96"/>
  <c r="I124" i="96"/>
  <c r="I125" i="96"/>
  <c r="I126" i="96"/>
  <c r="I127" i="96"/>
  <c r="I128" i="96"/>
  <c r="I129" i="96"/>
  <c r="I130" i="96"/>
  <c r="I131" i="96"/>
  <c r="I132" i="96"/>
  <c r="I133" i="96"/>
  <c r="I134" i="96"/>
  <c r="I135" i="96"/>
  <c r="I136" i="96"/>
  <c r="I137" i="96"/>
  <c r="I138" i="96"/>
  <c r="I139" i="96"/>
  <c r="I140" i="96"/>
  <c r="I141" i="96"/>
  <c r="I142" i="96"/>
  <c r="I143" i="96"/>
  <c r="I144" i="96"/>
  <c r="I145" i="96"/>
  <c r="I146" i="96"/>
  <c r="I147" i="96"/>
  <c r="I148" i="96"/>
  <c r="I149" i="96"/>
  <c r="I150" i="96"/>
  <c r="I151" i="96"/>
  <c r="I152" i="96"/>
  <c r="I153" i="96"/>
  <c r="I154" i="96"/>
  <c r="I155" i="96"/>
  <c r="I156" i="96"/>
  <c r="I157" i="96"/>
  <c r="I158" i="96"/>
  <c r="I159" i="96"/>
  <c r="I160" i="96"/>
  <c r="I161" i="96"/>
  <c r="I162" i="96"/>
  <c r="I163" i="96"/>
  <c r="I164" i="96"/>
  <c r="I165" i="96"/>
  <c r="I166" i="96"/>
  <c r="I167" i="96"/>
  <c r="I168" i="96"/>
  <c r="I169" i="96"/>
  <c r="I170" i="96"/>
  <c r="I171" i="96"/>
  <c r="I172" i="96"/>
  <c r="I173" i="96"/>
  <c r="I174" i="96"/>
  <c r="I175" i="96"/>
  <c r="I176" i="96"/>
  <c r="I177" i="96"/>
  <c r="I178" i="96"/>
  <c r="I179" i="96"/>
  <c r="I180" i="96"/>
  <c r="I181" i="96"/>
  <c r="I182" i="96"/>
  <c r="I183" i="96"/>
  <c r="I184" i="96"/>
  <c r="I185" i="96"/>
  <c r="I186" i="96"/>
  <c r="I187" i="96"/>
  <c r="I188" i="96"/>
  <c r="I189" i="96"/>
  <c r="I190" i="96"/>
  <c r="I191" i="96"/>
  <c r="I192" i="96"/>
  <c r="I193" i="96"/>
  <c r="I194" i="96"/>
  <c r="I195" i="96"/>
  <c r="I196" i="96"/>
  <c r="I197" i="96"/>
  <c r="I198" i="96"/>
  <c r="I199" i="96"/>
  <c r="I200" i="96"/>
  <c r="I201" i="96"/>
  <c r="I202" i="96"/>
  <c r="I203" i="96"/>
  <c r="I204" i="96"/>
  <c r="I205" i="96"/>
  <c r="I206" i="96"/>
  <c r="I207" i="96"/>
  <c r="I208" i="96"/>
  <c r="I209" i="96"/>
  <c r="I210" i="96"/>
  <c r="I211" i="96"/>
  <c r="I212" i="96"/>
  <c r="I213" i="96"/>
  <c r="I214" i="96"/>
  <c r="I215" i="96"/>
  <c r="I216" i="96"/>
  <c r="I217" i="96"/>
  <c r="I218" i="96"/>
  <c r="I219" i="96"/>
  <c r="I220" i="96"/>
  <c r="I221" i="96"/>
  <c r="I222" i="96"/>
  <c r="I223" i="96"/>
  <c r="I224" i="96"/>
  <c r="I225" i="96"/>
  <c r="I226" i="96"/>
  <c r="I227" i="96"/>
  <c r="I228" i="96"/>
  <c r="I229" i="96"/>
  <c r="I230" i="96"/>
  <c r="I231" i="96"/>
  <c r="I232" i="96"/>
  <c r="I233" i="96"/>
  <c r="I234" i="96"/>
  <c r="I235" i="96"/>
  <c r="I236" i="96"/>
  <c r="I237" i="96"/>
  <c r="I238" i="96"/>
  <c r="I239" i="96"/>
  <c r="I240" i="96"/>
  <c r="I241" i="96"/>
  <c r="I242" i="96"/>
  <c r="I243" i="96"/>
  <c r="I244" i="96"/>
  <c r="I245" i="96"/>
  <c r="I246" i="96"/>
  <c r="I247" i="96"/>
  <c r="I248" i="96"/>
  <c r="I249" i="96"/>
  <c r="I250" i="96"/>
  <c r="I251" i="96"/>
  <c r="I252" i="96"/>
  <c r="I253" i="96"/>
  <c r="I254" i="96"/>
  <c r="I255" i="96"/>
  <c r="I256" i="96"/>
  <c r="I257" i="96"/>
  <c r="I258" i="96"/>
  <c r="I259" i="96"/>
  <c r="I260" i="96"/>
  <c r="I261" i="96"/>
  <c r="I262" i="96"/>
  <c r="I263" i="96"/>
  <c r="I264" i="96"/>
  <c r="I265" i="96"/>
  <c r="I266" i="96"/>
  <c r="I267" i="96"/>
  <c r="I268" i="96"/>
  <c r="I269" i="96"/>
  <c r="I270" i="96"/>
  <c r="I271" i="96"/>
  <c r="I272" i="96"/>
  <c r="I273" i="96"/>
  <c r="I274" i="96"/>
  <c r="I275" i="96"/>
  <c r="I276" i="96"/>
  <c r="I277" i="96"/>
  <c r="I278" i="96"/>
  <c r="I279" i="96"/>
  <c r="I280" i="96"/>
  <c r="I281" i="96"/>
  <c r="I282" i="96"/>
  <c r="I283" i="96"/>
  <c r="I284" i="96"/>
  <c r="I285" i="96"/>
  <c r="I286" i="96"/>
  <c r="I287" i="96"/>
  <c r="I288" i="96"/>
  <c r="I289" i="96"/>
  <c r="I290" i="96"/>
  <c r="I291" i="96"/>
  <c r="I292" i="96"/>
  <c r="I293" i="96"/>
  <c r="I294" i="96"/>
  <c r="I295" i="96"/>
  <c r="I296" i="96"/>
  <c r="I297" i="96"/>
  <c r="I298" i="96"/>
  <c r="I299" i="96"/>
  <c r="I300" i="96"/>
  <c r="I301" i="96"/>
  <c r="I302" i="96"/>
  <c r="I303" i="96"/>
  <c r="I304" i="96"/>
  <c r="I305" i="96"/>
  <c r="I306" i="96"/>
  <c r="I307" i="96"/>
  <c r="I308" i="96"/>
  <c r="I309" i="96"/>
  <c r="I310" i="96"/>
  <c r="I311" i="96"/>
  <c r="I312" i="96"/>
  <c r="I313" i="96"/>
  <c r="I314" i="96"/>
  <c r="I315" i="96"/>
  <c r="I316" i="96"/>
  <c r="I317" i="96"/>
  <c r="I318" i="96"/>
  <c r="I319" i="96"/>
  <c r="I320" i="96"/>
  <c r="I321" i="96"/>
  <c r="I322" i="96"/>
  <c r="I323" i="96"/>
  <c r="I324" i="96"/>
  <c r="I325" i="96"/>
  <c r="I326" i="96"/>
  <c r="I327" i="96"/>
  <c r="I328" i="96"/>
  <c r="I329" i="96"/>
  <c r="I330" i="96"/>
  <c r="I331" i="96"/>
  <c r="I332" i="96"/>
  <c r="I333" i="96"/>
  <c r="I334" i="96"/>
  <c r="I335" i="96"/>
  <c r="I336" i="96"/>
  <c r="I337" i="96"/>
  <c r="I338" i="96"/>
  <c r="I339" i="96"/>
  <c r="I340" i="96"/>
  <c r="I341" i="96"/>
  <c r="I342" i="96"/>
  <c r="I343" i="96"/>
  <c r="I344" i="96"/>
  <c r="I345" i="96"/>
  <c r="I346" i="96"/>
  <c r="I347" i="96"/>
  <c r="I348" i="96"/>
  <c r="I349" i="96"/>
  <c r="I350" i="96"/>
  <c r="I351" i="96"/>
  <c r="I352" i="96"/>
  <c r="I353" i="96"/>
  <c r="I354" i="96"/>
  <c r="I355" i="96"/>
  <c r="I356" i="96"/>
  <c r="I357" i="96"/>
  <c r="I358" i="96"/>
  <c r="I359" i="96"/>
  <c r="I360" i="96"/>
  <c r="I361" i="96"/>
  <c r="E31" i="96"/>
  <c r="AB31" i="96" s="1"/>
  <c r="E32" i="96"/>
  <c r="AB32" i="96" s="1"/>
  <c r="E33" i="96"/>
  <c r="AB33" i="96" s="1"/>
  <c r="E34" i="96"/>
  <c r="AB34" i="96" s="1"/>
  <c r="E35" i="96"/>
  <c r="AB35" i="96" s="1"/>
  <c r="E36" i="96"/>
  <c r="AB36" i="96" s="1"/>
  <c r="E37" i="96"/>
  <c r="AB37" i="96" s="1"/>
  <c r="E38" i="96"/>
  <c r="AB38" i="96" s="1"/>
  <c r="E39" i="96"/>
  <c r="AB39" i="96" s="1"/>
  <c r="E40" i="96"/>
  <c r="AB40" i="96" s="1"/>
  <c r="E41" i="96"/>
  <c r="AB41" i="96" s="1"/>
  <c r="E42" i="96"/>
  <c r="AB42" i="96" s="1"/>
  <c r="E43" i="96"/>
  <c r="AB43" i="96" s="1"/>
  <c r="E44" i="96"/>
  <c r="AB44" i="96" s="1"/>
  <c r="E45" i="96"/>
  <c r="AB45" i="96" s="1"/>
  <c r="E46" i="96"/>
  <c r="AB46" i="96" s="1"/>
  <c r="E47" i="96"/>
  <c r="AB47" i="96" s="1"/>
  <c r="E48" i="96"/>
  <c r="AB48" i="96" s="1"/>
  <c r="E49" i="96"/>
  <c r="AB49" i="96" s="1"/>
  <c r="E50" i="96"/>
  <c r="AB50" i="96" s="1"/>
  <c r="E51" i="96"/>
  <c r="AB51" i="96" s="1"/>
  <c r="E52" i="96"/>
  <c r="AB52" i="96" s="1"/>
  <c r="E53" i="96"/>
  <c r="AB53" i="96" s="1"/>
  <c r="E54" i="96"/>
  <c r="AB54" i="96" s="1"/>
  <c r="E55" i="96"/>
  <c r="AB55" i="96" s="1"/>
  <c r="E56" i="96"/>
  <c r="AB56" i="96" s="1"/>
  <c r="E57" i="96"/>
  <c r="AB57" i="96" s="1"/>
  <c r="E58" i="96"/>
  <c r="AB58" i="96" s="1"/>
  <c r="E59" i="96"/>
  <c r="AB59" i="96" s="1"/>
  <c r="E60" i="96"/>
  <c r="AB60" i="96" s="1"/>
  <c r="E61" i="96"/>
  <c r="AB61" i="96" s="1"/>
  <c r="E62" i="96"/>
  <c r="AB62" i="96" s="1"/>
  <c r="E63" i="96"/>
  <c r="AB63" i="96" s="1"/>
  <c r="E64" i="96"/>
  <c r="AB64" i="96" s="1"/>
  <c r="E65" i="96"/>
  <c r="AB65" i="96" s="1"/>
  <c r="E66" i="96"/>
  <c r="AB66" i="96" s="1"/>
  <c r="E67" i="96"/>
  <c r="AB67" i="96" s="1"/>
  <c r="E68" i="96"/>
  <c r="AB68" i="96" s="1"/>
  <c r="E69" i="96"/>
  <c r="AB69" i="96" s="1"/>
  <c r="E70" i="96"/>
  <c r="AB70" i="96" s="1"/>
  <c r="E71" i="96"/>
  <c r="AB71" i="96" s="1"/>
  <c r="E72" i="96"/>
  <c r="AB72" i="96" s="1"/>
  <c r="E73" i="96"/>
  <c r="AB73" i="96" s="1"/>
  <c r="E74" i="96"/>
  <c r="AB74" i="96" s="1"/>
  <c r="E75" i="96"/>
  <c r="AB75" i="96" s="1"/>
  <c r="E76" i="96"/>
  <c r="AB76" i="96" s="1"/>
  <c r="E77" i="96"/>
  <c r="AB77" i="96" s="1"/>
  <c r="E78" i="96"/>
  <c r="AB78" i="96" s="1"/>
  <c r="E79" i="96"/>
  <c r="E80" i="96"/>
  <c r="AB80" i="96" s="1"/>
  <c r="E81" i="96"/>
  <c r="AB81" i="96" s="1"/>
  <c r="E82" i="96"/>
  <c r="AB82" i="96" s="1"/>
  <c r="E83" i="96"/>
  <c r="AB83" i="96" s="1"/>
  <c r="E84" i="96"/>
  <c r="AB84" i="96" s="1"/>
  <c r="E85" i="96"/>
  <c r="AB85" i="96" s="1"/>
  <c r="E86" i="96"/>
  <c r="AB86" i="96" s="1"/>
  <c r="E87" i="96"/>
  <c r="AB87" i="96" s="1"/>
  <c r="E88" i="96"/>
  <c r="AB88" i="96" s="1"/>
  <c r="E89" i="96"/>
  <c r="AB89" i="96" s="1"/>
  <c r="E90" i="96"/>
  <c r="AB90" i="96" s="1"/>
  <c r="E91" i="96"/>
  <c r="AB91" i="96" s="1"/>
  <c r="E92" i="96"/>
  <c r="AB92" i="96" s="1"/>
  <c r="E93" i="96"/>
  <c r="AB93" i="96" s="1"/>
  <c r="E94" i="96"/>
  <c r="AB94" i="96" s="1"/>
  <c r="E95" i="96"/>
  <c r="AB95" i="96" s="1"/>
  <c r="E96" i="96"/>
  <c r="AB96" i="96" s="1"/>
  <c r="E97" i="96"/>
  <c r="AB97" i="96" s="1"/>
  <c r="E98" i="96"/>
  <c r="AB98" i="96" s="1"/>
  <c r="E99" i="96"/>
  <c r="AB99" i="96" s="1"/>
  <c r="E100" i="96"/>
  <c r="AB100" i="96" s="1"/>
  <c r="E101" i="96"/>
  <c r="AB101" i="96" s="1"/>
  <c r="E102" i="96"/>
  <c r="AB102" i="96" s="1"/>
  <c r="E103" i="96"/>
  <c r="AB103" i="96" s="1"/>
  <c r="E104" i="96"/>
  <c r="AB104" i="96" s="1"/>
  <c r="E105" i="96"/>
  <c r="AB105" i="96" s="1"/>
  <c r="E106" i="96"/>
  <c r="AB106" i="96" s="1"/>
  <c r="E107" i="96"/>
  <c r="AB107" i="96" s="1"/>
  <c r="E108" i="96"/>
  <c r="AB108" i="96" s="1"/>
  <c r="E109" i="96"/>
  <c r="AB109" i="96" s="1"/>
  <c r="E110" i="96"/>
  <c r="AB110" i="96" s="1"/>
  <c r="E111" i="96"/>
  <c r="AB111" i="96" s="1"/>
  <c r="E112" i="96"/>
  <c r="AB112" i="96" s="1"/>
  <c r="E113" i="96"/>
  <c r="AB113" i="96" s="1"/>
  <c r="E114" i="96"/>
  <c r="AB114" i="96" s="1"/>
  <c r="E115" i="96"/>
  <c r="AB115" i="96" s="1"/>
  <c r="E116" i="96"/>
  <c r="AB116" i="96" s="1"/>
  <c r="E117" i="96"/>
  <c r="AB117" i="96" s="1"/>
  <c r="E118" i="96"/>
  <c r="AB118" i="96" s="1"/>
  <c r="E119" i="96"/>
  <c r="AB119" i="96" s="1"/>
  <c r="E120" i="96"/>
  <c r="AB120" i="96" s="1"/>
  <c r="E121" i="96"/>
  <c r="AB121" i="96" s="1"/>
  <c r="E122" i="96"/>
  <c r="AB122" i="96" s="1"/>
  <c r="E123" i="96"/>
  <c r="AB123" i="96" s="1"/>
  <c r="E124" i="96"/>
  <c r="AB124" i="96" s="1"/>
  <c r="E125" i="96"/>
  <c r="AB125" i="96" s="1"/>
  <c r="E126" i="96"/>
  <c r="AB126" i="96" s="1"/>
  <c r="E127" i="96"/>
  <c r="AB127" i="96" s="1"/>
  <c r="E128" i="96"/>
  <c r="AB128" i="96" s="1"/>
  <c r="E129" i="96"/>
  <c r="AB129" i="96" s="1"/>
  <c r="E130" i="96"/>
  <c r="AB130" i="96" s="1"/>
  <c r="E131" i="96"/>
  <c r="AB131" i="96" s="1"/>
  <c r="E132" i="96"/>
  <c r="AB132" i="96" s="1"/>
  <c r="E133" i="96"/>
  <c r="AB133" i="96" s="1"/>
  <c r="E134" i="96"/>
  <c r="AB134" i="96" s="1"/>
  <c r="E135" i="96"/>
  <c r="AB135" i="96" s="1"/>
  <c r="E136" i="96"/>
  <c r="AB136" i="96" s="1"/>
  <c r="E137" i="96"/>
  <c r="AB137" i="96" s="1"/>
  <c r="E138" i="96"/>
  <c r="AB138" i="96" s="1"/>
  <c r="E139" i="96"/>
  <c r="AB139" i="96" s="1"/>
  <c r="E140" i="96"/>
  <c r="AB140" i="96" s="1"/>
  <c r="E141" i="96"/>
  <c r="AB141" i="96" s="1"/>
  <c r="E142" i="96"/>
  <c r="AB142" i="96" s="1"/>
  <c r="E143" i="96"/>
  <c r="E144" i="96"/>
  <c r="AB144" i="96" s="1"/>
  <c r="E145" i="96"/>
  <c r="AB145" i="96" s="1"/>
  <c r="E146" i="96"/>
  <c r="AB146" i="96" s="1"/>
  <c r="E147" i="96"/>
  <c r="AB147" i="96" s="1"/>
  <c r="E148" i="96"/>
  <c r="AB148" i="96" s="1"/>
  <c r="E149" i="96"/>
  <c r="AB149" i="96" s="1"/>
  <c r="E150" i="96"/>
  <c r="AB150" i="96" s="1"/>
  <c r="E151" i="96"/>
  <c r="AB151" i="96" s="1"/>
  <c r="E152" i="96"/>
  <c r="AB152" i="96" s="1"/>
  <c r="E153" i="96"/>
  <c r="AB153" i="96" s="1"/>
  <c r="E154" i="96"/>
  <c r="AB154" i="96" s="1"/>
  <c r="E155" i="96"/>
  <c r="AB155" i="96" s="1"/>
  <c r="E156" i="96"/>
  <c r="AB156" i="96" s="1"/>
  <c r="E157" i="96"/>
  <c r="AB157" i="96" s="1"/>
  <c r="E158" i="96"/>
  <c r="AB158" i="96" s="1"/>
  <c r="E159" i="96"/>
  <c r="AB159" i="96" s="1"/>
  <c r="E160" i="96"/>
  <c r="AB160" i="96" s="1"/>
  <c r="E161" i="96"/>
  <c r="AB161" i="96" s="1"/>
  <c r="E162" i="96"/>
  <c r="AB162" i="96" s="1"/>
  <c r="E163" i="96"/>
  <c r="AB163" i="96" s="1"/>
  <c r="E164" i="96"/>
  <c r="AB164" i="96" s="1"/>
  <c r="E165" i="96"/>
  <c r="AB165" i="96" s="1"/>
  <c r="E166" i="96"/>
  <c r="AB166" i="96" s="1"/>
  <c r="E167" i="96"/>
  <c r="AB167" i="96" s="1"/>
  <c r="E168" i="96"/>
  <c r="AB168" i="96" s="1"/>
  <c r="E169" i="96"/>
  <c r="AB169" i="96" s="1"/>
  <c r="E170" i="96"/>
  <c r="AB170" i="96" s="1"/>
  <c r="E171" i="96"/>
  <c r="AB171" i="96" s="1"/>
  <c r="E172" i="96"/>
  <c r="AB172" i="96" s="1"/>
  <c r="E173" i="96"/>
  <c r="AB173" i="96" s="1"/>
  <c r="E174" i="96"/>
  <c r="AB174" i="96" s="1"/>
  <c r="E175" i="96"/>
  <c r="AB175" i="96" s="1"/>
  <c r="E176" i="96"/>
  <c r="AB176" i="96" s="1"/>
  <c r="E177" i="96"/>
  <c r="AB177" i="96" s="1"/>
  <c r="E178" i="96"/>
  <c r="AB178" i="96" s="1"/>
  <c r="E179" i="96"/>
  <c r="AB179" i="96" s="1"/>
  <c r="E180" i="96"/>
  <c r="AB180" i="96" s="1"/>
  <c r="E181" i="96"/>
  <c r="AB181" i="96" s="1"/>
  <c r="E182" i="96"/>
  <c r="AB182" i="96" s="1"/>
  <c r="E183" i="96"/>
  <c r="AB183" i="96" s="1"/>
  <c r="E184" i="96"/>
  <c r="AB184" i="96" s="1"/>
  <c r="E185" i="96"/>
  <c r="AB185" i="96" s="1"/>
  <c r="E186" i="96"/>
  <c r="AB186" i="96" s="1"/>
  <c r="E187" i="96"/>
  <c r="AB187" i="96" s="1"/>
  <c r="E188" i="96"/>
  <c r="AB188" i="96" s="1"/>
  <c r="E189" i="96"/>
  <c r="AB189" i="96" s="1"/>
  <c r="E190" i="96"/>
  <c r="AB190" i="96" s="1"/>
  <c r="E191" i="96"/>
  <c r="AB191" i="96" s="1"/>
  <c r="E192" i="96"/>
  <c r="AB192" i="96" s="1"/>
  <c r="E193" i="96"/>
  <c r="AB193" i="96" s="1"/>
  <c r="E194" i="96"/>
  <c r="AB194" i="96" s="1"/>
  <c r="E195" i="96"/>
  <c r="AB195" i="96" s="1"/>
  <c r="E196" i="96"/>
  <c r="AB196" i="96" s="1"/>
  <c r="E197" i="96"/>
  <c r="AB197" i="96" s="1"/>
  <c r="E198" i="96"/>
  <c r="AB198" i="96" s="1"/>
  <c r="E199" i="96"/>
  <c r="AB199" i="96" s="1"/>
  <c r="E200" i="96"/>
  <c r="AB200" i="96" s="1"/>
  <c r="E201" i="96"/>
  <c r="AB201" i="96" s="1"/>
  <c r="E202" i="96"/>
  <c r="AB202" i="96" s="1"/>
  <c r="E203" i="96"/>
  <c r="AB203" i="96" s="1"/>
  <c r="E204" i="96"/>
  <c r="AB204" i="96" s="1"/>
  <c r="E205" i="96"/>
  <c r="AB205" i="96" s="1"/>
  <c r="E206" i="96"/>
  <c r="AB206" i="96" s="1"/>
  <c r="E207" i="96"/>
  <c r="E208" i="96"/>
  <c r="AB208" i="96" s="1"/>
  <c r="E209" i="96"/>
  <c r="AB209" i="96" s="1"/>
  <c r="E210" i="96"/>
  <c r="AB210" i="96" s="1"/>
  <c r="E211" i="96"/>
  <c r="AB211" i="96" s="1"/>
  <c r="E212" i="96"/>
  <c r="AB212" i="96" s="1"/>
  <c r="E213" i="96"/>
  <c r="AB213" i="96" s="1"/>
  <c r="E214" i="96"/>
  <c r="AB214" i="96" s="1"/>
  <c r="E215" i="96"/>
  <c r="AB215" i="96" s="1"/>
  <c r="E216" i="96"/>
  <c r="AB216" i="96" s="1"/>
  <c r="E217" i="96"/>
  <c r="AB217" i="96" s="1"/>
  <c r="E218" i="96"/>
  <c r="AB218" i="96" s="1"/>
  <c r="E219" i="96"/>
  <c r="AB219" i="96" s="1"/>
  <c r="E220" i="96"/>
  <c r="AB220" i="96" s="1"/>
  <c r="E221" i="96"/>
  <c r="AB221" i="96" s="1"/>
  <c r="E222" i="96"/>
  <c r="AB222" i="96" s="1"/>
  <c r="E223" i="96"/>
  <c r="AB223" i="96" s="1"/>
  <c r="E224" i="96"/>
  <c r="AB224" i="96" s="1"/>
  <c r="E225" i="96"/>
  <c r="AB225" i="96" s="1"/>
  <c r="E226" i="96"/>
  <c r="AB226" i="96" s="1"/>
  <c r="E227" i="96"/>
  <c r="AB227" i="96" s="1"/>
  <c r="E228" i="96"/>
  <c r="AB228" i="96" s="1"/>
  <c r="E229" i="96"/>
  <c r="AB229" i="96" s="1"/>
  <c r="E230" i="96"/>
  <c r="AB230" i="96" s="1"/>
  <c r="E231" i="96"/>
  <c r="AB231" i="96" s="1"/>
  <c r="E232" i="96"/>
  <c r="AB232" i="96" s="1"/>
  <c r="E233" i="96"/>
  <c r="AB233" i="96" s="1"/>
  <c r="E234" i="96"/>
  <c r="AB234" i="96" s="1"/>
  <c r="E235" i="96"/>
  <c r="AB235" i="96" s="1"/>
  <c r="E236" i="96"/>
  <c r="AB236" i="96" s="1"/>
  <c r="E237" i="96"/>
  <c r="AB237" i="96" s="1"/>
  <c r="E238" i="96"/>
  <c r="AB238" i="96" s="1"/>
  <c r="E239" i="96"/>
  <c r="AB239" i="96" s="1"/>
  <c r="E240" i="96"/>
  <c r="AB240" i="96" s="1"/>
  <c r="E241" i="96"/>
  <c r="AB241" i="96" s="1"/>
  <c r="E242" i="96"/>
  <c r="AB242" i="96" s="1"/>
  <c r="E243" i="96"/>
  <c r="AB243" i="96" s="1"/>
  <c r="E244" i="96"/>
  <c r="AB244" i="96" s="1"/>
  <c r="E245" i="96"/>
  <c r="AB245" i="96" s="1"/>
  <c r="E246" i="96"/>
  <c r="AB246" i="96" s="1"/>
  <c r="E247" i="96"/>
  <c r="AB247" i="96" s="1"/>
  <c r="E248" i="96"/>
  <c r="AB248" i="96" s="1"/>
  <c r="E249" i="96"/>
  <c r="AB249" i="96" s="1"/>
  <c r="E250" i="96"/>
  <c r="AB250" i="96" s="1"/>
  <c r="E251" i="96"/>
  <c r="AB251" i="96" s="1"/>
  <c r="E252" i="96"/>
  <c r="AB252" i="96" s="1"/>
  <c r="E253" i="96"/>
  <c r="AB253" i="96" s="1"/>
  <c r="E254" i="96"/>
  <c r="AB254" i="96" s="1"/>
  <c r="E255" i="96"/>
  <c r="AB255" i="96" s="1"/>
  <c r="E256" i="96"/>
  <c r="AB256" i="96" s="1"/>
  <c r="E257" i="96"/>
  <c r="AB257" i="96" s="1"/>
  <c r="E258" i="96"/>
  <c r="AB258" i="96" s="1"/>
  <c r="E259" i="96"/>
  <c r="AB259" i="96" s="1"/>
  <c r="E260" i="96"/>
  <c r="AB260" i="96" s="1"/>
  <c r="E261" i="96"/>
  <c r="AB261" i="96" s="1"/>
  <c r="E262" i="96"/>
  <c r="E263" i="96"/>
  <c r="AB263" i="96" s="1"/>
  <c r="E264" i="96"/>
  <c r="AB264" i="96" s="1"/>
  <c r="E265" i="96"/>
  <c r="AB265" i="96" s="1"/>
  <c r="E266" i="96"/>
  <c r="AB266" i="96" s="1"/>
  <c r="E267" i="96"/>
  <c r="AB267" i="96" s="1"/>
  <c r="E268" i="96"/>
  <c r="AB268" i="96" s="1"/>
  <c r="E269" i="96"/>
  <c r="AB269" i="96" s="1"/>
  <c r="E270" i="96"/>
  <c r="AB270" i="96" s="1"/>
  <c r="E271" i="96"/>
  <c r="AB271" i="96" s="1"/>
  <c r="E272" i="96"/>
  <c r="AB272" i="96" s="1"/>
  <c r="E273" i="96"/>
  <c r="AB273" i="96" s="1"/>
  <c r="E274" i="96"/>
  <c r="AB274" i="96" s="1"/>
  <c r="E275" i="96"/>
  <c r="AB275" i="96" s="1"/>
  <c r="E276" i="96"/>
  <c r="AB276" i="96" s="1"/>
  <c r="E277" i="96"/>
  <c r="AB277" i="96" s="1"/>
  <c r="E278" i="96"/>
  <c r="AB278" i="96" s="1"/>
  <c r="E279" i="96"/>
  <c r="AB279" i="96" s="1"/>
  <c r="E280" i="96"/>
  <c r="AB280" i="96" s="1"/>
  <c r="E281" i="96"/>
  <c r="AB281" i="96" s="1"/>
  <c r="E282" i="96"/>
  <c r="AB282" i="96" s="1"/>
  <c r="E283" i="96"/>
  <c r="AB283" i="96" s="1"/>
  <c r="E284" i="96"/>
  <c r="AB284" i="96" s="1"/>
  <c r="E285" i="96"/>
  <c r="AB285" i="96" s="1"/>
  <c r="E286" i="96"/>
  <c r="E287" i="96"/>
  <c r="AB287" i="96" s="1"/>
  <c r="E288" i="96"/>
  <c r="AB288" i="96" s="1"/>
  <c r="E289" i="96"/>
  <c r="AB289" i="96" s="1"/>
  <c r="E290" i="96"/>
  <c r="AB290" i="96" s="1"/>
  <c r="E291" i="96"/>
  <c r="AB291" i="96" s="1"/>
  <c r="E292" i="96"/>
  <c r="AB292" i="96" s="1"/>
  <c r="E293" i="96"/>
  <c r="AB293" i="96" s="1"/>
  <c r="E294" i="96"/>
  <c r="E295" i="96"/>
  <c r="AB295" i="96" s="1"/>
  <c r="E296" i="96"/>
  <c r="AB296" i="96" s="1"/>
  <c r="E297" i="96"/>
  <c r="AB297" i="96" s="1"/>
  <c r="E298" i="96"/>
  <c r="AB298" i="96" s="1"/>
  <c r="E299" i="96"/>
  <c r="AB299" i="96" s="1"/>
  <c r="E300" i="96"/>
  <c r="AB300" i="96" s="1"/>
  <c r="E301" i="96"/>
  <c r="AB301" i="96" s="1"/>
  <c r="E302" i="96"/>
  <c r="AB302" i="96" s="1"/>
  <c r="E303" i="96"/>
  <c r="AB303" i="96" s="1"/>
  <c r="E304" i="96"/>
  <c r="AB304" i="96" s="1"/>
  <c r="E305" i="96"/>
  <c r="AB305" i="96" s="1"/>
  <c r="E306" i="96"/>
  <c r="AB306" i="96" s="1"/>
  <c r="E307" i="96"/>
  <c r="AB307" i="96" s="1"/>
  <c r="E308" i="96"/>
  <c r="AB308" i="96" s="1"/>
  <c r="E309" i="96"/>
  <c r="AB309" i="96" s="1"/>
  <c r="E310" i="96"/>
  <c r="AB310" i="96" s="1"/>
  <c r="E311" i="96"/>
  <c r="AB311" i="96" s="1"/>
  <c r="E312" i="96"/>
  <c r="AB312" i="96" s="1"/>
  <c r="E313" i="96"/>
  <c r="AB313" i="96" s="1"/>
  <c r="E314" i="96"/>
  <c r="E315" i="96"/>
  <c r="AB315" i="96" s="1"/>
  <c r="E316" i="96"/>
  <c r="AB316" i="96" s="1"/>
  <c r="E317" i="96"/>
  <c r="AB317" i="96" s="1"/>
  <c r="E318" i="96"/>
  <c r="E319" i="96"/>
  <c r="AB319" i="96" s="1"/>
  <c r="E320" i="96"/>
  <c r="AB320" i="96" s="1"/>
  <c r="E321" i="96"/>
  <c r="AB321" i="96" s="1"/>
  <c r="E322" i="96"/>
  <c r="AB322" i="96" s="1"/>
  <c r="E323" i="96"/>
  <c r="AB323" i="96" s="1"/>
  <c r="E324" i="96"/>
  <c r="AB324" i="96" s="1"/>
  <c r="E325" i="96"/>
  <c r="AB325" i="96" s="1"/>
  <c r="E326" i="96"/>
  <c r="AB326" i="96" s="1"/>
  <c r="E327" i="96"/>
  <c r="AB327" i="96" s="1"/>
  <c r="E328" i="96"/>
  <c r="AB328" i="96" s="1"/>
  <c r="E329" i="96"/>
  <c r="AB329" i="96" s="1"/>
  <c r="E330" i="96"/>
  <c r="AB330" i="96" s="1"/>
  <c r="E331" i="96"/>
  <c r="AB331" i="96" s="1"/>
  <c r="E332" i="96"/>
  <c r="AB332" i="96" s="1"/>
  <c r="E333" i="96"/>
  <c r="AB333" i="96" s="1"/>
  <c r="E334" i="96"/>
  <c r="AB334" i="96" s="1"/>
  <c r="E335" i="96"/>
  <c r="AB335" i="96" s="1"/>
  <c r="E336" i="96"/>
  <c r="AB336" i="96" s="1"/>
  <c r="E337" i="96"/>
  <c r="AB337" i="96" s="1"/>
  <c r="E338" i="96"/>
  <c r="AB338" i="96" s="1"/>
  <c r="E339" i="96"/>
  <c r="AB339" i="96" s="1"/>
  <c r="E340" i="96"/>
  <c r="AB340" i="96" s="1"/>
  <c r="E341" i="96"/>
  <c r="AB341" i="96" s="1"/>
  <c r="E342" i="96"/>
  <c r="E343" i="96"/>
  <c r="AB343" i="96" s="1"/>
  <c r="E344" i="96"/>
  <c r="AB344" i="96" s="1"/>
  <c r="E345" i="96"/>
  <c r="AB345" i="96" s="1"/>
  <c r="E346" i="96"/>
  <c r="AB346" i="96" s="1"/>
  <c r="E347" i="96"/>
  <c r="AB347" i="96" s="1"/>
  <c r="E348" i="96"/>
  <c r="AB348" i="96" s="1"/>
  <c r="E349" i="96"/>
  <c r="AB349" i="96" s="1"/>
  <c r="E350" i="96"/>
  <c r="E351" i="96"/>
  <c r="AB351" i="96" s="1"/>
  <c r="E352" i="96"/>
  <c r="AB352" i="96" s="1"/>
  <c r="E353" i="96"/>
  <c r="AB353" i="96" s="1"/>
  <c r="E354" i="96"/>
  <c r="AB354" i="96" s="1"/>
  <c r="E355" i="96"/>
  <c r="AB355" i="96" s="1"/>
  <c r="E356" i="96"/>
  <c r="AB356" i="96" s="1"/>
  <c r="E357" i="96"/>
  <c r="AB357" i="96" s="1"/>
  <c r="E358" i="96"/>
  <c r="AB358" i="96" s="1"/>
  <c r="E359" i="96"/>
  <c r="AB359" i="96" s="1"/>
  <c r="E360" i="96"/>
  <c r="AB360" i="96" s="1"/>
  <c r="E361" i="96"/>
  <c r="AB361" i="96" s="1"/>
  <c r="P359" i="96" l="1"/>
  <c r="P330" i="96"/>
  <c r="P322" i="96"/>
  <c r="P310" i="96"/>
  <c r="P250" i="96"/>
  <c r="P246" i="96"/>
  <c r="P242" i="96"/>
  <c r="P122" i="96"/>
  <c r="J21" i="99"/>
  <c r="G21" i="99" s="1"/>
  <c r="P290" i="96"/>
  <c r="P274" i="96"/>
  <c r="P222" i="96"/>
  <c r="P218" i="96"/>
  <c r="P106" i="96"/>
  <c r="P66" i="96"/>
  <c r="P346" i="96"/>
  <c r="P306" i="96"/>
  <c r="P286" i="96"/>
  <c r="P234" i="96"/>
  <c r="P150" i="96"/>
  <c r="P118" i="96"/>
  <c r="P90" i="96"/>
  <c r="P350" i="96"/>
  <c r="P318" i="96"/>
  <c r="P194" i="96"/>
  <c r="P190" i="96"/>
  <c r="P146" i="96"/>
  <c r="P114" i="96"/>
  <c r="P343" i="96"/>
  <c r="P339" i="96"/>
  <c r="P331" i="96"/>
  <c r="P327" i="96"/>
  <c r="P311" i="96"/>
  <c r="P307" i="96"/>
  <c r="P303" i="96"/>
  <c r="P295" i="96"/>
  <c r="P267" i="96"/>
  <c r="P263" i="96"/>
  <c r="P255" i="96"/>
  <c r="P251" i="96"/>
  <c r="P243" i="96"/>
  <c r="P239" i="96"/>
  <c r="P235" i="96"/>
  <c r="P223" i="96"/>
  <c r="P219" i="96"/>
  <c r="P211" i="96"/>
  <c r="P207" i="96"/>
  <c r="P203" i="96"/>
  <c r="P195" i="96"/>
  <c r="P191" i="96"/>
  <c r="P187" i="96"/>
  <c r="P179" i="96"/>
  <c r="P175" i="96"/>
  <c r="P171" i="96"/>
  <c r="P163" i="96"/>
  <c r="P159" i="96"/>
  <c r="P155" i="96"/>
  <c r="P147" i="96"/>
  <c r="P143" i="96"/>
  <c r="P139" i="96"/>
  <c r="P131" i="96"/>
  <c r="P127" i="96"/>
  <c r="P123" i="96"/>
  <c r="P115" i="96"/>
  <c r="P111" i="96"/>
  <c r="P107" i="96"/>
  <c r="P99" i="96"/>
  <c r="P95" i="96"/>
  <c r="P91" i="96"/>
  <c r="P83" i="96"/>
  <c r="P79" i="96"/>
  <c r="P75" i="96"/>
  <c r="P67" i="96"/>
  <c r="P63" i="96"/>
  <c r="P59" i="96"/>
  <c r="P51" i="96"/>
  <c r="P47" i="96"/>
  <c r="P43" i="96"/>
  <c r="P35" i="96"/>
  <c r="P31" i="96"/>
  <c r="P351" i="96"/>
  <c r="P347" i="96"/>
  <c r="P335" i="96"/>
  <c r="P319" i="96"/>
  <c r="P315" i="96"/>
  <c r="P299" i="96"/>
  <c r="P287" i="96"/>
  <c r="P283" i="96"/>
  <c r="P279" i="96"/>
  <c r="P275" i="96"/>
  <c r="P271" i="96"/>
  <c r="P247" i="96"/>
  <c r="P231" i="96"/>
  <c r="P215" i="96"/>
  <c r="P199" i="96"/>
  <c r="P183" i="96"/>
  <c r="P167" i="96"/>
  <c r="P151" i="96"/>
  <c r="P135" i="96"/>
  <c r="P119" i="96"/>
  <c r="P103" i="96"/>
  <c r="P87" i="96"/>
  <c r="P71" i="96"/>
  <c r="P55" i="96"/>
  <c r="P39" i="96"/>
  <c r="P354" i="96"/>
  <c r="P342" i="96"/>
  <c r="P338" i="96"/>
  <c r="P314" i="96"/>
  <c r="P298" i="96"/>
  <c r="P282" i="96"/>
  <c r="P278" i="96"/>
  <c r="P266" i="96"/>
  <c r="P258" i="96"/>
  <c r="P254" i="96"/>
  <c r="P226" i="96"/>
  <c r="P214" i="96"/>
  <c r="P210" i="96"/>
  <c r="P202" i="96"/>
  <c r="P186" i="96"/>
  <c r="P182" i="96"/>
  <c r="P178" i="96"/>
  <c r="P170" i="96"/>
  <c r="P162" i="96"/>
  <c r="P158" i="96"/>
  <c r="P154" i="96"/>
  <c r="P138" i="96"/>
  <c r="P130" i="96"/>
  <c r="P126" i="96"/>
  <c r="P98" i="96"/>
  <c r="P82" i="96"/>
  <c r="P74" i="96"/>
  <c r="P58" i="96"/>
  <c r="P50" i="96"/>
  <c r="P42" i="96"/>
  <c r="P34" i="96"/>
  <c r="P361" i="96"/>
  <c r="P353" i="96"/>
  <c r="P345" i="96"/>
  <c r="P337" i="96"/>
  <c r="P329" i="96"/>
  <c r="P321" i="96"/>
  <c r="P313" i="96"/>
  <c r="P305" i="96"/>
  <c r="P297" i="96"/>
  <c r="P289" i="96"/>
  <c r="P281" i="96"/>
  <c r="P273" i="96"/>
  <c r="P265" i="96"/>
  <c r="P257" i="96"/>
  <c r="P249" i="96"/>
  <c r="P241" i="96"/>
  <c r="P233" i="96"/>
  <c r="P225" i="96"/>
  <c r="P217" i="96"/>
  <c r="P209" i="96"/>
  <c r="P201" i="96"/>
  <c r="P193" i="96"/>
  <c r="P185" i="96"/>
  <c r="P177" i="96"/>
  <c r="P169" i="96"/>
  <c r="P161" i="96"/>
  <c r="P153" i="96"/>
  <c r="P145" i="96"/>
  <c r="P137" i="96"/>
  <c r="P129" i="96"/>
  <c r="P121" i="96"/>
  <c r="P113" i="96"/>
  <c r="P105" i="96"/>
  <c r="P97" i="96"/>
  <c r="P89" i="96"/>
  <c r="P81" i="96"/>
  <c r="P73" i="96"/>
  <c r="P65" i="96"/>
  <c r="P57" i="96"/>
  <c r="P49" i="96"/>
  <c r="P41" i="96"/>
  <c r="P33" i="96"/>
  <c r="P355" i="96"/>
  <c r="P358" i="96"/>
  <c r="P326" i="96"/>
  <c r="P302" i="96"/>
  <c r="P323" i="96"/>
  <c r="P291" i="96"/>
  <c r="P259" i="96"/>
  <c r="P227" i="96"/>
  <c r="P334" i="96"/>
  <c r="P294" i="96"/>
  <c r="P270" i="96"/>
  <c r="P262" i="96"/>
  <c r="P238" i="96"/>
  <c r="P230" i="96"/>
  <c r="P206" i="96"/>
  <c r="P198" i="96"/>
  <c r="P174" i="96"/>
  <c r="P166" i="96"/>
  <c r="P142" i="96"/>
  <c r="P134" i="96"/>
  <c r="P110" i="96"/>
  <c r="P102" i="96"/>
  <c r="P94" i="96"/>
  <c r="P86" i="96"/>
  <c r="P78" i="96"/>
  <c r="P70" i="96"/>
  <c r="P62" i="96"/>
  <c r="P54" i="96"/>
  <c r="P46" i="96"/>
  <c r="P38" i="96"/>
  <c r="P357" i="96"/>
  <c r="P349" i="96"/>
  <c r="P341" i="96"/>
  <c r="P333" i="96"/>
  <c r="P325" i="96"/>
  <c r="P317" i="96"/>
  <c r="P309" i="96"/>
  <c r="P301" i="96"/>
  <c r="P293" i="96"/>
  <c r="P285" i="96"/>
  <c r="P277" i="96"/>
  <c r="P269" i="96"/>
  <c r="P261" i="96"/>
  <c r="P253" i="96"/>
  <c r="P245" i="96"/>
  <c r="P237" i="96"/>
  <c r="P229" i="96"/>
  <c r="P221" i="96"/>
  <c r="P213" i="96"/>
  <c r="P205" i="96"/>
  <c r="P197" i="96"/>
  <c r="P189" i="96"/>
  <c r="P181" i="96"/>
  <c r="P173" i="96"/>
  <c r="P165" i="96"/>
  <c r="P157" i="96"/>
  <c r="P149" i="96"/>
  <c r="P141" i="96"/>
  <c r="P133" i="96"/>
  <c r="P125" i="96"/>
  <c r="P117" i="96"/>
  <c r="P109" i="96"/>
  <c r="P101" i="96"/>
  <c r="P93" i="96"/>
  <c r="P85" i="96"/>
  <c r="P77" i="96"/>
  <c r="P69" i="96"/>
  <c r="P61" i="96"/>
  <c r="P53" i="96"/>
  <c r="P45" i="96"/>
  <c r="P37" i="96"/>
  <c r="P360" i="96"/>
  <c r="P356" i="96"/>
  <c r="P352" i="96"/>
  <c r="P348" i="96"/>
  <c r="P344" i="96"/>
  <c r="P340" i="96"/>
  <c r="P336" i="96"/>
  <c r="P332" i="96"/>
  <c r="P328" i="96"/>
  <c r="P324" i="96"/>
  <c r="P320" i="96"/>
  <c r="P316" i="96"/>
  <c r="P312" i="96"/>
  <c r="P308" i="96"/>
  <c r="P304" i="96"/>
  <c r="P300" i="96"/>
  <c r="P296" i="96"/>
  <c r="P292" i="96"/>
  <c r="P288" i="96"/>
  <c r="P284" i="96"/>
  <c r="P280" i="96"/>
  <c r="P276" i="96"/>
  <c r="P272" i="96"/>
  <c r="P268" i="96"/>
  <c r="P264" i="96"/>
  <c r="P260" i="96"/>
  <c r="P256" i="96"/>
  <c r="P252" i="96"/>
  <c r="P248" i="96"/>
  <c r="P244" i="96"/>
  <c r="P240" i="96"/>
  <c r="P236" i="96"/>
  <c r="P232" i="96"/>
  <c r="P228" i="96"/>
  <c r="P224" i="96"/>
  <c r="P220" i="96"/>
  <c r="P216" i="96"/>
  <c r="P212" i="96"/>
  <c r="P208" i="96"/>
  <c r="P204" i="96"/>
  <c r="P200" i="96"/>
  <c r="P196" i="96"/>
  <c r="P192" i="96"/>
  <c r="P188" i="96"/>
  <c r="P184" i="96"/>
  <c r="P180" i="96"/>
  <c r="P176" i="96"/>
  <c r="P172" i="96"/>
  <c r="P168" i="96"/>
  <c r="P164" i="96"/>
  <c r="P160" i="96"/>
  <c r="P156" i="96"/>
  <c r="P152" i="96"/>
  <c r="P148" i="96"/>
  <c r="P144" i="96"/>
  <c r="P140" i="96"/>
  <c r="P136" i="96"/>
  <c r="P132" i="96"/>
  <c r="P128" i="96"/>
  <c r="P124" i="96"/>
  <c r="P120" i="96"/>
  <c r="P116" i="96"/>
  <c r="P112" i="96"/>
  <c r="P108" i="96"/>
  <c r="P104" i="96"/>
  <c r="P100" i="96"/>
  <c r="P96" i="96"/>
  <c r="P92" i="96"/>
  <c r="P88" i="96"/>
  <c r="P84" i="96"/>
  <c r="P80" i="96"/>
  <c r="P76" i="96"/>
  <c r="P72" i="96"/>
  <c r="P68" i="96"/>
  <c r="P64" i="96"/>
  <c r="P60" i="96"/>
  <c r="P56" i="96"/>
  <c r="P52" i="96"/>
  <c r="P48" i="96"/>
  <c r="P44" i="96"/>
  <c r="P40" i="96"/>
  <c r="P36" i="96"/>
  <c r="P32" i="96"/>
  <c r="J17" i="99"/>
  <c r="G17" i="99" s="1"/>
  <c r="J29" i="99"/>
  <c r="G29" i="99" s="1"/>
  <c r="G37" i="99"/>
  <c r="G33" i="99"/>
  <c r="G41" i="99"/>
  <c r="J25" i="99"/>
  <c r="G25" i="99" s="1"/>
  <c r="G18" i="99"/>
  <c r="G16" i="99"/>
  <c r="J43" i="99"/>
  <c r="G43" i="99" s="1"/>
  <c r="J39" i="99"/>
  <c r="G39" i="99" s="1"/>
  <c r="J35" i="99"/>
  <c r="G35" i="99" s="1"/>
  <c r="J31" i="99"/>
  <c r="G31" i="99" s="1"/>
  <c r="J27" i="99"/>
  <c r="G27" i="99" s="1"/>
  <c r="J23" i="99"/>
  <c r="G23" i="99" s="1"/>
  <c r="J19" i="99"/>
  <c r="G19" i="99" s="1"/>
  <c r="G42" i="99"/>
  <c r="G38" i="99"/>
  <c r="G34" i="99"/>
  <c r="G30" i="99"/>
  <c r="G26" i="99"/>
  <c r="G22" i="99"/>
  <c r="G44" i="99"/>
  <c r="G40" i="99"/>
  <c r="G36" i="99"/>
  <c r="G32" i="99"/>
  <c r="G28" i="99"/>
  <c r="G24" i="99"/>
  <c r="G20" i="99"/>
  <c r="F24" i="96"/>
  <c r="A28" i="102"/>
  <c r="A27" i="102"/>
  <c r="A26" i="102"/>
  <c r="C11" i="98"/>
  <c r="C5" i="60" l="1"/>
  <c r="J28" i="94" l="1"/>
  <c r="J31" i="94"/>
  <c r="J33" i="94" s="1"/>
  <c r="D79" i="68" l="1"/>
  <c r="E79" i="68"/>
  <c r="B79" i="68"/>
  <c r="D69" i="68"/>
  <c r="D70" i="68"/>
  <c r="D68" i="68"/>
  <c r="E70" i="68"/>
  <c r="E69" i="68"/>
  <c r="E68" i="68"/>
  <c r="C70" i="68"/>
  <c r="C69" i="68"/>
  <c r="C68" i="68"/>
  <c r="B69" i="68"/>
  <c r="B70" i="68"/>
  <c r="B68" i="68"/>
  <c r="D67" i="68"/>
  <c r="C67" i="68"/>
  <c r="B67" i="68"/>
  <c r="E74" i="68"/>
  <c r="C74" i="68"/>
  <c r="B66" i="68"/>
  <c r="D74" i="68" l="1"/>
  <c r="B74" i="68"/>
  <c r="B73" i="68"/>
  <c r="B72" i="68"/>
  <c r="E154" i="62" l="1"/>
  <c r="D154" i="62"/>
  <c r="D155" i="62"/>
  <c r="E155" i="62"/>
  <c r="E144" i="62"/>
  <c r="D144" i="62"/>
  <c r="C72" i="68" l="1"/>
  <c r="D72" i="68" s="1"/>
  <c r="E72" i="68"/>
  <c r="E73" i="68"/>
  <c r="C73" i="68"/>
  <c r="D73" i="68" s="1"/>
  <c r="C11" i="102"/>
  <c r="AD51" i="48" l="1"/>
  <c r="AE51" i="48"/>
  <c r="AD61" i="48"/>
  <c r="AE61" i="48"/>
  <c r="AD70" i="48"/>
  <c r="AE70" i="48"/>
  <c r="AD72" i="48"/>
  <c r="AD74" i="48"/>
  <c r="AD75" i="48"/>
  <c r="AE75" i="48"/>
  <c r="AD76" i="48"/>
  <c r="AE76" i="48"/>
  <c r="AD79" i="48"/>
  <c r="AE79" i="48"/>
  <c r="AD80" i="48"/>
  <c r="AE80" i="48"/>
  <c r="AD81" i="48"/>
  <c r="AE81" i="48"/>
  <c r="AD82" i="48"/>
  <c r="AE82" i="48"/>
  <c r="AD83" i="48"/>
  <c r="AE83" i="48"/>
  <c r="AD84" i="48"/>
  <c r="AE84" i="48"/>
  <c r="AD85" i="48"/>
  <c r="AE85" i="48"/>
  <c r="AD86" i="48"/>
  <c r="AE86" i="48"/>
  <c r="AD87" i="48"/>
  <c r="AE87" i="48"/>
  <c r="AD88" i="48"/>
  <c r="AE88" i="48"/>
  <c r="AD89" i="48"/>
  <c r="AE89" i="48"/>
  <c r="AD90" i="48"/>
  <c r="AE90" i="48"/>
  <c r="AE91" i="48"/>
  <c r="AE92" i="48"/>
  <c r="AE94" i="48"/>
  <c r="AE95" i="48"/>
  <c r="AD96" i="48"/>
  <c r="AE96" i="48"/>
  <c r="AD97" i="48"/>
  <c r="AE97" i="48"/>
  <c r="AD98" i="48"/>
  <c r="AE98" i="48"/>
  <c r="AD99" i="48"/>
  <c r="AE99" i="48"/>
  <c r="AD101" i="48"/>
  <c r="AE101" i="48"/>
  <c r="AD102" i="48"/>
  <c r="AE102" i="48"/>
  <c r="AD103" i="48"/>
  <c r="AE103" i="48"/>
  <c r="AD104" i="48"/>
  <c r="AE104" i="48"/>
  <c r="AE105" i="48"/>
  <c r="AD107" i="48"/>
  <c r="AE107" i="48"/>
  <c r="AD108" i="48"/>
  <c r="AE108" i="48"/>
  <c r="AD109" i="48"/>
  <c r="AE109" i="48"/>
  <c r="AD110" i="48"/>
  <c r="AE110" i="48"/>
  <c r="AD111" i="48"/>
  <c r="AE111" i="48"/>
  <c r="AD112" i="48"/>
  <c r="AE112" i="48"/>
  <c r="AD113" i="48"/>
  <c r="AE113" i="48"/>
  <c r="AD114" i="48"/>
  <c r="AE114" i="48"/>
  <c r="AD115" i="48"/>
  <c r="AE115" i="48"/>
  <c r="AE116" i="48"/>
  <c r="AE117" i="48"/>
  <c r="AE118" i="48"/>
  <c r="AE119" i="48"/>
  <c r="AE120" i="48"/>
  <c r="AE123" i="48"/>
  <c r="AD125" i="48"/>
  <c r="AE125" i="48"/>
  <c r="AD128" i="48"/>
  <c r="AE128" i="48"/>
  <c r="AD129" i="48"/>
  <c r="AE129" i="48"/>
  <c r="AD130" i="48"/>
  <c r="AE130" i="48"/>
  <c r="AD131" i="48"/>
  <c r="AE131" i="48"/>
  <c r="AD132" i="48"/>
  <c r="AE132" i="48"/>
  <c r="AD133" i="48"/>
  <c r="AE133" i="48"/>
  <c r="AD136" i="48"/>
  <c r="AE136" i="48"/>
  <c r="D29" i="97" l="1"/>
  <c r="E76" i="68" l="1"/>
  <c r="E77" i="68"/>
  <c r="E153" i="62" l="1"/>
  <c r="C64" i="68" s="1"/>
  <c r="E146" i="62" l="1"/>
  <c r="C76" i="68" s="1"/>
  <c r="D76" i="68" s="1"/>
  <c r="E143" i="62"/>
  <c r="E142" i="62"/>
  <c r="D150" i="62" l="1"/>
  <c r="E150" i="62"/>
  <c r="K143" i="62" l="1"/>
  <c r="K142" i="62"/>
  <c r="J143" i="62"/>
  <c r="J142" i="62"/>
  <c r="C62" i="68" l="1"/>
  <c r="E71" i="106"/>
  <c r="E61" i="106"/>
  <c r="D153" i="62" s="1"/>
  <c r="E65" i="48" s="1"/>
  <c r="AD63" i="48" s="1"/>
  <c r="G49" i="106"/>
  <c r="F49" i="106"/>
  <c r="E49" i="106"/>
  <c r="D49" i="106"/>
  <c r="C49" i="106"/>
  <c r="J71" i="106" l="1"/>
  <c r="I71" i="106"/>
  <c r="H71" i="106"/>
  <c r="G71" i="106"/>
  <c r="F71" i="106"/>
  <c r="E72" i="106" s="1"/>
  <c r="F70" i="106"/>
  <c r="D70" i="106"/>
  <c r="J68" i="106"/>
  <c r="I68" i="106"/>
  <c r="H68" i="106"/>
  <c r="G68" i="106"/>
  <c r="F68" i="106"/>
  <c r="D68" i="106"/>
  <c r="C68" i="106"/>
  <c r="J67" i="106"/>
  <c r="H67" i="106"/>
  <c r="F67" i="106"/>
  <c r="J65" i="106"/>
  <c r="I65" i="106"/>
  <c r="H65" i="106"/>
  <c r="G65" i="106"/>
  <c r="F65" i="106"/>
  <c r="E60" i="106"/>
  <c r="E68" i="106" s="1"/>
  <c r="E59" i="106"/>
  <c r="E65" i="106"/>
  <c r="C51" i="106"/>
  <c r="G51" i="106"/>
  <c r="F51" i="106"/>
  <c r="E51" i="106"/>
  <c r="D51" i="106"/>
  <c r="G46" i="106"/>
  <c r="G50" i="106" s="1"/>
  <c r="F46" i="106"/>
  <c r="F50" i="106" s="1"/>
  <c r="E46" i="106"/>
  <c r="D46" i="106"/>
  <c r="C46" i="106"/>
  <c r="C50" i="106" s="1"/>
  <c r="D40" i="106"/>
  <c r="C40" i="106"/>
  <c r="D59" i="106" s="1"/>
  <c r="E147" i="62" s="1"/>
  <c r="D38" i="106"/>
  <c r="D142" i="62" s="1"/>
  <c r="C28" i="106"/>
  <c r="C31" i="106" s="1"/>
  <c r="C38" i="106" s="1"/>
  <c r="D143" i="62" s="1"/>
  <c r="E62" i="68" l="1"/>
  <c r="E16" i="106"/>
  <c r="D16" i="106"/>
  <c r="E75" i="68"/>
  <c r="D75" i="68"/>
  <c r="C75" i="68"/>
  <c r="C41" i="106"/>
  <c r="C42" i="106" s="1"/>
  <c r="C52" i="106"/>
  <c r="D50" i="106"/>
  <c r="D52" i="106" s="1"/>
  <c r="D41" i="106"/>
  <c r="D42" i="106" s="1"/>
  <c r="D61" i="106"/>
  <c r="E149" i="62" s="1"/>
  <c r="F52" i="106"/>
  <c r="D56" i="106"/>
  <c r="E145" i="62" s="1"/>
  <c r="G52" i="106"/>
  <c r="E50" i="106"/>
  <c r="E52" i="106" s="1"/>
  <c r="C59" i="106" l="1"/>
  <c r="D147" i="62" s="1"/>
  <c r="D71" i="106"/>
  <c r="D65" i="106"/>
  <c r="C61" i="106"/>
  <c r="D149" i="62" s="1"/>
  <c r="C56" i="106"/>
  <c r="D145" i="62" s="1"/>
  <c r="C65" i="106" l="1"/>
  <c r="C71" i="106"/>
  <c r="D151" i="62"/>
  <c r="D129" i="62"/>
  <c r="E68" i="48" l="1"/>
  <c r="C55" i="68"/>
  <c r="C54" i="68"/>
  <c r="C53" i="68"/>
  <c r="C52" i="68"/>
  <c r="E97" i="48" l="1"/>
  <c r="AD95" i="48" s="1"/>
  <c r="E67" i="48" l="1"/>
  <c r="H65" i="48"/>
  <c r="AE63" i="48" s="1"/>
  <c r="H66" i="48"/>
  <c r="H67" i="48"/>
  <c r="E66" i="48"/>
  <c r="H58" i="48" l="1"/>
  <c r="D9" i="48" l="1"/>
  <c r="D10" i="48"/>
  <c r="Q17" i="99"/>
  <c r="Q18" i="99"/>
  <c r="Q19" i="99"/>
  <c r="Q20" i="99"/>
  <c r="Q21" i="99"/>
  <c r="Q22" i="99"/>
  <c r="Q23" i="99"/>
  <c r="Q24" i="99"/>
  <c r="Q25" i="99"/>
  <c r="Q26" i="99"/>
  <c r="Q27" i="99"/>
  <c r="Q28" i="99"/>
  <c r="Q29" i="99"/>
  <c r="Q30" i="99"/>
  <c r="Q31" i="99"/>
  <c r="Q32" i="99"/>
  <c r="Q33" i="99"/>
  <c r="Q34" i="99"/>
  <c r="Q35" i="99"/>
  <c r="Q36" i="99"/>
  <c r="Q37" i="99"/>
  <c r="Q38" i="99"/>
  <c r="Q39" i="99"/>
  <c r="Q40" i="99"/>
  <c r="Q41" i="99"/>
  <c r="Q42" i="99"/>
  <c r="Q43" i="99"/>
  <c r="Q44" i="99"/>
  <c r="Q16" i="99"/>
  <c r="E58" i="48"/>
  <c r="D20" i="102"/>
  <c r="B21" i="54" s="1"/>
  <c r="D19" i="102"/>
  <c r="B20" i="54" s="1"/>
  <c r="D18" i="102"/>
  <c r="B19" i="54" s="1"/>
  <c r="O19" i="99"/>
  <c r="W19" i="99" s="1"/>
  <c r="O17" i="99"/>
  <c r="W17" i="99" s="1"/>
  <c r="O18" i="99"/>
  <c r="W18" i="99" s="1"/>
  <c r="O20" i="99"/>
  <c r="W20" i="99" s="1"/>
  <c r="O21" i="99"/>
  <c r="W21" i="99" s="1"/>
  <c r="O22" i="99"/>
  <c r="W22" i="99" s="1"/>
  <c r="O23" i="99"/>
  <c r="W23" i="99" s="1"/>
  <c r="O24" i="99"/>
  <c r="W24" i="99" s="1"/>
  <c r="O25" i="99"/>
  <c r="W25" i="99" s="1"/>
  <c r="O26" i="99"/>
  <c r="W26" i="99" s="1"/>
  <c r="O27" i="99"/>
  <c r="W27" i="99" s="1"/>
  <c r="O28" i="99"/>
  <c r="W28" i="99" s="1"/>
  <c r="O29" i="99"/>
  <c r="W29" i="99" s="1"/>
  <c r="O30" i="99"/>
  <c r="W30" i="99" s="1"/>
  <c r="O31" i="99"/>
  <c r="W31" i="99" s="1"/>
  <c r="O32" i="99"/>
  <c r="W32" i="99" s="1"/>
  <c r="O33" i="99"/>
  <c r="W33" i="99" s="1"/>
  <c r="O34" i="99"/>
  <c r="W34" i="99" s="1"/>
  <c r="O35" i="99"/>
  <c r="W35" i="99" s="1"/>
  <c r="O36" i="99"/>
  <c r="W36" i="99" s="1"/>
  <c r="O37" i="99"/>
  <c r="W37" i="99" s="1"/>
  <c r="O38" i="99"/>
  <c r="W38" i="99" s="1"/>
  <c r="O39" i="99"/>
  <c r="W39" i="99" s="1"/>
  <c r="O40" i="99"/>
  <c r="W40" i="99" s="1"/>
  <c r="O41" i="99"/>
  <c r="W41" i="99" s="1"/>
  <c r="O42" i="99"/>
  <c r="W42" i="99" s="1"/>
  <c r="O43" i="99"/>
  <c r="W43" i="99" s="1"/>
  <c r="O44" i="99"/>
  <c r="W44" i="99" s="1"/>
  <c r="O16" i="99"/>
  <c r="W16" i="99" s="1"/>
  <c r="M47" i="99" s="1"/>
  <c r="S31" i="96"/>
  <c r="S32" i="96"/>
  <c r="S33" i="96"/>
  <c r="S34" i="96"/>
  <c r="S35" i="96"/>
  <c r="S36" i="96"/>
  <c r="S37" i="96"/>
  <c r="S38" i="96"/>
  <c r="S39" i="96"/>
  <c r="S40" i="96"/>
  <c r="S41" i="96"/>
  <c r="S42" i="96"/>
  <c r="S43" i="96"/>
  <c r="S44" i="96"/>
  <c r="S45" i="96"/>
  <c r="S46" i="96"/>
  <c r="S47" i="96"/>
  <c r="S48" i="96"/>
  <c r="S49" i="96"/>
  <c r="S50" i="96"/>
  <c r="S51" i="96"/>
  <c r="S52" i="96"/>
  <c r="S53" i="96"/>
  <c r="S54" i="96"/>
  <c r="S55" i="96"/>
  <c r="S56" i="96"/>
  <c r="S57" i="96"/>
  <c r="S58" i="96"/>
  <c r="S59" i="96"/>
  <c r="S60" i="96"/>
  <c r="S61" i="96"/>
  <c r="S62" i="96"/>
  <c r="S63" i="96"/>
  <c r="S64" i="96"/>
  <c r="S65" i="96"/>
  <c r="S66" i="96"/>
  <c r="S67" i="96"/>
  <c r="S68" i="96"/>
  <c r="S69" i="96"/>
  <c r="S70" i="96"/>
  <c r="S71" i="96"/>
  <c r="S72" i="96"/>
  <c r="S73" i="96"/>
  <c r="S74" i="96"/>
  <c r="S75" i="96"/>
  <c r="S76" i="96"/>
  <c r="S77" i="96"/>
  <c r="S78" i="96"/>
  <c r="S79" i="96"/>
  <c r="S80" i="96"/>
  <c r="S81" i="96"/>
  <c r="S82" i="96"/>
  <c r="S83" i="96"/>
  <c r="S84" i="96"/>
  <c r="S85" i="96"/>
  <c r="S86" i="96"/>
  <c r="S87" i="96"/>
  <c r="S88" i="96"/>
  <c r="S89" i="96"/>
  <c r="S90" i="96"/>
  <c r="S91" i="96"/>
  <c r="S92" i="96"/>
  <c r="S93" i="96"/>
  <c r="S94" i="96"/>
  <c r="S95" i="96"/>
  <c r="S96" i="96"/>
  <c r="S97" i="96"/>
  <c r="S98" i="96"/>
  <c r="S99" i="96"/>
  <c r="S100" i="96"/>
  <c r="S101" i="96"/>
  <c r="S102" i="96"/>
  <c r="S103" i="96"/>
  <c r="S104" i="96"/>
  <c r="S105" i="96"/>
  <c r="S106" i="96"/>
  <c r="S107" i="96"/>
  <c r="S108" i="96"/>
  <c r="S109" i="96"/>
  <c r="S110" i="96"/>
  <c r="S111" i="96"/>
  <c r="S112" i="96"/>
  <c r="S113" i="96"/>
  <c r="S114" i="96"/>
  <c r="S115" i="96"/>
  <c r="S116" i="96"/>
  <c r="S117" i="96"/>
  <c r="S118" i="96"/>
  <c r="S119" i="96"/>
  <c r="S120" i="96"/>
  <c r="S121" i="96"/>
  <c r="S122" i="96"/>
  <c r="S123" i="96"/>
  <c r="S124" i="96"/>
  <c r="S125" i="96"/>
  <c r="S126" i="96"/>
  <c r="S127" i="96"/>
  <c r="S128" i="96"/>
  <c r="S129" i="96"/>
  <c r="S130" i="96"/>
  <c r="S131" i="96"/>
  <c r="S132" i="96"/>
  <c r="S133" i="96"/>
  <c r="S134" i="96"/>
  <c r="S135" i="96"/>
  <c r="S136" i="96"/>
  <c r="S137" i="96"/>
  <c r="S138" i="96"/>
  <c r="S139" i="96"/>
  <c r="S140" i="96"/>
  <c r="S141" i="96"/>
  <c r="S142" i="96"/>
  <c r="S143" i="96"/>
  <c r="S144" i="96"/>
  <c r="S145" i="96"/>
  <c r="S146" i="96"/>
  <c r="S147" i="96"/>
  <c r="S148" i="96"/>
  <c r="S149" i="96"/>
  <c r="S150" i="96"/>
  <c r="S151" i="96"/>
  <c r="S152" i="96"/>
  <c r="S153" i="96"/>
  <c r="S154" i="96"/>
  <c r="S155" i="96"/>
  <c r="S156" i="96"/>
  <c r="S157" i="96"/>
  <c r="S158" i="96"/>
  <c r="S159" i="96"/>
  <c r="S160" i="96"/>
  <c r="S161" i="96"/>
  <c r="S162" i="96"/>
  <c r="S163" i="96"/>
  <c r="S164" i="96"/>
  <c r="S165" i="96"/>
  <c r="S166" i="96"/>
  <c r="S167" i="96"/>
  <c r="S168" i="96"/>
  <c r="S169" i="96"/>
  <c r="S170" i="96"/>
  <c r="S171" i="96"/>
  <c r="S172" i="96"/>
  <c r="S173" i="96"/>
  <c r="S174" i="96"/>
  <c r="S175" i="96"/>
  <c r="S176" i="96"/>
  <c r="S177" i="96"/>
  <c r="S178" i="96"/>
  <c r="S179" i="96"/>
  <c r="S180" i="96"/>
  <c r="S181" i="96"/>
  <c r="S182" i="96"/>
  <c r="S183" i="96"/>
  <c r="S184" i="96"/>
  <c r="S185" i="96"/>
  <c r="S186" i="96"/>
  <c r="S187" i="96"/>
  <c r="S188" i="96"/>
  <c r="S189" i="96"/>
  <c r="S190" i="96"/>
  <c r="S191" i="96"/>
  <c r="S192" i="96"/>
  <c r="S193" i="96"/>
  <c r="S194" i="96"/>
  <c r="S195" i="96"/>
  <c r="S196" i="96"/>
  <c r="S197" i="96"/>
  <c r="S198" i="96"/>
  <c r="S199" i="96"/>
  <c r="S200" i="96"/>
  <c r="S201" i="96"/>
  <c r="S202" i="96"/>
  <c r="S203" i="96"/>
  <c r="S204" i="96"/>
  <c r="S205" i="96"/>
  <c r="S206" i="96"/>
  <c r="S207" i="96"/>
  <c r="S208" i="96"/>
  <c r="S209" i="96"/>
  <c r="S210" i="96"/>
  <c r="S211" i="96"/>
  <c r="S212" i="96"/>
  <c r="S213" i="96"/>
  <c r="S214" i="96"/>
  <c r="S215" i="96"/>
  <c r="S216" i="96"/>
  <c r="S217" i="96"/>
  <c r="S218" i="96"/>
  <c r="S219" i="96"/>
  <c r="S220" i="96"/>
  <c r="S221" i="96"/>
  <c r="S222" i="96"/>
  <c r="S223" i="96"/>
  <c r="S224" i="96"/>
  <c r="S225" i="96"/>
  <c r="S226" i="96"/>
  <c r="S227" i="96"/>
  <c r="S228" i="96"/>
  <c r="S229" i="96"/>
  <c r="S230" i="96"/>
  <c r="S231" i="96"/>
  <c r="S232" i="96"/>
  <c r="S233" i="96"/>
  <c r="S234" i="96"/>
  <c r="S235" i="96"/>
  <c r="S236" i="96"/>
  <c r="S237" i="96"/>
  <c r="S238" i="96"/>
  <c r="S239" i="96"/>
  <c r="S240" i="96"/>
  <c r="S241" i="96"/>
  <c r="S242" i="96"/>
  <c r="S243" i="96"/>
  <c r="S244" i="96"/>
  <c r="S245" i="96"/>
  <c r="S246" i="96"/>
  <c r="S247" i="96"/>
  <c r="S248" i="96"/>
  <c r="S249" i="96"/>
  <c r="S250" i="96"/>
  <c r="S251" i="96"/>
  <c r="S252" i="96"/>
  <c r="S253" i="96"/>
  <c r="S254" i="96"/>
  <c r="S255" i="96"/>
  <c r="S256" i="96"/>
  <c r="S257" i="96"/>
  <c r="S258" i="96"/>
  <c r="S259" i="96"/>
  <c r="S260" i="96"/>
  <c r="S261" i="96"/>
  <c r="S262" i="96"/>
  <c r="S263" i="96"/>
  <c r="S264" i="96"/>
  <c r="S265" i="96"/>
  <c r="S266" i="96"/>
  <c r="S267" i="96"/>
  <c r="S268" i="96"/>
  <c r="S269" i="96"/>
  <c r="S270" i="96"/>
  <c r="S271" i="96"/>
  <c r="S272" i="96"/>
  <c r="S273" i="96"/>
  <c r="S274" i="96"/>
  <c r="S275" i="96"/>
  <c r="S276" i="96"/>
  <c r="S277" i="96"/>
  <c r="S278" i="96"/>
  <c r="S279" i="96"/>
  <c r="S280" i="96"/>
  <c r="S281" i="96"/>
  <c r="S282" i="96"/>
  <c r="S283" i="96"/>
  <c r="S284" i="96"/>
  <c r="S285" i="96"/>
  <c r="S286" i="96"/>
  <c r="S287" i="96"/>
  <c r="S288" i="96"/>
  <c r="S289" i="96"/>
  <c r="S290" i="96"/>
  <c r="S291" i="96"/>
  <c r="S292" i="96"/>
  <c r="S293" i="96"/>
  <c r="S294" i="96"/>
  <c r="S295" i="96"/>
  <c r="S296" i="96"/>
  <c r="S297" i="96"/>
  <c r="S298" i="96"/>
  <c r="S299" i="96"/>
  <c r="S300" i="96"/>
  <c r="S301" i="96"/>
  <c r="S302" i="96"/>
  <c r="S303" i="96"/>
  <c r="S304" i="96"/>
  <c r="S305" i="96"/>
  <c r="S306" i="96"/>
  <c r="S307" i="96"/>
  <c r="S308" i="96"/>
  <c r="S309" i="96"/>
  <c r="S310" i="96"/>
  <c r="S311" i="96"/>
  <c r="S312" i="96"/>
  <c r="S313" i="96"/>
  <c r="S314" i="96"/>
  <c r="S315" i="96"/>
  <c r="S316" i="96"/>
  <c r="S317" i="96"/>
  <c r="S318" i="96"/>
  <c r="S319" i="96"/>
  <c r="S320" i="96"/>
  <c r="S321" i="96"/>
  <c r="S322" i="96"/>
  <c r="S323" i="96"/>
  <c r="S324" i="96"/>
  <c r="S325" i="96"/>
  <c r="S326" i="96"/>
  <c r="S327" i="96"/>
  <c r="S328" i="96"/>
  <c r="S329" i="96"/>
  <c r="S330" i="96"/>
  <c r="S331" i="96"/>
  <c r="S332" i="96"/>
  <c r="S333" i="96"/>
  <c r="S334" i="96"/>
  <c r="S335" i="96"/>
  <c r="S336" i="96"/>
  <c r="S337" i="96"/>
  <c r="S338" i="96"/>
  <c r="S339" i="96"/>
  <c r="S340" i="96"/>
  <c r="S341" i="96"/>
  <c r="S342" i="96"/>
  <c r="S343" i="96"/>
  <c r="S344" i="96"/>
  <c r="S345" i="96"/>
  <c r="S346" i="96"/>
  <c r="S347" i="96"/>
  <c r="S348" i="96"/>
  <c r="S349" i="96"/>
  <c r="S350" i="96"/>
  <c r="S351" i="96"/>
  <c r="S352" i="96"/>
  <c r="S353" i="96"/>
  <c r="S354" i="96"/>
  <c r="S355" i="96"/>
  <c r="S356" i="96"/>
  <c r="S357" i="96"/>
  <c r="S358" i="96"/>
  <c r="S359" i="96"/>
  <c r="S360" i="96"/>
  <c r="S361" i="96"/>
  <c r="S5" i="96"/>
  <c r="S6" i="96"/>
  <c r="S7" i="96"/>
  <c r="S8" i="96"/>
  <c r="S9" i="96"/>
  <c r="S10" i="96"/>
  <c r="S11" i="96"/>
  <c r="S12" i="96"/>
  <c r="S13" i="96"/>
  <c r="S14" i="96"/>
  <c r="S15" i="96"/>
  <c r="S16" i="96"/>
  <c r="S17" i="96"/>
  <c r="S18" i="96"/>
  <c r="S20" i="96"/>
  <c r="S21" i="96"/>
  <c r="S22" i="96"/>
  <c r="S23" i="96"/>
  <c r="S24" i="96"/>
  <c r="S25" i="96"/>
  <c r="S26" i="96"/>
  <c r="S27" i="96"/>
  <c r="S4" i="96"/>
  <c r="D23" i="96" l="1"/>
  <c r="F23" i="96" s="1"/>
  <c r="Y30" i="96"/>
  <c r="P30" i="96" s="1"/>
  <c r="D11" i="98"/>
  <c r="D10" i="98"/>
  <c r="G92" i="48" l="1"/>
  <c r="E92" i="48"/>
  <c r="B20" i="98" l="1"/>
  <c r="B21" i="98"/>
  <c r="B19" i="98"/>
  <c r="B32" i="98"/>
  <c r="B31" i="98"/>
  <c r="F26" i="94" l="1"/>
  <c r="E51" i="68"/>
  <c r="H57" i="48" l="1"/>
  <c r="AE55" i="48" s="1"/>
  <c r="E57" i="48"/>
  <c r="AD55" i="48" s="1"/>
  <c r="T31" i="96" l="1"/>
  <c r="T32" i="96"/>
  <c r="T33" i="96"/>
  <c r="T34" i="96"/>
  <c r="G123" i="48" l="1"/>
  <c r="F29" i="16" s="1"/>
  <c r="H123" i="48"/>
  <c r="G29" i="16" s="1"/>
  <c r="G124" i="48"/>
  <c r="F30" i="16" s="1"/>
  <c r="H124" i="48"/>
  <c r="G30" i="16" s="1"/>
  <c r="C123" i="48"/>
  <c r="C29" i="16" s="1"/>
  <c r="D123" i="48"/>
  <c r="D29" i="16" s="1"/>
  <c r="C124" i="48"/>
  <c r="C30" i="16" s="1"/>
  <c r="I30" i="16" s="1"/>
  <c r="D124" i="48"/>
  <c r="J124" i="48" l="1"/>
  <c r="D30" i="16"/>
  <c r="J123" i="48"/>
  <c r="F12" i="42" l="1"/>
  <c r="E13" i="42"/>
  <c r="E14" i="42"/>
  <c r="E15" i="42"/>
  <c r="E16" i="42"/>
  <c r="E17" i="42"/>
  <c r="E18" i="42"/>
  <c r="E19" i="42"/>
  <c r="E20" i="42"/>
  <c r="E21" i="42"/>
  <c r="E22" i="42"/>
  <c r="E23" i="42"/>
  <c r="E24" i="42"/>
  <c r="E25" i="42"/>
  <c r="E26" i="42"/>
  <c r="E12" i="42"/>
  <c r="C27" i="42"/>
  <c r="C14" i="56"/>
  <c r="D14" i="56"/>
  <c r="E14" i="56" s="1"/>
  <c r="C15" i="56"/>
  <c r="D15" i="56"/>
  <c r="E15" i="56" s="1"/>
  <c r="F21" i="42"/>
  <c r="F22" i="42"/>
  <c r="F23" i="42"/>
  <c r="F24" i="42"/>
  <c r="Y96" i="62" l="1"/>
  <c r="AA96" i="62" s="1"/>
  <c r="C46" i="68" s="1"/>
  <c r="B46" i="68"/>
  <c r="Z96" i="62" l="1"/>
  <c r="E17" i="102"/>
  <c r="C60" i="68" l="1"/>
  <c r="B60" i="68"/>
  <c r="D60" i="68" l="1"/>
  <c r="E60" i="68"/>
  <c r="H26" i="98"/>
  <c r="H25" i="98"/>
  <c r="J24" i="94"/>
  <c r="J21" i="94"/>
  <c r="C28" i="102"/>
  <c r="C27" i="102"/>
  <c r="C26" i="102"/>
  <c r="E25" i="102"/>
  <c r="C33" i="102" s="1"/>
  <c r="D33" i="102" s="1"/>
  <c r="C12" i="102"/>
  <c r="K36" i="101"/>
  <c r="J36" i="101"/>
  <c r="I36" i="101"/>
  <c r="H36" i="101"/>
  <c r="G36" i="101"/>
  <c r="F36" i="101"/>
  <c r="E36" i="101"/>
  <c r="D35" i="101"/>
  <c r="D36" i="101" s="1"/>
  <c r="C35" i="101"/>
  <c r="C36" i="101" s="1"/>
  <c r="K33" i="101"/>
  <c r="J33" i="101"/>
  <c r="I33" i="101"/>
  <c r="H33" i="101"/>
  <c r="G33" i="101"/>
  <c r="F33" i="101"/>
  <c r="E33" i="101"/>
  <c r="K32" i="101"/>
  <c r="J32" i="101"/>
  <c r="I32" i="101"/>
  <c r="H32" i="101"/>
  <c r="G32" i="101"/>
  <c r="F32" i="101"/>
  <c r="E32" i="101"/>
  <c r="D27" i="101"/>
  <c r="D33" i="101" s="1"/>
  <c r="C27" i="101"/>
  <c r="C33" i="101" s="1"/>
  <c r="K20" i="101"/>
  <c r="J20" i="101"/>
  <c r="I20" i="101"/>
  <c r="H20" i="101"/>
  <c r="G20" i="101"/>
  <c r="F20" i="101"/>
  <c r="E20" i="101"/>
  <c r="K19" i="101"/>
  <c r="J19" i="101"/>
  <c r="I19" i="101"/>
  <c r="H19" i="101"/>
  <c r="G19" i="101"/>
  <c r="F19" i="101"/>
  <c r="E19" i="101"/>
  <c r="D14" i="101"/>
  <c r="D20" i="101" s="1"/>
  <c r="C14" i="101"/>
  <c r="C20" i="101" s="1"/>
  <c r="M44" i="99"/>
  <c r="M43" i="99"/>
  <c r="M42" i="99"/>
  <c r="M41" i="99"/>
  <c r="M40" i="99"/>
  <c r="M39" i="99"/>
  <c r="M38" i="99"/>
  <c r="M37" i="99"/>
  <c r="M36" i="99"/>
  <c r="M35" i="99"/>
  <c r="M34" i="99"/>
  <c r="M33" i="99"/>
  <c r="M32" i="99"/>
  <c r="M31" i="99"/>
  <c r="M30" i="99"/>
  <c r="M29" i="99"/>
  <c r="M28" i="99"/>
  <c r="M27" i="99"/>
  <c r="M26" i="99"/>
  <c r="M25" i="99"/>
  <c r="M24" i="99"/>
  <c r="M23" i="99"/>
  <c r="M22" i="99"/>
  <c r="M21" i="99"/>
  <c r="M20" i="99"/>
  <c r="M19" i="99"/>
  <c r="M18" i="99"/>
  <c r="M17" i="99"/>
  <c r="M16" i="99"/>
  <c r="H44" i="98"/>
  <c r="H43" i="98"/>
  <c r="B63" i="98"/>
  <c r="H39" i="98"/>
  <c r="H40" i="98" s="1"/>
  <c r="C40" i="98"/>
  <c r="C41" i="98" s="1"/>
  <c r="C42" i="98" s="1"/>
  <c r="C43" i="98" s="1"/>
  <c r="C44" i="98" s="1"/>
  <c r="C45" i="98" s="1"/>
  <c r="C46" i="98" s="1"/>
  <c r="C47" i="98" s="1"/>
  <c r="C48" i="98" s="1"/>
  <c r="C49" i="98" s="1"/>
  <c r="C50" i="98" s="1"/>
  <c r="C51" i="98" s="1"/>
  <c r="C52" i="98" s="1"/>
  <c r="C53" i="98" s="1"/>
  <c r="C54" i="98" s="1"/>
  <c r="C55" i="98" s="1"/>
  <c r="C56" i="98" s="1"/>
  <c r="C57" i="98" s="1"/>
  <c r="C58" i="98" s="1"/>
  <c r="C59" i="98" s="1"/>
  <c r="C60" i="98" s="1"/>
  <c r="C61" i="98" s="1"/>
  <c r="C62" i="98" s="1"/>
  <c r="H16" i="98"/>
  <c r="K16" i="98" s="1"/>
  <c r="H15" i="98"/>
  <c r="H14" i="98"/>
  <c r="K14" i="98" s="1"/>
  <c r="H13" i="98"/>
  <c r="K13" i="98" s="1"/>
  <c r="C10" i="98"/>
  <c r="H17" i="97"/>
  <c r="T361" i="96"/>
  <c r="K361" i="96"/>
  <c r="T360" i="96"/>
  <c r="K360" i="96"/>
  <c r="T359" i="96"/>
  <c r="K359" i="96"/>
  <c r="T358" i="96"/>
  <c r="K358" i="96"/>
  <c r="T357" i="96"/>
  <c r="K357" i="96"/>
  <c r="T356" i="96"/>
  <c r="K356" i="96"/>
  <c r="T355" i="96"/>
  <c r="K355" i="96"/>
  <c r="T354" i="96"/>
  <c r="K354" i="96"/>
  <c r="T353" i="96"/>
  <c r="K353" i="96"/>
  <c r="T352" i="96"/>
  <c r="K352" i="96"/>
  <c r="T351" i="96"/>
  <c r="K351" i="96"/>
  <c r="T350" i="96"/>
  <c r="K350" i="96"/>
  <c r="T349" i="96"/>
  <c r="K349" i="96"/>
  <c r="T348" i="96"/>
  <c r="K348" i="96"/>
  <c r="T347" i="96"/>
  <c r="K347" i="96"/>
  <c r="T346" i="96"/>
  <c r="K346" i="96"/>
  <c r="T345" i="96"/>
  <c r="K345" i="96"/>
  <c r="T344" i="96"/>
  <c r="K344" i="96"/>
  <c r="T343" i="96"/>
  <c r="K343" i="96"/>
  <c r="T342" i="96"/>
  <c r="K342" i="96"/>
  <c r="T341" i="96"/>
  <c r="K341" i="96"/>
  <c r="T340" i="96"/>
  <c r="K340" i="96"/>
  <c r="T339" i="96"/>
  <c r="K339" i="96"/>
  <c r="T338" i="96"/>
  <c r="K338" i="96"/>
  <c r="T337" i="96"/>
  <c r="K337" i="96"/>
  <c r="T336" i="96"/>
  <c r="K336" i="96"/>
  <c r="T335" i="96"/>
  <c r="K335" i="96"/>
  <c r="T334" i="96"/>
  <c r="K334" i="96"/>
  <c r="T333" i="96"/>
  <c r="K333" i="96"/>
  <c r="T332" i="96"/>
  <c r="K332" i="96"/>
  <c r="T331" i="96"/>
  <c r="K331" i="96"/>
  <c r="T330" i="96"/>
  <c r="K330" i="96"/>
  <c r="T329" i="96"/>
  <c r="K329" i="96"/>
  <c r="T328" i="96"/>
  <c r="K328" i="96"/>
  <c r="T327" i="96"/>
  <c r="K327" i="96"/>
  <c r="T326" i="96"/>
  <c r="K326" i="96"/>
  <c r="T325" i="96"/>
  <c r="K325" i="96"/>
  <c r="T324" i="96"/>
  <c r="K324" i="96"/>
  <c r="T323" i="96"/>
  <c r="K323" i="96"/>
  <c r="T322" i="96"/>
  <c r="K322" i="96"/>
  <c r="T321" i="96"/>
  <c r="K321" i="96"/>
  <c r="T320" i="96"/>
  <c r="K320" i="96"/>
  <c r="T319" i="96"/>
  <c r="K319" i="96"/>
  <c r="T318" i="96"/>
  <c r="K318" i="96"/>
  <c r="T317" i="96"/>
  <c r="K317" i="96"/>
  <c r="T316" i="96"/>
  <c r="K316" i="96"/>
  <c r="T315" i="96"/>
  <c r="K315" i="96"/>
  <c r="T314" i="96"/>
  <c r="K314" i="96"/>
  <c r="T313" i="96"/>
  <c r="K313" i="96"/>
  <c r="T312" i="96"/>
  <c r="K312" i="96"/>
  <c r="T311" i="96"/>
  <c r="K311" i="96"/>
  <c r="T310" i="96"/>
  <c r="K310" i="96"/>
  <c r="T309" i="96"/>
  <c r="K309" i="96"/>
  <c r="T308" i="96"/>
  <c r="K308" i="96"/>
  <c r="T307" i="96"/>
  <c r="K307" i="96"/>
  <c r="T306" i="96"/>
  <c r="K306" i="96"/>
  <c r="T305" i="96"/>
  <c r="K305" i="96"/>
  <c r="T304" i="96"/>
  <c r="K304" i="96"/>
  <c r="T303" i="96"/>
  <c r="K303" i="96"/>
  <c r="T302" i="96"/>
  <c r="K302" i="96"/>
  <c r="T301" i="96"/>
  <c r="K301" i="96"/>
  <c r="T300" i="96"/>
  <c r="K300" i="96"/>
  <c r="T299" i="96"/>
  <c r="K299" i="96"/>
  <c r="T298" i="96"/>
  <c r="K298" i="96"/>
  <c r="T297" i="96"/>
  <c r="K297" i="96"/>
  <c r="T296" i="96"/>
  <c r="K296" i="96"/>
  <c r="T295" i="96"/>
  <c r="K295" i="96"/>
  <c r="T294" i="96"/>
  <c r="K294" i="96"/>
  <c r="T293" i="96"/>
  <c r="K293" i="96"/>
  <c r="T292" i="96"/>
  <c r="K292" i="96"/>
  <c r="T291" i="96"/>
  <c r="K291" i="96"/>
  <c r="T290" i="96"/>
  <c r="K290" i="96"/>
  <c r="T289" i="96"/>
  <c r="K289" i="96"/>
  <c r="T288" i="96"/>
  <c r="K288" i="96"/>
  <c r="T287" i="96"/>
  <c r="K287" i="96"/>
  <c r="T286" i="96"/>
  <c r="K286" i="96"/>
  <c r="T285" i="96"/>
  <c r="K285" i="96"/>
  <c r="T284" i="96"/>
  <c r="K284" i="96"/>
  <c r="T283" i="96"/>
  <c r="K283" i="96"/>
  <c r="T282" i="96"/>
  <c r="K282" i="96"/>
  <c r="T281" i="96"/>
  <c r="K281" i="96"/>
  <c r="T280" i="96"/>
  <c r="K280" i="96"/>
  <c r="T279" i="96"/>
  <c r="K279" i="96"/>
  <c r="T278" i="96"/>
  <c r="K278" i="96"/>
  <c r="T277" i="96"/>
  <c r="K277" i="96"/>
  <c r="T276" i="96"/>
  <c r="K276" i="96"/>
  <c r="T275" i="96"/>
  <c r="K275" i="96"/>
  <c r="T274" i="96"/>
  <c r="K274" i="96"/>
  <c r="T273" i="96"/>
  <c r="K273" i="96"/>
  <c r="T272" i="96"/>
  <c r="K272" i="96"/>
  <c r="T271" i="96"/>
  <c r="K271" i="96"/>
  <c r="T270" i="96"/>
  <c r="K270" i="96"/>
  <c r="T269" i="96"/>
  <c r="K269" i="96"/>
  <c r="T268" i="96"/>
  <c r="K268" i="96"/>
  <c r="T267" i="96"/>
  <c r="K267" i="96"/>
  <c r="T266" i="96"/>
  <c r="K266" i="96"/>
  <c r="T265" i="96"/>
  <c r="K265" i="96"/>
  <c r="T264" i="96"/>
  <c r="K264" i="96"/>
  <c r="T263" i="96"/>
  <c r="K263" i="96"/>
  <c r="T262" i="96"/>
  <c r="K262" i="96"/>
  <c r="T261" i="96"/>
  <c r="K261" i="96"/>
  <c r="T260" i="96"/>
  <c r="K260" i="96"/>
  <c r="T259" i="96"/>
  <c r="K259" i="96"/>
  <c r="T258" i="96"/>
  <c r="K258" i="96"/>
  <c r="T257" i="96"/>
  <c r="K257" i="96"/>
  <c r="T256" i="96"/>
  <c r="K256" i="96"/>
  <c r="T255" i="96"/>
  <c r="K255" i="96"/>
  <c r="T254" i="96"/>
  <c r="K254" i="96"/>
  <c r="T253" i="96"/>
  <c r="K253" i="96"/>
  <c r="T252" i="96"/>
  <c r="K252" i="96"/>
  <c r="T251" i="96"/>
  <c r="K251" i="96"/>
  <c r="T250" i="96"/>
  <c r="K250" i="96"/>
  <c r="T249" i="96"/>
  <c r="K249" i="96"/>
  <c r="T248" i="96"/>
  <c r="K248" i="96"/>
  <c r="T247" i="96"/>
  <c r="K247" i="96"/>
  <c r="T246" i="96"/>
  <c r="K246" i="96"/>
  <c r="T245" i="96"/>
  <c r="K245" i="96"/>
  <c r="T244" i="96"/>
  <c r="K244" i="96"/>
  <c r="T243" i="96"/>
  <c r="K243" i="96"/>
  <c r="T242" i="96"/>
  <c r="K242" i="96"/>
  <c r="T241" i="96"/>
  <c r="K241" i="96"/>
  <c r="T240" i="96"/>
  <c r="K240" i="96"/>
  <c r="T239" i="96"/>
  <c r="K239" i="96"/>
  <c r="T238" i="96"/>
  <c r="K238" i="96"/>
  <c r="T237" i="96"/>
  <c r="K237" i="96"/>
  <c r="T236" i="96"/>
  <c r="K236" i="96"/>
  <c r="T235" i="96"/>
  <c r="K235" i="96"/>
  <c r="T234" i="96"/>
  <c r="K234" i="96"/>
  <c r="T233" i="96"/>
  <c r="K233" i="96"/>
  <c r="T232" i="96"/>
  <c r="K232" i="96"/>
  <c r="T231" i="96"/>
  <c r="K231" i="96"/>
  <c r="T230" i="96"/>
  <c r="K230" i="96"/>
  <c r="T229" i="96"/>
  <c r="K229" i="96"/>
  <c r="T228" i="96"/>
  <c r="K228" i="96"/>
  <c r="T227" i="96"/>
  <c r="K227" i="96"/>
  <c r="T226" i="96"/>
  <c r="K226" i="96"/>
  <c r="T225" i="96"/>
  <c r="K225" i="96"/>
  <c r="T224" i="96"/>
  <c r="K224" i="96"/>
  <c r="T223" i="96"/>
  <c r="K223" i="96"/>
  <c r="T222" i="96"/>
  <c r="K222" i="96"/>
  <c r="T221" i="96"/>
  <c r="K221" i="96"/>
  <c r="T220" i="96"/>
  <c r="K220" i="96"/>
  <c r="T219" i="96"/>
  <c r="K219" i="96"/>
  <c r="T218" i="96"/>
  <c r="K218" i="96"/>
  <c r="T217" i="96"/>
  <c r="K217" i="96"/>
  <c r="T216" i="96"/>
  <c r="K216" i="96"/>
  <c r="T215" i="96"/>
  <c r="K215" i="96"/>
  <c r="T214" i="96"/>
  <c r="K214" i="96"/>
  <c r="T213" i="96"/>
  <c r="K213" i="96"/>
  <c r="T212" i="96"/>
  <c r="K212" i="96"/>
  <c r="T211" i="96"/>
  <c r="K211" i="96"/>
  <c r="T210" i="96"/>
  <c r="K210" i="96"/>
  <c r="T209" i="96"/>
  <c r="K209" i="96"/>
  <c r="T208" i="96"/>
  <c r="K208" i="96"/>
  <c r="T207" i="96"/>
  <c r="K207" i="96"/>
  <c r="T206" i="96"/>
  <c r="K206" i="96"/>
  <c r="T205" i="96"/>
  <c r="K205" i="96"/>
  <c r="T204" i="96"/>
  <c r="K204" i="96"/>
  <c r="T203" i="96"/>
  <c r="K203" i="96"/>
  <c r="T202" i="96"/>
  <c r="K202" i="96"/>
  <c r="T201" i="96"/>
  <c r="K201" i="96"/>
  <c r="T200" i="96"/>
  <c r="K200" i="96"/>
  <c r="T199" i="96"/>
  <c r="K199" i="96"/>
  <c r="T198" i="96"/>
  <c r="K198" i="96"/>
  <c r="T197" i="96"/>
  <c r="K197" i="96"/>
  <c r="T196" i="96"/>
  <c r="K196" i="96"/>
  <c r="T195" i="96"/>
  <c r="K195" i="96"/>
  <c r="T194" i="96"/>
  <c r="K194" i="96"/>
  <c r="T193" i="96"/>
  <c r="K193" i="96"/>
  <c r="T192" i="96"/>
  <c r="K192" i="96"/>
  <c r="T191" i="96"/>
  <c r="K191" i="96"/>
  <c r="T190" i="96"/>
  <c r="K190" i="96"/>
  <c r="T189" i="96"/>
  <c r="K189" i="96"/>
  <c r="T188" i="96"/>
  <c r="K188" i="96"/>
  <c r="T187" i="96"/>
  <c r="K187" i="96"/>
  <c r="T186" i="96"/>
  <c r="K186" i="96"/>
  <c r="T185" i="96"/>
  <c r="K185" i="96"/>
  <c r="T184" i="96"/>
  <c r="K184" i="96"/>
  <c r="T183" i="96"/>
  <c r="K183" i="96"/>
  <c r="T182" i="96"/>
  <c r="K182" i="96"/>
  <c r="T181" i="96"/>
  <c r="K181" i="96"/>
  <c r="T180" i="96"/>
  <c r="K180" i="96"/>
  <c r="T179" i="96"/>
  <c r="K179" i="96"/>
  <c r="T178" i="96"/>
  <c r="K178" i="96"/>
  <c r="T177" i="96"/>
  <c r="K177" i="96"/>
  <c r="T176" i="96"/>
  <c r="K176" i="96"/>
  <c r="T175" i="96"/>
  <c r="K175" i="96"/>
  <c r="T174" i="96"/>
  <c r="K174" i="96"/>
  <c r="T173" i="96"/>
  <c r="K173" i="96"/>
  <c r="T172" i="96"/>
  <c r="K172" i="96"/>
  <c r="T171" i="96"/>
  <c r="K171" i="96"/>
  <c r="T170" i="96"/>
  <c r="K170" i="96"/>
  <c r="T169" i="96"/>
  <c r="K169" i="96"/>
  <c r="T168" i="96"/>
  <c r="K168" i="96"/>
  <c r="T167" i="96"/>
  <c r="K167" i="96"/>
  <c r="T166" i="96"/>
  <c r="K166" i="96"/>
  <c r="T165" i="96"/>
  <c r="K165" i="96"/>
  <c r="T164" i="96"/>
  <c r="K164" i="96"/>
  <c r="T163" i="96"/>
  <c r="K163" i="96"/>
  <c r="T162" i="96"/>
  <c r="K162" i="96"/>
  <c r="T161" i="96"/>
  <c r="K161" i="96"/>
  <c r="T160" i="96"/>
  <c r="K160" i="96"/>
  <c r="T159" i="96"/>
  <c r="K159" i="96"/>
  <c r="T158" i="96"/>
  <c r="K158" i="96"/>
  <c r="T157" i="96"/>
  <c r="K157" i="96"/>
  <c r="T156" i="96"/>
  <c r="K156" i="96"/>
  <c r="T155" i="96"/>
  <c r="K155" i="96"/>
  <c r="T154" i="96"/>
  <c r="K154" i="96"/>
  <c r="T153" i="96"/>
  <c r="K153" i="96"/>
  <c r="T152" i="96"/>
  <c r="K152" i="96"/>
  <c r="T151" i="96"/>
  <c r="K151" i="96"/>
  <c r="T150" i="96"/>
  <c r="K150" i="96"/>
  <c r="T149" i="96"/>
  <c r="K149" i="96"/>
  <c r="T148" i="96"/>
  <c r="K148" i="96"/>
  <c r="T147" i="96"/>
  <c r="K147" i="96"/>
  <c r="T146" i="96"/>
  <c r="K146" i="96"/>
  <c r="T145" i="96"/>
  <c r="K145" i="96"/>
  <c r="T144" i="96"/>
  <c r="K144" i="96"/>
  <c r="T143" i="96"/>
  <c r="K143" i="96"/>
  <c r="T142" i="96"/>
  <c r="K142" i="96"/>
  <c r="T141" i="96"/>
  <c r="K141" i="96"/>
  <c r="T140" i="96"/>
  <c r="K140" i="96"/>
  <c r="T139" i="96"/>
  <c r="K139" i="96"/>
  <c r="T138" i="96"/>
  <c r="K138" i="96"/>
  <c r="T137" i="96"/>
  <c r="K137" i="96"/>
  <c r="T136" i="96"/>
  <c r="K136" i="96"/>
  <c r="T135" i="96"/>
  <c r="K135" i="96"/>
  <c r="T134" i="96"/>
  <c r="K134" i="96"/>
  <c r="T133" i="96"/>
  <c r="K133" i="96"/>
  <c r="T132" i="96"/>
  <c r="K132" i="96"/>
  <c r="T131" i="96"/>
  <c r="K131" i="96"/>
  <c r="T130" i="96"/>
  <c r="K130" i="96"/>
  <c r="T129" i="96"/>
  <c r="K129" i="96"/>
  <c r="T128" i="96"/>
  <c r="K128" i="96"/>
  <c r="T127" i="96"/>
  <c r="K127" i="96"/>
  <c r="T126" i="96"/>
  <c r="K126" i="96"/>
  <c r="T125" i="96"/>
  <c r="K125" i="96"/>
  <c r="T124" i="96"/>
  <c r="K124" i="96"/>
  <c r="T123" i="96"/>
  <c r="K123" i="96"/>
  <c r="T122" i="96"/>
  <c r="K122" i="96"/>
  <c r="T121" i="96"/>
  <c r="K121" i="96"/>
  <c r="T120" i="96"/>
  <c r="K120" i="96"/>
  <c r="T119" i="96"/>
  <c r="K119" i="96"/>
  <c r="T118" i="96"/>
  <c r="K118" i="96"/>
  <c r="T117" i="96"/>
  <c r="K117" i="96"/>
  <c r="T116" i="96"/>
  <c r="K116" i="96"/>
  <c r="T115" i="96"/>
  <c r="K115" i="96"/>
  <c r="T114" i="96"/>
  <c r="K114" i="96"/>
  <c r="T113" i="96"/>
  <c r="K113" i="96"/>
  <c r="T112" i="96"/>
  <c r="K112" i="96"/>
  <c r="T111" i="96"/>
  <c r="K111" i="96"/>
  <c r="T110" i="96"/>
  <c r="K110" i="96"/>
  <c r="T109" i="96"/>
  <c r="K109" i="96"/>
  <c r="T108" i="96"/>
  <c r="K108" i="96"/>
  <c r="T107" i="96"/>
  <c r="K107" i="96"/>
  <c r="T106" i="96"/>
  <c r="K106" i="96"/>
  <c r="T105" i="96"/>
  <c r="K105" i="96"/>
  <c r="T104" i="96"/>
  <c r="K104" i="96"/>
  <c r="T103" i="96"/>
  <c r="K103" i="96"/>
  <c r="T102" i="96"/>
  <c r="K102" i="96"/>
  <c r="T101" i="96"/>
  <c r="K101" i="96"/>
  <c r="T100" i="96"/>
  <c r="K100" i="96"/>
  <c r="T99" i="96"/>
  <c r="K99" i="96"/>
  <c r="T98" i="96"/>
  <c r="K98" i="96"/>
  <c r="T97" i="96"/>
  <c r="K97" i="96"/>
  <c r="T96" i="96"/>
  <c r="K96" i="96"/>
  <c r="T95" i="96"/>
  <c r="K95" i="96"/>
  <c r="T94" i="96"/>
  <c r="K94" i="96"/>
  <c r="T93" i="96"/>
  <c r="K93" i="96"/>
  <c r="T92" i="96"/>
  <c r="K92" i="96"/>
  <c r="T91" i="96"/>
  <c r="K91" i="96"/>
  <c r="T90" i="96"/>
  <c r="K90" i="96"/>
  <c r="T89" i="96"/>
  <c r="K89" i="96"/>
  <c r="T88" i="96"/>
  <c r="K88" i="96"/>
  <c r="T87" i="96"/>
  <c r="K87" i="96"/>
  <c r="T86" i="96"/>
  <c r="K86" i="96"/>
  <c r="T85" i="96"/>
  <c r="K85" i="96"/>
  <c r="T84" i="96"/>
  <c r="K84" i="96"/>
  <c r="T83" i="96"/>
  <c r="K83" i="96"/>
  <c r="T82" i="96"/>
  <c r="K82" i="96"/>
  <c r="T81" i="96"/>
  <c r="K81" i="96"/>
  <c r="T80" i="96"/>
  <c r="K80" i="96"/>
  <c r="T79" i="96"/>
  <c r="K79" i="96"/>
  <c r="T78" i="96"/>
  <c r="K78" i="96"/>
  <c r="T77" i="96"/>
  <c r="K77" i="96"/>
  <c r="T76" i="96"/>
  <c r="K76" i="96"/>
  <c r="T75" i="96"/>
  <c r="K75" i="96"/>
  <c r="T74" i="96"/>
  <c r="K74" i="96"/>
  <c r="T73" i="96"/>
  <c r="K73" i="96"/>
  <c r="T72" i="96"/>
  <c r="K72" i="96"/>
  <c r="T71" i="96"/>
  <c r="K71" i="96"/>
  <c r="T70" i="96"/>
  <c r="K70" i="96"/>
  <c r="T69" i="96"/>
  <c r="K69" i="96"/>
  <c r="T68" i="96"/>
  <c r="K68" i="96"/>
  <c r="T67" i="96"/>
  <c r="K67" i="96"/>
  <c r="T66" i="96"/>
  <c r="K66" i="96"/>
  <c r="T65" i="96"/>
  <c r="K65" i="96"/>
  <c r="T64" i="96"/>
  <c r="K64" i="96"/>
  <c r="T63" i="96"/>
  <c r="K63" i="96"/>
  <c r="T62" i="96"/>
  <c r="K62" i="96"/>
  <c r="T61" i="96"/>
  <c r="K61" i="96"/>
  <c r="T60" i="96"/>
  <c r="K60" i="96"/>
  <c r="T59" i="96"/>
  <c r="K59" i="96"/>
  <c r="T58" i="96"/>
  <c r="K58" i="96"/>
  <c r="T57" i="96"/>
  <c r="K57" i="96"/>
  <c r="T56" i="96"/>
  <c r="K56" i="96"/>
  <c r="T55" i="96"/>
  <c r="K55" i="96"/>
  <c r="T54" i="96"/>
  <c r="K54" i="96"/>
  <c r="T53" i="96"/>
  <c r="K53" i="96"/>
  <c r="T52" i="96"/>
  <c r="K52" i="96"/>
  <c r="T51" i="96"/>
  <c r="K51" i="96"/>
  <c r="T50" i="96"/>
  <c r="K50" i="96"/>
  <c r="T49" i="96"/>
  <c r="K49" i="96"/>
  <c r="T48" i="96"/>
  <c r="K48" i="96"/>
  <c r="T47" i="96"/>
  <c r="K47" i="96"/>
  <c r="T46" i="96"/>
  <c r="K46" i="96"/>
  <c r="T45" i="96"/>
  <c r="K45" i="96"/>
  <c r="T44" i="96"/>
  <c r="K44" i="96"/>
  <c r="T43" i="96"/>
  <c r="K43" i="96"/>
  <c r="T42" i="96"/>
  <c r="K42" i="96"/>
  <c r="T41" i="96"/>
  <c r="K41" i="96"/>
  <c r="T40" i="96"/>
  <c r="K40" i="96"/>
  <c r="T39" i="96"/>
  <c r="K39" i="96"/>
  <c r="T38" i="96"/>
  <c r="K38" i="96"/>
  <c r="T37" i="96"/>
  <c r="K37" i="96"/>
  <c r="T36" i="96"/>
  <c r="K36" i="96"/>
  <c r="T35" i="96"/>
  <c r="K35" i="96"/>
  <c r="K34" i="96"/>
  <c r="K33" i="96"/>
  <c r="K32" i="96"/>
  <c r="K31" i="96"/>
  <c r="S30" i="96"/>
  <c r="O30" i="96" s="1"/>
  <c r="N28" i="96" s="1"/>
  <c r="C41" i="95"/>
  <c r="D42" i="95" s="1"/>
  <c r="D62" i="94"/>
  <c r="D31" i="94" s="1"/>
  <c r="C62" i="94"/>
  <c r="C33" i="94" s="1"/>
  <c r="D33" i="94"/>
  <c r="C31" i="94"/>
  <c r="H29" i="94"/>
  <c r="G29" i="94"/>
  <c r="F29" i="94"/>
  <c r="E29" i="94"/>
  <c r="G28" i="94"/>
  <c r="F28" i="94"/>
  <c r="E28" i="94"/>
  <c r="G26" i="94"/>
  <c r="E26" i="94"/>
  <c r="G23" i="94"/>
  <c r="F23" i="94"/>
  <c r="E23" i="94"/>
  <c r="G22" i="94"/>
  <c r="F22" i="94"/>
  <c r="J20" i="94"/>
  <c r="D25" i="94" s="1"/>
  <c r="D26" i="94" s="1"/>
  <c r="G20" i="94"/>
  <c r="J19" i="94"/>
  <c r="D27" i="94" s="1"/>
  <c r="D18" i="94"/>
  <c r="C18" i="94"/>
  <c r="J15" i="94"/>
  <c r="G14" i="94"/>
  <c r="F14" i="94"/>
  <c r="M12" i="94"/>
  <c r="D12" i="94"/>
  <c r="C12" i="94"/>
  <c r="F14" i="93"/>
  <c r="E14" i="93"/>
  <c r="D14" i="93"/>
  <c r="C14" i="93"/>
  <c r="F13" i="93"/>
  <c r="S28" i="96" l="1"/>
  <c r="L30" i="96"/>
  <c r="M30" i="96" s="1"/>
  <c r="Q30" i="96"/>
  <c r="T30" i="96" s="1"/>
  <c r="R4" i="96"/>
  <c r="L361" i="96"/>
  <c r="Q361" i="96"/>
  <c r="D30" i="97"/>
  <c r="D31" i="97" s="1"/>
  <c r="C31" i="97"/>
  <c r="J28" i="96"/>
  <c r="N17" i="99"/>
  <c r="P17" i="99"/>
  <c r="N23" i="99"/>
  <c r="P23" i="99"/>
  <c r="N27" i="99"/>
  <c r="P27" i="99"/>
  <c r="N31" i="99"/>
  <c r="P31" i="99"/>
  <c r="N35" i="99"/>
  <c r="P35" i="99"/>
  <c r="N43" i="99"/>
  <c r="P43" i="99"/>
  <c r="N19" i="99"/>
  <c r="P19" i="99"/>
  <c r="N21" i="99"/>
  <c r="P21" i="99"/>
  <c r="N25" i="99"/>
  <c r="P25" i="99"/>
  <c r="N29" i="99"/>
  <c r="P29" i="99"/>
  <c r="N33" i="99"/>
  <c r="P33" i="99"/>
  <c r="N37" i="99"/>
  <c r="P37" i="99"/>
  <c r="N39" i="99"/>
  <c r="P39" i="99"/>
  <c r="N41" i="99"/>
  <c r="P41" i="99"/>
  <c r="N16" i="99"/>
  <c r="P16" i="99"/>
  <c r="N18" i="99"/>
  <c r="P18" i="99"/>
  <c r="N20" i="99"/>
  <c r="P20" i="99"/>
  <c r="N22" i="99"/>
  <c r="P22" i="99"/>
  <c r="N24" i="99"/>
  <c r="P24" i="99"/>
  <c r="N26" i="99"/>
  <c r="P26" i="99"/>
  <c r="N28" i="99"/>
  <c r="P28" i="99"/>
  <c r="N30" i="99"/>
  <c r="P30" i="99"/>
  <c r="N32" i="99"/>
  <c r="P32" i="99"/>
  <c r="N34" i="99"/>
  <c r="P34" i="99"/>
  <c r="N36" i="99"/>
  <c r="P36" i="99"/>
  <c r="N38" i="99"/>
  <c r="P38" i="99"/>
  <c r="N40" i="99"/>
  <c r="P40" i="99"/>
  <c r="N42" i="99"/>
  <c r="P42" i="99"/>
  <c r="N44" i="99"/>
  <c r="P44" i="99"/>
  <c r="C27" i="94"/>
  <c r="C28" i="94" s="1"/>
  <c r="D17" i="98"/>
  <c r="C17" i="98"/>
  <c r="C16" i="98"/>
  <c r="C13" i="102"/>
  <c r="D19" i="94"/>
  <c r="D20" i="94" s="1"/>
  <c r="D13" i="94"/>
  <c r="D14" i="94" s="1"/>
  <c r="D29" i="95"/>
  <c r="D37" i="95"/>
  <c r="C25" i="94"/>
  <c r="C26" i="94" s="1"/>
  <c r="D28" i="94"/>
  <c r="D22" i="95"/>
  <c r="C19" i="94"/>
  <c r="C20" i="94" s="1"/>
  <c r="C10" i="94"/>
  <c r="C11" i="94" s="1"/>
  <c r="D10" i="94"/>
  <c r="D11" i="94" s="1"/>
  <c r="C13" i="94"/>
  <c r="C14" i="94" s="1"/>
  <c r="D17" i="95"/>
  <c r="D25" i="95"/>
  <c r="D15" i="94"/>
  <c r="D16" i="94" s="1"/>
  <c r="D17" i="94" s="1"/>
  <c r="C15" i="94"/>
  <c r="C16" i="94" s="1"/>
  <c r="C17" i="94" s="1"/>
  <c r="D18" i="95"/>
  <c r="D40" i="95"/>
  <c r="D36" i="95"/>
  <c r="D32" i="95"/>
  <c r="D28" i="95"/>
  <c r="D24" i="95"/>
  <c r="D20" i="95"/>
  <c r="D34" i="95"/>
  <c r="D30" i="95"/>
  <c r="D39" i="95"/>
  <c r="D35" i="95"/>
  <c r="D31" i="95"/>
  <c r="D27" i="95"/>
  <c r="D23" i="95"/>
  <c r="D19" i="95"/>
  <c r="D38" i="95"/>
  <c r="D26" i="95"/>
  <c r="D21" i="94"/>
  <c r="D22" i="94" s="1"/>
  <c r="C21" i="94"/>
  <c r="C22" i="94" s="1"/>
  <c r="M22" i="94"/>
  <c r="D21" i="95"/>
  <c r="D33" i="95"/>
  <c r="K15" i="98"/>
  <c r="D16" i="98" s="1"/>
  <c r="F48" i="99"/>
  <c r="F50" i="99" s="1"/>
  <c r="E56" i="48" l="1"/>
  <c r="AD54" i="48" s="1"/>
  <c r="H56" i="48"/>
  <c r="AE54" i="48" s="1"/>
  <c r="F49" i="99"/>
  <c r="F51" i="99" s="1"/>
  <c r="E28" i="102"/>
  <c r="E18" i="102"/>
  <c r="E26" i="102"/>
  <c r="E20" i="102"/>
  <c r="C29" i="94"/>
  <c r="D29" i="94"/>
  <c r="E16" i="98"/>
  <c r="E17" i="98"/>
  <c r="E24" i="102"/>
  <c r="E16" i="102"/>
  <c r="D23" i="94"/>
  <c r="C23" i="94"/>
  <c r="D41" i="95"/>
  <c r="M56" i="48" l="1"/>
  <c r="C32" i="102"/>
  <c r="C34" i="102"/>
  <c r="D34" i="102" s="1"/>
  <c r="C36" i="102"/>
  <c r="D36" i="102" s="1"/>
  <c r="D32" i="102" l="1"/>
  <c r="C58" i="68"/>
  <c r="E58" i="68" s="1"/>
  <c r="B58" i="68"/>
  <c r="D58" i="68" l="1"/>
  <c r="J126" i="48" l="1"/>
  <c r="I10" i="48"/>
  <c r="I9" i="48"/>
  <c r="I8" i="48"/>
  <c r="I7" i="48"/>
  <c r="G119" i="48" l="1"/>
  <c r="F25" i="16" s="1"/>
  <c r="H119" i="48"/>
  <c r="G25" i="16" s="1"/>
  <c r="G120" i="48"/>
  <c r="F26" i="16" s="1"/>
  <c r="H120" i="48"/>
  <c r="G26" i="16" s="1"/>
  <c r="G121" i="48"/>
  <c r="F27" i="16" s="1"/>
  <c r="H121" i="48"/>
  <c r="G27" i="16" s="1"/>
  <c r="G122" i="48"/>
  <c r="F28" i="16" s="1"/>
  <c r="H122" i="48"/>
  <c r="G28" i="16" s="1"/>
  <c r="H118" i="48"/>
  <c r="G118" i="48"/>
  <c r="D23" i="48"/>
  <c r="I15" i="48"/>
  <c r="B63" i="68"/>
  <c r="G24" i="16" l="1"/>
  <c r="G31" i="16" s="1"/>
  <c r="H125" i="48"/>
  <c r="F24" i="16"/>
  <c r="F31" i="16" s="1"/>
  <c r="G125" i="48"/>
  <c r="H68" i="48"/>
  <c r="E60" i="48"/>
  <c r="AD57" i="48" s="1"/>
  <c r="E62" i="48"/>
  <c r="AD60" i="48" s="1"/>
  <c r="E61" i="48"/>
  <c r="AD59" i="48" s="1"/>
  <c r="H55" i="48"/>
  <c r="E55" i="48"/>
  <c r="C51" i="68"/>
  <c r="D51" i="68" s="1"/>
  <c r="B51" i="68"/>
  <c r="E14" i="68"/>
  <c r="D14" i="68"/>
  <c r="C14" i="68"/>
  <c r="C57" i="68"/>
  <c r="E57" i="68" s="1"/>
  <c r="C52" i="60" l="1"/>
  <c r="D52" i="60"/>
  <c r="D47" i="60" l="1"/>
  <c r="C37" i="60"/>
  <c r="E22" i="60"/>
  <c r="K23" i="60"/>
  <c r="J23" i="60"/>
  <c r="D16" i="68"/>
  <c r="C78" i="68"/>
  <c r="C37" i="68"/>
  <c r="C36" i="68"/>
  <c r="C34" i="68"/>
  <c r="D63" i="68"/>
  <c r="E63" i="68" s="1"/>
  <c r="E23" i="60" l="1"/>
  <c r="C11" i="16"/>
  <c r="C19" i="16"/>
  <c r="M19" i="45"/>
  <c r="D120" i="48" s="1"/>
  <c r="D26" i="16" s="1"/>
  <c r="BK8" i="45"/>
  <c r="C77" i="68"/>
  <c r="D77" i="68" s="1"/>
  <c r="D64" i="68"/>
  <c r="E64" i="68" s="1"/>
  <c r="E52" i="68"/>
  <c r="C47" i="68"/>
  <c r="D47" i="68" s="1"/>
  <c r="C39" i="68"/>
  <c r="C38" i="68"/>
  <c r="D38" i="68" s="1"/>
  <c r="E38" i="68" s="1"/>
  <c r="D37" i="68"/>
  <c r="E37" i="68" s="1"/>
  <c r="D36" i="68"/>
  <c r="E36" i="68" s="1"/>
  <c r="C35" i="68"/>
  <c r="D35" i="68" s="1"/>
  <c r="E35" i="68" s="1"/>
  <c r="C20" i="68"/>
  <c r="D20" i="68" s="1"/>
  <c r="E20" i="68" s="1"/>
  <c r="C65" i="68"/>
  <c r="D65" i="68"/>
  <c r="C80" i="68"/>
  <c r="D80" i="68" s="1"/>
  <c r="E80" i="68" s="1"/>
  <c r="C71" i="68"/>
  <c r="D71" i="68" s="1"/>
  <c r="E71" i="68" s="1"/>
  <c r="D54" i="68"/>
  <c r="E54" i="68" s="1"/>
  <c r="C25" i="68"/>
  <c r="D25" i="68" s="1"/>
  <c r="E25" i="68" s="1"/>
  <c r="C24" i="68"/>
  <c r="D24" i="68" s="1"/>
  <c r="E24" i="68" s="1"/>
  <c r="C23" i="68"/>
  <c r="C22" i="68"/>
  <c r="D22" i="68" s="1"/>
  <c r="E22" i="68" s="1"/>
  <c r="C18" i="68"/>
  <c r="D18" i="68" s="1"/>
  <c r="E18" i="68" s="1"/>
  <c r="D34" i="68"/>
  <c r="C9" i="68"/>
  <c r="E9" i="68" s="1"/>
  <c r="C12" i="68"/>
  <c r="E12" i="68" s="1"/>
  <c r="C11" i="68"/>
  <c r="D11" i="68" s="1"/>
  <c r="C10" i="68"/>
  <c r="D6" i="68"/>
  <c r="D5" i="68"/>
  <c r="C6" i="68"/>
  <c r="E6" i="68" s="1"/>
  <c r="C5" i="68"/>
  <c r="H71" i="48"/>
  <c r="AE69" i="48" s="1"/>
  <c r="E71" i="48"/>
  <c r="AD69" i="48" s="1"/>
  <c r="H62" i="48"/>
  <c r="AE60" i="48" s="1"/>
  <c r="H61" i="48"/>
  <c r="AE59" i="48" s="1"/>
  <c r="H60" i="48"/>
  <c r="AE57" i="48" s="1"/>
  <c r="H46" i="48"/>
  <c r="AE44" i="48" s="1"/>
  <c r="H45" i="48"/>
  <c r="H44" i="48"/>
  <c r="AE42" i="48" s="1"/>
  <c r="H43" i="48"/>
  <c r="AE41" i="48" s="1"/>
  <c r="E46" i="48"/>
  <c r="AD44" i="48" s="1"/>
  <c r="E45" i="48"/>
  <c r="E44" i="48"/>
  <c r="AD42" i="48" s="1"/>
  <c r="E52" i="48"/>
  <c r="AD50" i="48" s="1"/>
  <c r="E49" i="48"/>
  <c r="AD47" i="48" s="1"/>
  <c r="E47" i="48"/>
  <c r="AD45" i="48" s="1"/>
  <c r="E43" i="48"/>
  <c r="AD41" i="48" s="1"/>
  <c r="E42" i="48"/>
  <c r="AD40" i="48" s="1"/>
  <c r="E41" i="48"/>
  <c r="AD39" i="48" s="1"/>
  <c r="H42" i="48"/>
  <c r="AE40" i="48" s="1"/>
  <c r="C51" i="60" l="1"/>
  <c r="D23" i="68"/>
  <c r="E23" i="68" s="1"/>
  <c r="D41" i="60" s="1"/>
  <c r="C41" i="60"/>
  <c r="E5" i="68"/>
  <c r="C46" i="60"/>
  <c r="E53" i="68"/>
  <c r="D45" i="60" s="1"/>
  <c r="C45" i="60"/>
  <c r="D57" i="68"/>
  <c r="D59" i="68"/>
  <c r="E65" i="68"/>
  <c r="D52" i="68"/>
  <c r="D53" i="68"/>
  <c r="E47" i="68"/>
  <c r="D12" i="68"/>
  <c r="E11" i="68"/>
  <c r="E10" i="68"/>
  <c r="J9" i="47"/>
  <c r="D51" i="60" l="1"/>
  <c r="D46" i="60"/>
  <c r="E40" i="68"/>
  <c r="D40" i="68"/>
  <c r="C40" i="68"/>
  <c r="E39" i="68"/>
  <c r="C41" i="68"/>
  <c r="D85" i="68"/>
  <c r="D84" i="68"/>
  <c r="D83" i="68"/>
  <c r="E78" i="68"/>
  <c r="B80" i="68"/>
  <c r="B76" i="68"/>
  <c r="B75" i="68"/>
  <c r="B38" i="68"/>
  <c r="B37" i="68"/>
  <c r="B36" i="68"/>
  <c r="B41" i="68"/>
  <c r="B12" i="68"/>
  <c r="A12" i="68"/>
  <c r="B11" i="68"/>
  <c r="E27" i="68"/>
  <c r="D27" i="68"/>
  <c r="C27" i="68"/>
  <c r="B27" i="68"/>
  <c r="E84" i="68"/>
  <c r="E85" i="68"/>
  <c r="C84" i="68"/>
  <c r="C85" i="68"/>
  <c r="E83" i="68"/>
  <c r="C83" i="68"/>
  <c r="D48" i="60"/>
  <c r="D82" i="68"/>
  <c r="C82" i="68"/>
  <c r="C48" i="60" s="1"/>
  <c r="B85" i="68"/>
  <c r="B84" i="68"/>
  <c r="B83" i="68"/>
  <c r="B62" i="68"/>
  <c r="B77" i="68"/>
  <c r="B64" i="68"/>
  <c r="B71" i="68"/>
  <c r="B78" i="68"/>
  <c r="D78" i="68"/>
  <c r="D62" i="68"/>
  <c r="D50" i="60"/>
  <c r="B59" i="68"/>
  <c r="B45" i="68"/>
  <c r="B44" i="68"/>
  <c r="B33" i="68"/>
  <c r="B32" i="68"/>
  <c r="B31" i="68"/>
  <c r="B40" i="68"/>
  <c r="B35" i="68"/>
  <c r="D48" i="68"/>
  <c r="D41" i="68"/>
  <c r="E41" i="68"/>
  <c r="E42" i="68"/>
  <c r="D42" i="68"/>
  <c r="C42" i="68"/>
  <c r="D39" i="68"/>
  <c r="Z80" i="62"/>
  <c r="X80" i="62"/>
  <c r="Y80" i="62" s="1"/>
  <c r="AA80" i="62" s="1"/>
  <c r="Z76" i="62"/>
  <c r="Y124" i="62"/>
  <c r="Z124" i="62" s="1"/>
  <c r="Y92" i="62"/>
  <c r="AA92" i="62" s="1"/>
  <c r="C45" i="68" s="1"/>
  <c r="Y88" i="62"/>
  <c r="AA88" i="62" s="1"/>
  <c r="X76" i="62"/>
  <c r="Y76" i="62" s="1"/>
  <c r="X72" i="62"/>
  <c r="Y72" i="62" s="1"/>
  <c r="C16" i="68"/>
  <c r="G93" i="48"/>
  <c r="E93" i="48"/>
  <c r="H76" i="48"/>
  <c r="AE74" i="48" s="1"/>
  <c r="H75" i="48"/>
  <c r="H74" i="48"/>
  <c r="AE72" i="48" s="1"/>
  <c r="D15" i="48"/>
  <c r="D14" i="48"/>
  <c r="D13" i="48"/>
  <c r="D12" i="48"/>
  <c r="AD91" i="48" l="1"/>
  <c r="I93" i="48"/>
  <c r="C43" i="68"/>
  <c r="C50" i="60"/>
  <c r="C33" i="68"/>
  <c r="H70" i="48"/>
  <c r="AE68" i="48" s="1"/>
  <c r="C44" i="68"/>
  <c r="AA72" i="62"/>
  <c r="H69" i="48" s="1"/>
  <c r="AE65" i="48" s="1"/>
  <c r="Z88" i="62"/>
  <c r="Z92" i="62"/>
  <c r="Z72" i="62"/>
  <c r="E69" i="48" s="1"/>
  <c r="AD65" i="48" s="1"/>
  <c r="AA76" i="62"/>
  <c r="C32" i="68" s="1"/>
  <c r="C47" i="60"/>
  <c r="D10" i="68"/>
  <c r="B57" i="68"/>
  <c r="D46" i="68" l="1"/>
  <c r="E46" i="68" s="1"/>
  <c r="D43" i="68"/>
  <c r="E70" i="48"/>
  <c r="AD68" i="48" s="1"/>
  <c r="D44" i="68"/>
  <c r="E44" i="68" s="1"/>
  <c r="D45" i="68"/>
  <c r="E45" i="68" s="1"/>
  <c r="D33" i="68"/>
  <c r="C31" i="68"/>
  <c r="C30" i="68"/>
  <c r="C49" i="60" s="1"/>
  <c r="D30" i="68"/>
  <c r="E30" i="68"/>
  <c r="D49" i="60" s="1"/>
  <c r="D31" i="68"/>
  <c r="E31" i="68"/>
  <c r="D32" i="68"/>
  <c r="E43" i="68"/>
  <c r="B25" i="68"/>
  <c r="B50" i="68"/>
  <c r="B52" i="68"/>
  <c r="B53" i="68"/>
  <c r="B54" i="68"/>
  <c r="B55" i="68"/>
  <c r="C50" i="68"/>
  <c r="D55" i="68"/>
  <c r="D50" i="68"/>
  <c r="E50" i="68"/>
  <c r="D44" i="60" s="1"/>
  <c r="B28" i="68"/>
  <c r="B26" i="68"/>
  <c r="B24" i="68"/>
  <c r="B23" i="68"/>
  <c r="B22" i="68"/>
  <c r="B21" i="68"/>
  <c r="B20" i="68"/>
  <c r="B19" i="68"/>
  <c r="B18" i="68"/>
  <c r="E28" i="68"/>
  <c r="D39" i="60" s="1"/>
  <c r="E26" i="68"/>
  <c r="D40" i="60" s="1"/>
  <c r="E21" i="68"/>
  <c r="D42" i="60" s="1"/>
  <c r="E19" i="68"/>
  <c r="D38" i="60" s="1"/>
  <c r="E16" i="68"/>
  <c r="D19" i="68"/>
  <c r="C15" i="68"/>
  <c r="E15" i="68"/>
  <c r="B16" i="68"/>
  <c r="B15" i="68"/>
  <c r="B14" i="68"/>
  <c r="B10" i="68"/>
  <c r="B9" i="68"/>
  <c r="B6" i="68"/>
  <c r="B5" i="68"/>
  <c r="D28" i="68"/>
  <c r="C28" i="68"/>
  <c r="D21" i="68"/>
  <c r="D26" i="68"/>
  <c r="C26" i="68"/>
  <c r="C21" i="68"/>
  <c r="C19" i="68"/>
  <c r="D12" i="47" l="1"/>
  <c r="G12" i="47"/>
  <c r="D43" i="60"/>
  <c r="C38" i="60"/>
  <c r="C42" i="60"/>
  <c r="C40" i="60"/>
  <c r="C39" i="60"/>
  <c r="C43" i="60"/>
  <c r="C44" i="60"/>
  <c r="E32" i="68"/>
  <c r="E33" i="68" s="1"/>
  <c r="D10" i="47"/>
  <c r="G10" i="47"/>
  <c r="D9" i="47"/>
  <c r="D13" i="47"/>
  <c r="G14" i="47"/>
  <c r="G17" i="47"/>
  <c r="G13" i="47"/>
  <c r="D26" i="47"/>
  <c r="D22" i="47"/>
  <c r="D18" i="47"/>
  <c r="G28" i="47"/>
  <c r="G24" i="47"/>
  <c r="G20" i="47"/>
  <c r="G16" i="47"/>
  <c r="D25" i="47"/>
  <c r="D21" i="47"/>
  <c r="D17" i="47"/>
  <c r="G25" i="47"/>
  <c r="G21" i="47"/>
  <c r="G11" i="47"/>
  <c r="G9" i="47"/>
  <c r="D15" i="47"/>
  <c r="D11" i="47"/>
  <c r="D14" i="47"/>
  <c r="G15" i="47"/>
  <c r="D28" i="47"/>
  <c r="D24" i="47"/>
  <c r="D20" i="47"/>
  <c r="D16" i="47"/>
  <c r="G26" i="47"/>
  <c r="G22" i="47"/>
  <c r="G18" i="47"/>
  <c r="D27" i="47"/>
  <c r="D23" i="47"/>
  <c r="D19" i="47"/>
  <c r="G27" i="47"/>
  <c r="G23" i="47"/>
  <c r="G19" i="47"/>
  <c r="D15" i="68"/>
  <c r="R30" i="47"/>
  <c r="S30" i="47"/>
  <c r="A2" i="68"/>
  <c r="E31" i="48"/>
  <c r="J22" i="60"/>
  <c r="K22" i="60"/>
  <c r="J24" i="60"/>
  <c r="K24" i="60"/>
  <c r="J25" i="60"/>
  <c r="K25" i="60"/>
  <c r="J26" i="60"/>
  <c r="K26" i="60"/>
  <c r="J27" i="60"/>
  <c r="K27" i="60"/>
  <c r="J28" i="60"/>
  <c r="K28" i="60"/>
  <c r="J29" i="60"/>
  <c r="K29" i="60"/>
  <c r="J31" i="60"/>
  <c r="K31" i="60"/>
  <c r="D13" i="60"/>
  <c r="G95" i="48"/>
  <c r="I21" i="48"/>
  <c r="I20" i="48"/>
  <c r="I19" i="48"/>
  <c r="I18" i="48"/>
  <c r="D19" i="48"/>
  <c r="E31" i="60" l="1"/>
  <c r="E29" i="60"/>
  <c r="E28" i="60"/>
  <c r="E27" i="60"/>
  <c r="E26" i="60"/>
  <c r="E25" i="60"/>
  <c r="E24" i="60"/>
  <c r="E63" i="62"/>
  <c r="D9" i="68"/>
  <c r="J30" i="60"/>
  <c r="E54" i="48"/>
  <c r="AD52" i="48" s="1"/>
  <c r="H49" i="48" l="1"/>
  <c r="AE47" i="48" s="1"/>
  <c r="H51" i="48"/>
  <c r="AE49" i="48" s="1"/>
  <c r="E51" i="48"/>
  <c r="AD49" i="48" s="1"/>
  <c r="H50" i="48"/>
  <c r="AE48" i="48" s="1"/>
  <c r="E50" i="48"/>
  <c r="AD48" i="48" s="1"/>
  <c r="D7" i="48"/>
  <c r="D16" i="60" l="1"/>
  <c r="G127" i="48"/>
  <c r="H127" i="48"/>
  <c r="B28" i="47"/>
  <c r="U28" i="47" s="1"/>
  <c r="L10" i="47"/>
  <c r="L13" i="47"/>
  <c r="L14" i="47"/>
  <c r="L15" i="47"/>
  <c r="L16" i="47"/>
  <c r="L17" i="47"/>
  <c r="L18" i="47"/>
  <c r="L19" i="47"/>
  <c r="L20" i="47"/>
  <c r="L21" i="47"/>
  <c r="L22" i="47"/>
  <c r="L23" i="47"/>
  <c r="L24" i="47"/>
  <c r="L25" i="47"/>
  <c r="L26" i="47"/>
  <c r="L27" i="47"/>
  <c r="L28" i="47"/>
  <c r="J10" i="47"/>
  <c r="J11" i="47"/>
  <c r="J13" i="47"/>
  <c r="J14" i="47"/>
  <c r="J15" i="47"/>
  <c r="J16" i="47"/>
  <c r="J17" i="47"/>
  <c r="J18" i="47"/>
  <c r="J19" i="47"/>
  <c r="J20" i="47"/>
  <c r="J21" i="47"/>
  <c r="J22" i="47"/>
  <c r="J23" i="47"/>
  <c r="J24" i="47"/>
  <c r="J25" i="47"/>
  <c r="J26" i="47"/>
  <c r="J27" i="47"/>
  <c r="J28" i="47"/>
  <c r="BY19" i="45"/>
  <c r="BX19" i="45"/>
  <c r="BW19" i="45"/>
  <c r="BV19" i="45"/>
  <c r="BU19" i="45"/>
  <c r="BT19" i="45"/>
  <c r="L9" i="47"/>
  <c r="N9" i="47" l="1"/>
  <c r="D15" i="60"/>
  <c r="D17" i="60" s="1"/>
  <c r="P28" i="47"/>
  <c r="O9" i="47"/>
  <c r="M28" i="47"/>
  <c r="N28" i="47"/>
  <c r="O28" i="47"/>
  <c r="P9" i="47" l="1"/>
  <c r="U9" i="47" s="1"/>
  <c r="Q28" i="47"/>
  <c r="BK19" i="45"/>
  <c r="I31" i="60" s="1"/>
  <c r="BB19" i="45"/>
  <c r="C118" i="48" s="1"/>
  <c r="BH19" i="45"/>
  <c r="B11" i="47"/>
  <c r="U11" i="47" s="1"/>
  <c r="B13" i="47"/>
  <c r="U13" i="47" s="1"/>
  <c r="B14" i="47"/>
  <c r="U14" i="47" s="1"/>
  <c r="B15" i="47"/>
  <c r="U15" i="47" s="1"/>
  <c r="B16" i="47"/>
  <c r="U16" i="47" s="1"/>
  <c r="B17" i="47"/>
  <c r="U17" i="47" s="1"/>
  <c r="B18" i="47"/>
  <c r="U18" i="47" s="1"/>
  <c r="B19" i="47"/>
  <c r="U19" i="47" s="1"/>
  <c r="B20" i="47"/>
  <c r="U20" i="47" s="1"/>
  <c r="B21" i="47"/>
  <c r="U21" i="47" s="1"/>
  <c r="B10" i="47"/>
  <c r="U10" i="47" s="1"/>
  <c r="Y19" i="45"/>
  <c r="H31" i="60" s="1"/>
  <c r="B23" i="47"/>
  <c r="U23" i="47" s="1"/>
  <c r="B24" i="47"/>
  <c r="U24" i="47" s="1"/>
  <c r="B25" i="47"/>
  <c r="U25" i="47" s="1"/>
  <c r="B26" i="47"/>
  <c r="U26" i="47" s="1"/>
  <c r="B27" i="47"/>
  <c r="U27" i="47" s="1"/>
  <c r="B22" i="47"/>
  <c r="U22" i="47" s="1"/>
  <c r="C17" i="16"/>
  <c r="C112" i="48" s="1"/>
  <c r="C18" i="16"/>
  <c r="F14" i="62"/>
  <c r="E42" i="62" s="1"/>
  <c r="E52" i="62" s="1"/>
  <c r="E69" i="62" s="1"/>
  <c r="E100" i="62" s="1"/>
  <c r="E85" i="62" s="1"/>
  <c r="E122" i="62" s="1"/>
  <c r="E141" i="62" s="1"/>
  <c r="E179" i="62" s="1"/>
  <c r="H73" i="48"/>
  <c r="AE71" i="48" s="1"/>
  <c r="E73" i="48"/>
  <c r="AD71" i="48" s="1"/>
  <c r="H64" i="48"/>
  <c r="AE62" i="48" s="1"/>
  <c r="E64" i="48"/>
  <c r="AD62" i="48" s="1"/>
  <c r="BA19" i="45"/>
  <c r="C122" i="48" s="1"/>
  <c r="C28" i="16" s="1"/>
  <c r="BG19" i="45"/>
  <c r="AY19" i="45"/>
  <c r="C120" i="48" s="1"/>
  <c r="C26" i="16" s="1"/>
  <c r="AZ19" i="45"/>
  <c r="U19" i="45"/>
  <c r="O19" i="45"/>
  <c r="D122" i="48" s="1"/>
  <c r="D28" i="16" s="1"/>
  <c r="N19" i="45"/>
  <c r="D22" i="48"/>
  <c r="D21" i="48"/>
  <c r="D20" i="48"/>
  <c r="D18" i="48"/>
  <c r="D17" i="48"/>
  <c r="I14" i="48"/>
  <c r="I12" i="48"/>
  <c r="D8" i="48"/>
  <c r="I6" i="48"/>
  <c r="H80" i="48"/>
  <c r="AE78" i="48" s="1"/>
  <c r="H79" i="48"/>
  <c r="AE77" i="48" s="1"/>
  <c r="E80" i="48"/>
  <c r="AD78" i="48" s="1"/>
  <c r="E79" i="48"/>
  <c r="AD77" i="48" s="1"/>
  <c r="H59" i="48"/>
  <c r="AE56" i="48" s="1"/>
  <c r="E59" i="48"/>
  <c r="AD56" i="48" s="1"/>
  <c r="H52" i="48"/>
  <c r="AE50" i="48" s="1"/>
  <c r="H48" i="48"/>
  <c r="AE46" i="48" s="1"/>
  <c r="E48" i="48"/>
  <c r="AD46" i="48" s="1"/>
  <c r="H47" i="48"/>
  <c r="AE45" i="48" s="1"/>
  <c r="H41" i="48"/>
  <c r="AE39" i="48" s="1"/>
  <c r="BI19" i="45"/>
  <c r="C121" i="48" s="1"/>
  <c r="C27" i="16" s="1"/>
  <c r="BF19" i="45"/>
  <c r="BD19" i="45"/>
  <c r="I27" i="60" s="1"/>
  <c r="BE19" i="45"/>
  <c r="BC19" i="45"/>
  <c r="C119" i="48" s="1"/>
  <c r="C25" i="16" s="1"/>
  <c r="W19" i="45"/>
  <c r="D121" i="48" s="1"/>
  <c r="D27" i="16" s="1"/>
  <c r="P19" i="45"/>
  <c r="D118" i="48" s="1"/>
  <c r="V19" i="45"/>
  <c r="T19" i="45"/>
  <c r="R19" i="45"/>
  <c r="H27" i="60" s="1"/>
  <c r="S19" i="45"/>
  <c r="Q19" i="45"/>
  <c r="D119" i="48" s="1"/>
  <c r="D25" i="16" s="1"/>
  <c r="F26" i="42"/>
  <c r="F13" i="42"/>
  <c r="F14" i="42"/>
  <c r="F15" i="42"/>
  <c r="F16" i="42"/>
  <c r="F17" i="42"/>
  <c r="F18" i="42"/>
  <c r="F19" i="42"/>
  <c r="F20" i="42"/>
  <c r="F25" i="42"/>
  <c r="D4" i="56"/>
  <c r="E4" i="56" s="1"/>
  <c r="D5" i="56"/>
  <c r="E5" i="56" s="1"/>
  <c r="D6" i="56"/>
  <c r="E6" i="56" s="1"/>
  <c r="D7" i="56"/>
  <c r="E7" i="56" s="1"/>
  <c r="D8" i="56"/>
  <c r="E8" i="56" s="1"/>
  <c r="D9" i="56"/>
  <c r="E9" i="56" s="1"/>
  <c r="D10" i="56"/>
  <c r="E10" i="56" s="1"/>
  <c r="D11" i="56"/>
  <c r="E11" i="56" s="1"/>
  <c r="D12" i="56"/>
  <c r="E12" i="56" s="1"/>
  <c r="D13" i="56"/>
  <c r="E13" i="56" s="1"/>
  <c r="D16" i="56"/>
  <c r="D17" i="56"/>
  <c r="C4" i="56"/>
  <c r="C5" i="56"/>
  <c r="C6" i="56"/>
  <c r="C7" i="56"/>
  <c r="C8" i="56"/>
  <c r="C17" i="56"/>
  <c r="D3" i="56"/>
  <c r="C3" i="56"/>
  <c r="AX19" i="45"/>
  <c r="BL19" i="45"/>
  <c r="BM19" i="45"/>
  <c r="BN19" i="45"/>
  <c r="BO19" i="45"/>
  <c r="BP19" i="45"/>
  <c r="BQ19" i="45"/>
  <c r="BR19" i="45"/>
  <c r="BS19" i="45"/>
  <c r="E88" i="48"/>
  <c r="X19" i="45"/>
  <c r="Z19" i="45"/>
  <c r="AA19" i="45"/>
  <c r="AB19" i="45"/>
  <c r="AC19" i="45"/>
  <c r="AD19" i="45"/>
  <c r="AE19" i="45"/>
  <c r="AF19" i="45"/>
  <c r="AG19" i="45"/>
  <c r="AH19" i="45"/>
  <c r="AI19" i="45"/>
  <c r="AJ19" i="45"/>
  <c r="AK19" i="45"/>
  <c r="AL19" i="45"/>
  <c r="AM19" i="45"/>
  <c r="AN19" i="45"/>
  <c r="AO19" i="45"/>
  <c r="AP19" i="45"/>
  <c r="AQ19" i="45"/>
  <c r="AR19" i="45"/>
  <c r="AS19" i="45"/>
  <c r="AT19" i="45"/>
  <c r="AU19" i="45"/>
  <c r="AV19" i="45"/>
  <c r="AW19" i="45"/>
  <c r="E101" i="48"/>
  <c r="E100" i="48"/>
  <c r="BJ19" i="45"/>
  <c r="C10" i="16"/>
  <c r="D27" i="48"/>
  <c r="E27" i="48"/>
  <c r="F27" i="48"/>
  <c r="G27" i="48"/>
  <c r="H27" i="48"/>
  <c r="G88" i="48"/>
  <c r="G89" i="48"/>
  <c r="G90" i="48"/>
  <c r="G91" i="48"/>
  <c r="G99" i="48"/>
  <c r="G100" i="48"/>
  <c r="G101" i="48"/>
  <c r="E110" i="48"/>
  <c r="G110" i="48"/>
  <c r="I25" i="48"/>
  <c r="C10" i="56"/>
  <c r="C11" i="56"/>
  <c r="C13" i="56"/>
  <c r="C13" i="16"/>
  <c r="I24" i="48"/>
  <c r="C16" i="56"/>
  <c r="C12" i="56"/>
  <c r="I23" i="48"/>
  <c r="C9" i="56"/>
  <c r="E91" i="48"/>
  <c r="E89" i="48"/>
  <c r="E99" i="48"/>
  <c r="E3" i="56" l="1"/>
  <c r="E18" i="56" s="1"/>
  <c r="C28" i="42" s="1"/>
  <c r="D24" i="16"/>
  <c r="D31" i="16" s="1"/>
  <c r="D125" i="48"/>
  <c r="C24" i="16"/>
  <c r="C31" i="16" s="1"/>
  <c r="C125" i="48"/>
  <c r="C127" i="48" s="1"/>
  <c r="J127" i="48" s="1"/>
  <c r="C113" i="48"/>
  <c r="E124" i="48" s="1"/>
  <c r="H30" i="16"/>
  <c r="E30" i="16"/>
  <c r="J30" i="16" s="1"/>
  <c r="E90" i="48"/>
  <c r="H23" i="60"/>
  <c r="H30" i="60" s="1"/>
  <c r="I23" i="60"/>
  <c r="C27" i="60"/>
  <c r="D27" i="60"/>
  <c r="D31" i="60"/>
  <c r="P22" i="47"/>
  <c r="P27" i="47"/>
  <c r="P25" i="47"/>
  <c r="P23" i="47"/>
  <c r="P26" i="47"/>
  <c r="P24" i="47"/>
  <c r="H24" i="16"/>
  <c r="H25" i="60"/>
  <c r="H29" i="60"/>
  <c r="I26" i="60"/>
  <c r="I28" i="60"/>
  <c r="J120" i="48"/>
  <c r="I24" i="60"/>
  <c r="F27" i="60"/>
  <c r="H26" i="60"/>
  <c r="E95" i="48"/>
  <c r="H28" i="60"/>
  <c r="H24" i="60"/>
  <c r="J119" i="48"/>
  <c r="I25" i="60"/>
  <c r="D25" i="60" s="1"/>
  <c r="I27" i="16"/>
  <c r="J121" i="48"/>
  <c r="I29" i="60"/>
  <c r="F31" i="60"/>
  <c r="E102" i="48"/>
  <c r="G102" i="48"/>
  <c r="G109" i="48" s="1"/>
  <c r="E37" i="48" s="1"/>
  <c r="H29" i="16"/>
  <c r="H26" i="16"/>
  <c r="H25" i="16"/>
  <c r="H54" i="48"/>
  <c r="AE52" i="48" s="1"/>
  <c r="I27" i="48"/>
  <c r="E33" i="48" s="1"/>
  <c r="H28" i="16"/>
  <c r="H27" i="16"/>
  <c r="E32" i="48"/>
  <c r="M22" i="47"/>
  <c r="O22" i="47"/>
  <c r="N22" i="47"/>
  <c r="M26" i="47"/>
  <c r="O26" i="47"/>
  <c r="N26" i="47"/>
  <c r="M24" i="47"/>
  <c r="O24" i="47"/>
  <c r="N24" i="47"/>
  <c r="M10" i="47"/>
  <c r="O10" i="47"/>
  <c r="N10" i="47"/>
  <c r="M20" i="47"/>
  <c r="O20" i="47"/>
  <c r="M18" i="47"/>
  <c r="O18" i="47"/>
  <c r="N18" i="47"/>
  <c r="M16" i="47"/>
  <c r="O16" i="47"/>
  <c r="N16" i="47"/>
  <c r="M14" i="47"/>
  <c r="O14" i="47"/>
  <c r="N14" i="47"/>
  <c r="O27" i="47"/>
  <c r="M27" i="47"/>
  <c r="O25" i="47"/>
  <c r="M25" i="47"/>
  <c r="O23" i="47"/>
  <c r="M23" i="47"/>
  <c r="O21" i="47"/>
  <c r="M21" i="47"/>
  <c r="O19" i="47"/>
  <c r="P19" i="47"/>
  <c r="M19" i="47"/>
  <c r="O17" i="47"/>
  <c r="M17" i="47"/>
  <c r="O15" i="47"/>
  <c r="M15" i="47"/>
  <c r="O13" i="47"/>
  <c r="M13" i="47"/>
  <c r="O11" i="47"/>
  <c r="M11" i="47"/>
  <c r="E94" i="48"/>
  <c r="AD92" i="48" s="1"/>
  <c r="C12" i="16"/>
  <c r="G97" i="48"/>
  <c r="G96" i="48"/>
  <c r="D23" i="60" l="1"/>
  <c r="K124" i="48"/>
  <c r="E123" i="48"/>
  <c r="I24" i="16"/>
  <c r="E126" i="48"/>
  <c r="K126" i="48" s="1"/>
  <c r="I126" i="48"/>
  <c r="I119" i="48"/>
  <c r="I121" i="48"/>
  <c r="I124" i="48"/>
  <c r="I118" i="48"/>
  <c r="I120" i="48"/>
  <c r="I123" i="48"/>
  <c r="C136" i="48"/>
  <c r="C137" i="48"/>
  <c r="D137" i="48"/>
  <c r="D136" i="48"/>
  <c r="I28" i="48"/>
  <c r="H31" i="16"/>
  <c r="I122" i="48"/>
  <c r="E27" i="16"/>
  <c r="J27" i="16" s="1"/>
  <c r="C14" i="16"/>
  <c r="E28" i="16"/>
  <c r="J28" i="16" s="1"/>
  <c r="I30" i="60"/>
  <c r="C30" i="60" s="1"/>
  <c r="C23" i="60"/>
  <c r="E29" i="16"/>
  <c r="J29" i="16" s="1"/>
  <c r="I29" i="16"/>
  <c r="E26" i="16"/>
  <c r="J26" i="16" s="1"/>
  <c r="I31" i="16"/>
  <c r="E122" i="48"/>
  <c r="AD120" i="48" s="1"/>
  <c r="E118" i="48"/>
  <c r="AD116" i="48" s="1"/>
  <c r="E120" i="48"/>
  <c r="AD118" i="48" s="1"/>
  <c r="E119" i="48"/>
  <c r="AD117" i="48" s="1"/>
  <c r="E24" i="16"/>
  <c r="P17" i="47"/>
  <c r="P11" i="47"/>
  <c r="P15" i="47"/>
  <c r="C29" i="60"/>
  <c r="P21" i="47"/>
  <c r="P13" i="47"/>
  <c r="F24" i="60"/>
  <c r="C24" i="60"/>
  <c r="F28" i="60"/>
  <c r="C28" i="60"/>
  <c r="C25" i="60"/>
  <c r="F26" i="60"/>
  <c r="C26" i="60"/>
  <c r="D29" i="60"/>
  <c r="D26" i="60"/>
  <c r="D24" i="60"/>
  <c r="D28" i="60"/>
  <c r="N20" i="47"/>
  <c r="E25" i="16"/>
  <c r="J25" i="16" s="1"/>
  <c r="I25" i="16"/>
  <c r="E121" i="48"/>
  <c r="AD119" i="48" s="1"/>
  <c r="E109" i="48"/>
  <c r="I28" i="16"/>
  <c r="I26" i="16"/>
  <c r="F23" i="60"/>
  <c r="F29" i="60"/>
  <c r="J122" i="48"/>
  <c r="K30" i="60"/>
  <c r="F25" i="60"/>
  <c r="N15" i="47"/>
  <c r="N11" i="47"/>
  <c r="N19" i="47"/>
  <c r="N23" i="47"/>
  <c r="N27" i="47"/>
  <c r="N13" i="47"/>
  <c r="N17" i="47"/>
  <c r="N21" i="47"/>
  <c r="N25" i="47"/>
  <c r="O30" i="47"/>
  <c r="J118" i="48"/>
  <c r="M30" i="47"/>
  <c r="Q9" i="47"/>
  <c r="I22" i="48"/>
  <c r="D132" i="48"/>
  <c r="D133" i="48"/>
  <c r="D134" i="48"/>
  <c r="D135" i="48"/>
  <c r="D138" i="48"/>
  <c r="C132" i="48"/>
  <c r="C133" i="48"/>
  <c r="C134" i="48"/>
  <c r="C135" i="48"/>
  <c r="C138" i="48"/>
  <c r="Q23" i="47"/>
  <c r="P14" i="47"/>
  <c r="Q19" i="47"/>
  <c r="Q25" i="47"/>
  <c r="Q27" i="47"/>
  <c r="P16" i="47"/>
  <c r="P18" i="47"/>
  <c r="P20" i="47"/>
  <c r="H34" i="16"/>
  <c r="H33" i="16"/>
  <c r="C131" i="48"/>
  <c r="D131" i="48"/>
  <c r="G94" i="48"/>
  <c r="I17" i="48"/>
  <c r="E30" i="48" s="1"/>
  <c r="D30" i="60" l="1"/>
  <c r="E152" i="62"/>
  <c r="C66" i="68" s="1"/>
  <c r="K119" i="48"/>
  <c r="K123" i="48"/>
  <c r="K122" i="48"/>
  <c r="I125" i="48"/>
  <c r="D14" i="60" s="1"/>
  <c r="C38" i="16"/>
  <c r="D43" i="16"/>
  <c r="C43" i="16"/>
  <c r="E125" i="48"/>
  <c r="Q11" i="47"/>
  <c r="J24" i="16"/>
  <c r="E31" i="16"/>
  <c r="J31" i="16" s="1"/>
  <c r="Q15" i="47"/>
  <c r="Q13" i="47"/>
  <c r="Q21" i="47"/>
  <c r="C15" i="60"/>
  <c r="E15" i="60" s="1"/>
  <c r="F15" i="60" s="1"/>
  <c r="D127" i="48"/>
  <c r="K120" i="48"/>
  <c r="K118" i="48"/>
  <c r="Q17" i="47"/>
  <c r="F30" i="60"/>
  <c r="E30" i="60"/>
  <c r="K121" i="48"/>
  <c r="N30" i="47"/>
  <c r="Q14" i="47"/>
  <c r="J125" i="48"/>
  <c r="C16" i="60"/>
  <c r="P30" i="47"/>
  <c r="E96" i="48"/>
  <c r="I96" i="48" s="1"/>
  <c r="Q10" i="47"/>
  <c r="Q26" i="47"/>
  <c r="Q16" i="47"/>
  <c r="Q20" i="47"/>
  <c r="Q24" i="47"/>
  <c r="Q18" i="47"/>
  <c r="Q22" i="47"/>
  <c r="D42" i="16"/>
  <c r="D41" i="16"/>
  <c r="C40" i="16"/>
  <c r="D37" i="16"/>
  <c r="D40" i="16"/>
  <c r="D38" i="16"/>
  <c r="C39" i="16"/>
  <c r="C41" i="16"/>
  <c r="D39" i="16"/>
  <c r="C42" i="16"/>
  <c r="C37" i="16"/>
  <c r="G108" i="48"/>
  <c r="E36" i="48" s="1"/>
  <c r="AD123" i="48" l="1"/>
  <c r="I127" i="48"/>
  <c r="K96" i="48"/>
  <c r="AD94" i="48"/>
  <c r="D152" i="62"/>
  <c r="O125" i="48"/>
  <c r="C44" i="16"/>
  <c r="D44" i="16"/>
  <c r="E127" i="48"/>
  <c r="K127" i="48" s="1"/>
  <c r="K101" i="48"/>
  <c r="K99" i="48"/>
  <c r="K93" i="48"/>
  <c r="K100" i="48"/>
  <c r="K91" i="48"/>
  <c r="K90" i="48"/>
  <c r="K95" i="48"/>
  <c r="K89" i="48"/>
  <c r="K88" i="48"/>
  <c r="K97" i="48"/>
  <c r="K102" i="48"/>
  <c r="K94" i="48"/>
  <c r="K109" i="48"/>
  <c r="K92" i="48"/>
  <c r="C14" i="60"/>
  <c r="E14" i="60" s="1"/>
  <c r="F14" i="60" s="1"/>
  <c r="C4" i="60" s="1"/>
  <c r="C6" i="60" s="1"/>
  <c r="U30" i="47"/>
  <c r="C17" i="60"/>
  <c r="E17" i="60" s="1"/>
  <c r="F17" i="60" s="1"/>
  <c r="E16" i="60"/>
  <c r="F16" i="60" s="1"/>
  <c r="Q30" i="47"/>
  <c r="E108" i="48"/>
  <c r="AD105" i="48" l="1"/>
  <c r="I108" i="48"/>
  <c r="D66" i="68"/>
  <c r="E66" i="68"/>
  <c r="N125" i="48"/>
  <c r="K108" i="48"/>
  <c r="C3" i="60"/>
  <c r="H9" i="98" l="1"/>
  <c r="D12" i="98" l="1"/>
  <c r="C12" i="98" s="1"/>
  <c r="E27" i="102"/>
  <c r="E29" i="102" s="1"/>
  <c r="E19" i="102"/>
  <c r="D15" i="98" l="1"/>
  <c r="D13" i="98"/>
  <c r="D14" i="98" s="1"/>
  <c r="E48" i="98" s="1"/>
  <c r="E21" i="102"/>
  <c r="C35" i="102"/>
  <c r="C37" i="102" s="1"/>
  <c r="D37" i="102" s="1"/>
  <c r="E60" i="98"/>
  <c r="E45" i="98"/>
  <c r="E55" i="98"/>
  <c r="E40" i="98"/>
  <c r="E39" i="98"/>
  <c r="E59" i="98"/>
  <c r="C13" i="98"/>
  <c r="C14" i="98" s="1"/>
  <c r="C15" i="98"/>
  <c r="E15" i="98" l="1"/>
  <c r="E50" i="98"/>
  <c r="E41" i="98"/>
  <c r="E52" i="98"/>
  <c r="E58" i="98"/>
  <c r="E61" i="98"/>
  <c r="E49" i="98"/>
  <c r="C20" i="98"/>
  <c r="E53" i="98"/>
  <c r="E57" i="98"/>
  <c r="E46" i="98"/>
  <c r="E56" i="98"/>
  <c r="E54" i="98"/>
  <c r="E44" i="98"/>
  <c r="C21" i="98"/>
  <c r="E47" i="98"/>
  <c r="E42" i="98"/>
  <c r="E43" i="98"/>
  <c r="E62" i="98"/>
  <c r="E51" i="98"/>
  <c r="D35" i="102"/>
  <c r="C38" i="102"/>
  <c r="D38" i="102" s="1"/>
  <c r="D45" i="98"/>
  <c r="D47" i="98"/>
  <c r="D62" i="98"/>
  <c r="D54" i="98"/>
  <c r="D41" i="98"/>
  <c r="D50" i="98"/>
  <c r="D49" i="98"/>
  <c r="D46" i="98"/>
  <c r="D39" i="98"/>
  <c r="D55" i="98"/>
  <c r="D60" i="98"/>
  <c r="D48" i="98"/>
  <c r="D57" i="98"/>
  <c r="D43" i="98"/>
  <c r="D42" i="98"/>
  <c r="D58" i="98"/>
  <c r="D44" i="98"/>
  <c r="D59" i="98"/>
  <c r="D51" i="98"/>
  <c r="D61" i="98"/>
  <c r="D40" i="98"/>
  <c r="D52" i="98"/>
  <c r="D56" i="98"/>
  <c r="D53" i="98"/>
  <c r="C22" i="98" l="1"/>
  <c r="E63" i="98"/>
  <c r="D63" i="98"/>
  <c r="D31" i="98" l="1"/>
  <c r="D32" i="98"/>
  <c r="D33" i="98" l="1"/>
  <c r="D34" i="98" l="1"/>
  <c r="C34" i="98" s="1"/>
  <c r="C33" i="98"/>
</calcChain>
</file>

<file path=xl/comments1.xml><?xml version="1.0" encoding="utf-8"?>
<comments xmlns="http://schemas.openxmlformats.org/spreadsheetml/2006/main">
  <authors>
    <author>Shelley Beaulieu</author>
    <author>Chris DeAlmagro</author>
  </authors>
  <commentList>
    <comment ref="D11" authorId="0" shapeId="0">
      <text>
        <r>
          <rPr>
            <sz val="8"/>
            <color indexed="81"/>
            <rFont val="Tahoma"/>
            <family val="2"/>
          </rPr>
          <t xml:space="preserve">Insert N/A only if there is no square footage associated with this space.
</t>
        </r>
      </text>
    </comment>
    <comment ref="C38" authorId="1" shapeId="0">
      <text>
        <r>
          <rPr>
            <sz val="8"/>
            <color indexed="81"/>
            <rFont val="Tahoma"/>
            <family val="2"/>
          </rPr>
          <t xml:space="preserve">The following format should be used: &lt;Simulation Software&gt; v&lt;version #&gt;.  e.g. eQuest v3.63.
</t>
        </r>
      </text>
    </comment>
    <comment ref="C39" authorId="1" shapeId="0">
      <text>
        <r>
          <rPr>
            <sz val="8"/>
            <color indexed="81"/>
            <rFont val="Tahoma"/>
            <family val="2"/>
          </rPr>
          <t xml:space="preserve">Enter the weather file used in the simulation software.  This file should be the one most closely associated with the project.
</t>
        </r>
      </text>
    </comment>
    <comment ref="C44" authorId="1" shapeId="0">
      <text>
        <r>
          <rPr>
            <sz val="8"/>
            <color indexed="81"/>
            <rFont val="Tahoma"/>
            <family val="2"/>
          </rPr>
          <t xml:space="preserve">The revision number corresponds to the revision of each milestone.  For example, if this spreadsheet is submitted for the As-built model for the first time, even if there were 3 Proposed submittals, the revision number is 0 (As-built_rev0), not rev3 as it is the first As-built.
</t>
        </r>
      </text>
    </comment>
  </commentList>
</comments>
</file>

<file path=xl/comments2.xml><?xml version="1.0" encoding="utf-8"?>
<comments xmlns="http://schemas.openxmlformats.org/spreadsheetml/2006/main">
  <authors>
    <author>Shelley Beaulieu</author>
    <author>Chris DeAlmagro</author>
    <author>Beaulieu, Shelley</author>
  </authors>
  <commentList>
    <comment ref="B15" authorId="0" shapeId="0">
      <text>
        <r>
          <rPr>
            <sz val="8"/>
            <color indexed="81"/>
            <rFont val="Tahoma"/>
            <family val="2"/>
          </rPr>
          <t>Enter brief description including thickness of insulation, type of insulation, and framing.  E.g. (4" Rigid Insulation).  
If there are several different wall types, include each type, separated by a semicolon.  In this case, the Detailed Measures tab data that is autogenerated for this measure will likely need to be overwritten.</t>
        </r>
      </text>
    </comment>
    <comment ref="B16" authorId="0" shapeId="0">
      <text>
        <r>
          <rPr>
            <sz val="8"/>
            <color indexed="81"/>
            <rFont val="Tahoma"/>
            <family val="2"/>
          </rPr>
          <t>Enter U-value number (e.g. 0.064).
If the building has multiple above grade wall types, enter each U-value separated by a semicolon, in the same order as the wall descriptions given above.</t>
        </r>
      </text>
    </comment>
    <comment ref="B17" authorId="0" shapeId="0">
      <text>
        <r>
          <rPr>
            <sz val="8"/>
            <color indexed="81"/>
            <rFont val="Tahoma"/>
            <family val="2"/>
          </rPr>
          <t xml:space="preserve">Enter brief description including thickness of insulation, type of insulation, and framing.  E.g. (4" Rigid Insulation)
</t>
        </r>
      </text>
    </comment>
    <comment ref="B18" authorId="0" shapeId="0">
      <text>
        <r>
          <rPr>
            <sz val="8"/>
            <color indexed="81"/>
            <rFont val="Tahoma"/>
            <family val="2"/>
          </rPr>
          <t xml:space="preserve">Enter U-value number (e.g. 0.090).
</t>
        </r>
      </text>
    </comment>
    <comment ref="B19" authorId="0" shapeId="0">
      <text>
        <r>
          <rPr>
            <sz val="8"/>
            <color indexed="81"/>
            <rFont val="Tahoma"/>
            <family val="2"/>
          </rPr>
          <t>Please describe all penetrations through continuous insulation.</t>
        </r>
      </text>
    </comment>
    <comment ref="B20" authorId="0" shapeId="0">
      <text>
        <r>
          <rPr>
            <sz val="8"/>
            <color indexed="81"/>
            <rFont val="Tahoma"/>
            <family val="2"/>
          </rPr>
          <t>Enter brief description including thickness of insulation, type of insulation, and framing.  Separate different wall types using a semicolon. E.g. (4" Rigid Insulation (North Wall); 5" Rigid Insulation (All Other).</t>
        </r>
      </text>
    </comment>
    <comment ref="B21" authorId="0" shapeId="0">
      <text>
        <r>
          <rPr>
            <sz val="8"/>
            <color indexed="81"/>
            <rFont val="Tahoma"/>
            <family val="2"/>
          </rPr>
          <t>Enter C-value number (e.g. 0.119).</t>
        </r>
      </text>
    </comment>
    <comment ref="B22" authorId="0" shapeId="0">
      <text>
        <r>
          <rPr>
            <sz val="8"/>
            <color indexed="81"/>
            <rFont val="Tahoma"/>
            <family val="2"/>
          </rPr>
          <t>Enter brief description including thickness of insulation, type of insulation, and framing.</t>
        </r>
      </text>
    </comment>
    <comment ref="B23" authorId="0" shapeId="0">
      <text>
        <r>
          <rPr>
            <sz val="8"/>
            <color indexed="81"/>
            <rFont val="Tahoma"/>
            <family val="2"/>
          </rPr>
          <t>Enter U-value number (e.g. 0.038).</t>
        </r>
      </text>
    </comment>
    <comment ref="B24" authorId="0" shapeId="0">
      <text>
        <r>
          <rPr>
            <sz val="8"/>
            <color indexed="81"/>
            <rFont val="Tahoma"/>
            <family val="2"/>
          </rPr>
          <t>Enter brief description including thickness of insulation, type of insulation, and framing.</t>
        </r>
      </text>
    </comment>
    <comment ref="B25" authorId="0" shapeId="0">
      <text>
        <r>
          <rPr>
            <sz val="8"/>
            <color indexed="81"/>
            <rFont val="Tahoma"/>
            <family val="2"/>
          </rPr>
          <t xml:space="preserve">Enter F-value number (e.g. 0.540).
</t>
        </r>
      </text>
    </comment>
    <comment ref="B26" authorId="0" shapeId="0">
      <text>
        <r>
          <rPr>
            <sz val="8"/>
            <color indexed="81"/>
            <rFont val="Tahoma"/>
            <family val="2"/>
          </rPr>
          <t>Enter brief description including thickness of insulation, type of insulation, and framing.</t>
        </r>
      </text>
    </comment>
    <comment ref="B27" authorId="0" shapeId="0">
      <text>
        <r>
          <rPr>
            <sz val="8"/>
            <color indexed="81"/>
            <rFont val="Tahoma"/>
            <family val="2"/>
          </rPr>
          <t xml:space="preserve">Enter F-value number (e.g. 0.540).
</t>
        </r>
      </text>
    </comment>
    <comment ref="B28" authorId="0" shapeId="0">
      <text>
        <r>
          <rPr>
            <sz val="8"/>
            <color indexed="81"/>
            <rFont val="Tahoma"/>
            <family val="2"/>
          </rPr>
          <t>Enter brief description including thickness of insulation, type of insulation, and framing.</t>
        </r>
      </text>
    </comment>
    <comment ref="B29" authorId="0" shapeId="0">
      <text>
        <r>
          <rPr>
            <sz val="8"/>
            <color indexed="81"/>
            <rFont val="Tahoma"/>
            <family val="2"/>
          </rPr>
          <t>Enter C-value number (e.g. 1.140).</t>
        </r>
      </text>
    </comment>
    <comment ref="B30" authorId="0" shapeId="0">
      <text>
        <r>
          <rPr>
            <sz val="8"/>
            <color indexed="81"/>
            <rFont val="Tahoma"/>
            <family val="2"/>
          </rPr>
          <t>Enter brief description including thickness of insulation, type of insulation, and framing.</t>
        </r>
      </text>
    </comment>
    <comment ref="B31" authorId="0" shapeId="0">
      <text>
        <r>
          <rPr>
            <sz val="8"/>
            <color indexed="81"/>
            <rFont val="Tahoma"/>
            <family val="2"/>
          </rPr>
          <t>Enter U-value number (e.g. 0.480).</t>
        </r>
      </text>
    </comment>
    <comment ref="B32" authorId="0" shapeId="0">
      <text>
        <r>
          <rPr>
            <sz val="8"/>
            <color indexed="81"/>
            <rFont val="Tahoma"/>
            <family val="2"/>
          </rPr>
          <t xml:space="preserve">Window-to-wall ratio is taken as the sum of all window area, including decorative glass and skylights, divided by the total exterior above-grade wall area.
</t>
        </r>
      </text>
    </comment>
    <comment ref="B33" authorId="0" shapeId="0">
      <text>
        <r>
          <rPr>
            <sz val="8"/>
            <color indexed="81"/>
            <rFont val="Tahoma"/>
            <family val="2"/>
          </rPr>
          <t>Enter frame type (e.g. Vinyl frame)</t>
        </r>
      </text>
    </comment>
    <comment ref="B34" authorId="0" shapeId="0">
      <text>
        <r>
          <rPr>
            <sz val="8"/>
            <color indexed="81"/>
            <rFont val="Tahoma"/>
            <family val="2"/>
          </rPr>
          <t>Enter glazing type (e.g. Double-paned, argon-filled)</t>
        </r>
      </text>
    </comment>
    <comment ref="B35" authorId="0" shapeId="0">
      <text>
        <r>
          <rPr>
            <sz val="8"/>
            <color indexed="81"/>
            <rFont val="Tahoma"/>
            <family val="2"/>
          </rPr>
          <t xml:space="preserve">Enter U-value number (e.g. 0.064).
</t>
        </r>
      </text>
    </comment>
    <comment ref="B36" authorId="0" shapeId="0">
      <text>
        <r>
          <rPr>
            <sz val="8"/>
            <color indexed="81"/>
            <rFont val="Tahoma"/>
            <family val="2"/>
          </rPr>
          <t>Enter SHGC number (e.g. 0.40).</t>
        </r>
      </text>
    </comment>
    <comment ref="B37" authorId="0" shapeId="0">
      <text>
        <r>
          <rPr>
            <sz val="8"/>
            <color indexed="81"/>
            <rFont val="Tahoma"/>
            <family val="2"/>
          </rPr>
          <t>Enter type of shanding device, if applicable.</t>
        </r>
      </text>
    </comment>
    <comment ref="B38" authorId="0" shapeId="0">
      <text>
        <r>
          <rPr>
            <sz val="8"/>
            <color indexed="81"/>
            <rFont val="Tahoma"/>
            <family val="2"/>
          </rPr>
          <t xml:space="preserve">Enter type of door (e.g. Swinging opaque).
</t>
        </r>
      </text>
    </comment>
    <comment ref="B39" authorId="0" shapeId="0">
      <text>
        <r>
          <rPr>
            <sz val="8"/>
            <color indexed="81"/>
            <rFont val="Tahoma"/>
            <family val="2"/>
          </rPr>
          <t>Enter U-value number (e.g. 0.70).</t>
        </r>
      </text>
    </comment>
    <comment ref="B43" authorId="0" shapeId="0">
      <text>
        <r>
          <rPr>
            <sz val="8"/>
            <color indexed="81"/>
            <rFont val="Tahoma"/>
            <family val="2"/>
          </rPr>
          <t xml:space="preserve">Enter LPD number (e.g. 0.7).
</t>
        </r>
      </text>
    </comment>
    <comment ref="B45" authorId="0" shapeId="0">
      <text>
        <r>
          <rPr>
            <sz val="8"/>
            <color indexed="81"/>
            <rFont val="Tahoma"/>
            <family val="2"/>
          </rPr>
          <t xml:space="preserve">List each applicable space type and its associated LPD (e.g. Lobby: 1.3 W/SF).
</t>
        </r>
      </text>
    </comment>
    <comment ref="B46" authorId="0" shapeId="0">
      <text>
        <r>
          <rPr>
            <sz val="8"/>
            <color indexed="81"/>
            <rFont val="Tahoma"/>
            <family val="2"/>
          </rPr>
          <t xml:space="preserve">Include type of lighting controls and the space(s) the control(s) serve (e.g. Occupancy Sensors - Stairwells).
</t>
        </r>
      </text>
    </comment>
    <comment ref="B47" authorId="0" shapeId="0">
      <text>
        <r>
          <rPr>
            <sz val="8"/>
            <color indexed="81"/>
            <rFont val="Tahoma"/>
            <family val="2"/>
          </rPr>
          <t>Enter total lighting power (kW).</t>
        </r>
      </text>
    </comment>
    <comment ref="B48" authorId="0" shapeId="0">
      <text>
        <r>
          <rPr>
            <sz val="8"/>
            <color indexed="81"/>
            <rFont val="Tahoma"/>
            <family val="2"/>
          </rPr>
          <t xml:space="preserve">Enter LPD number (W/SF).
</t>
        </r>
      </text>
    </comment>
    <comment ref="B49" authorId="0" shapeId="0">
      <text>
        <r>
          <rPr>
            <sz val="8"/>
            <color indexed="81"/>
            <rFont val="Tahoma"/>
            <family val="2"/>
          </rPr>
          <t xml:space="preserve">Enter total lighting power (kW).
</t>
        </r>
      </text>
    </comment>
    <comment ref="D49" authorId="0" shapeId="0">
      <text>
        <r>
          <rPr>
            <sz val="9"/>
            <color indexed="81"/>
            <rFont val="Tahoma"/>
            <family val="2"/>
          </rPr>
          <t>This should match the data in the Exterior Lighting tab.</t>
        </r>
      </text>
    </comment>
    <comment ref="E49" authorId="0" shapeId="0">
      <text>
        <r>
          <rPr>
            <sz val="9"/>
            <color indexed="81"/>
            <rFont val="Tahoma"/>
            <family val="2"/>
          </rPr>
          <t>This should match the data in the Exterior Lighting tab.</t>
        </r>
      </text>
    </comment>
    <comment ref="G52" authorId="0" shapeId="0">
      <text>
        <r>
          <rPr>
            <sz val="8"/>
            <color indexed="81"/>
            <rFont val="Tahoma"/>
            <family val="2"/>
          </rPr>
          <t xml:space="preserve">Enter Manufacturer only if the equipment is installed in the buidling.
</t>
        </r>
      </text>
    </comment>
    <comment ref="H52" authorId="0" shapeId="0">
      <text>
        <r>
          <rPr>
            <sz val="8"/>
            <color indexed="81"/>
            <rFont val="Tahoma"/>
            <family val="2"/>
          </rPr>
          <t xml:space="preserve">Enter model number only if the equipment is installed in the buidling.
</t>
        </r>
      </text>
    </comment>
    <comment ref="B63" authorId="0" shapeId="0">
      <text>
        <r>
          <rPr>
            <sz val="8"/>
            <color indexed="81"/>
            <rFont val="Tahoma"/>
            <family val="2"/>
          </rPr>
          <t xml:space="preserve">Choose type of stove (electric or gas).
</t>
        </r>
      </text>
    </comment>
    <comment ref="B64" authorId="1" shapeId="0">
      <text>
        <r>
          <rPr>
            <sz val="8"/>
            <color indexed="81"/>
            <rFont val="Tahoma"/>
            <family val="2"/>
          </rPr>
          <t xml:space="preserve">Replace "&lt;Other Appliance&gt;" with the appliance type, or leave blank if there are no other appliance types.
</t>
        </r>
      </text>
    </comment>
    <comment ref="F69" authorId="0" shapeId="0">
      <text>
        <r>
          <rPr>
            <sz val="8"/>
            <color indexed="81"/>
            <rFont val="Tahoma"/>
            <family val="2"/>
          </rPr>
          <t xml:space="preserve">Enter Manufacturer only if the equipment is installed in the buidling.
</t>
        </r>
      </text>
    </comment>
    <comment ref="G69" authorId="0" shapeId="0">
      <text>
        <r>
          <rPr>
            <sz val="8"/>
            <color indexed="81"/>
            <rFont val="Tahoma"/>
            <family val="2"/>
          </rPr>
          <t xml:space="preserve">Enter model number only if the equipment is installed in the buidling.
</t>
        </r>
      </text>
    </comment>
    <comment ref="I69" authorId="0" shapeId="0">
      <text>
        <r>
          <rPr>
            <sz val="8"/>
            <color indexed="81"/>
            <rFont val="Tahoma"/>
            <family val="2"/>
          </rPr>
          <t xml:space="preserve">Enter the spaces served in this space.  (e.g. apartments, common area, whole building, corridor, etc.)
</t>
        </r>
      </text>
    </comment>
    <comment ref="B70" authorId="0" shapeId="0">
      <text>
        <r>
          <rPr>
            <sz val="8"/>
            <color indexed="81"/>
            <rFont val="Tahoma"/>
            <family val="2"/>
          </rPr>
          <t xml:space="preserve">The primary system is the system that serves the majority of the building.
</t>
        </r>
      </text>
    </comment>
    <comment ref="B72" authorId="0" shapeId="0">
      <text>
        <r>
          <rPr>
            <sz val="8"/>
            <color indexed="81"/>
            <rFont val="Tahoma"/>
            <family val="2"/>
          </rPr>
          <t xml:space="preserve">Choose correct units of efficiency (AFUE, COP, Ec, Et or HSPF).
</t>
        </r>
      </text>
    </comment>
    <comment ref="B73" authorId="0" shapeId="0">
      <text>
        <r>
          <rPr>
            <sz val="8"/>
            <color indexed="81"/>
            <rFont val="Tahoma"/>
            <family val="2"/>
          </rPr>
          <t xml:space="preserve">Enter the total capacity of the primary heating system (e.g. enter 2 MMBTU for two 1 MMBTU boilers).
</t>
        </r>
      </text>
    </comment>
    <comment ref="B76" authorId="0" shapeId="0">
      <text>
        <r>
          <rPr>
            <sz val="8"/>
            <color indexed="81"/>
            <rFont val="Tahoma"/>
            <family val="2"/>
          </rPr>
          <t>Choose correct units of efficiency (AFUE, COP, Ec, Et or HSPF).</t>
        </r>
      </text>
    </comment>
    <comment ref="B80" authorId="0" shapeId="0">
      <text>
        <r>
          <rPr>
            <sz val="8"/>
            <color indexed="81"/>
            <rFont val="Tahoma"/>
            <family val="2"/>
          </rPr>
          <t xml:space="preserve">Choose correct units of efficiency (AFUE, COP, Ec, Et or HSPF).
</t>
        </r>
      </text>
    </comment>
    <comment ref="F85" authorId="0" shapeId="0">
      <text>
        <r>
          <rPr>
            <sz val="8"/>
            <color indexed="81"/>
            <rFont val="Tahoma"/>
            <family val="2"/>
          </rPr>
          <t xml:space="preserve">Enter Manufacturer only if the equipment is installed in the buidling.
</t>
        </r>
      </text>
    </comment>
    <comment ref="G85" authorId="0" shapeId="0">
      <text>
        <r>
          <rPr>
            <sz val="8"/>
            <color indexed="81"/>
            <rFont val="Tahoma"/>
            <family val="2"/>
          </rPr>
          <t xml:space="preserve">Enter model number only if the equipment is installed in the buidling.
</t>
        </r>
      </text>
    </comment>
    <comment ref="I85" authorId="0" shapeId="0">
      <text>
        <r>
          <rPr>
            <sz val="8"/>
            <color indexed="81"/>
            <rFont val="Tahoma"/>
            <family val="2"/>
          </rPr>
          <t xml:space="preserve">Enter the spaces served in this space.  (e.g. apartments, common area, whole building, corridor, etc.)
</t>
        </r>
      </text>
    </comment>
    <comment ref="B86" authorId="0" shapeId="0">
      <text>
        <r>
          <rPr>
            <sz val="8"/>
            <color indexed="81"/>
            <rFont val="Tahoma"/>
            <family val="2"/>
          </rPr>
          <t>The primary system is the system that serves the majority of the building.</t>
        </r>
      </text>
    </comment>
    <comment ref="B88" authorId="0" shapeId="0">
      <text>
        <r>
          <rPr>
            <sz val="8"/>
            <color indexed="81"/>
            <rFont val="Tahoma"/>
            <family val="2"/>
          </rPr>
          <t xml:space="preserve">Choose correct units of efficiency (EER, SEER).
</t>
        </r>
      </text>
    </comment>
    <comment ref="B89" authorId="0" shapeId="0">
      <text>
        <r>
          <rPr>
            <sz val="8"/>
            <color indexed="81"/>
            <rFont val="Tahoma"/>
            <family val="2"/>
          </rPr>
          <t xml:space="preserve">Enter the total capacity of the primary cooling system (e.g. enter 12 tons for twelve 1 ton ACs).
</t>
        </r>
      </text>
    </comment>
    <comment ref="B92" authorId="0" shapeId="0">
      <text>
        <r>
          <rPr>
            <sz val="8"/>
            <color indexed="81"/>
            <rFont val="Tahoma"/>
            <family val="2"/>
          </rPr>
          <t xml:space="preserve">Choose correct units of efficiency (EER, SEER).
</t>
        </r>
      </text>
    </comment>
    <comment ref="B93" authorId="0" shapeId="0">
      <text>
        <r>
          <rPr>
            <sz val="8"/>
            <color indexed="81"/>
            <rFont val="Tahoma"/>
            <family val="2"/>
          </rPr>
          <t>Enter the total capacity of the primary cooling system (e.g. enter 12 tons for twelve 1 ton ACs).</t>
        </r>
      </text>
    </comment>
    <comment ref="B96" authorId="0" shapeId="0">
      <text>
        <r>
          <rPr>
            <sz val="8"/>
            <color indexed="81"/>
            <rFont val="Tahoma"/>
            <family val="2"/>
          </rPr>
          <t xml:space="preserve">Choose correct units of efficiency (EER, SEER).
</t>
        </r>
      </text>
    </comment>
    <comment ref="B97" authorId="0" shapeId="0">
      <text>
        <r>
          <rPr>
            <sz val="8"/>
            <color indexed="81"/>
            <rFont val="Tahoma"/>
            <family val="2"/>
          </rPr>
          <t>Enter the total capacity of the primary cooling system (e.g. enter 12 tons for twelve 1 ton ACs).</t>
        </r>
      </text>
    </comment>
    <comment ref="G100" authorId="0" shapeId="0">
      <text>
        <r>
          <rPr>
            <sz val="8"/>
            <color indexed="81"/>
            <rFont val="Tahoma"/>
            <family val="2"/>
          </rPr>
          <t xml:space="preserve">Enter Manufacturer only if the equipment is installed in the buidling.
</t>
        </r>
      </text>
    </comment>
    <comment ref="H100" authorId="0" shapeId="0">
      <text>
        <r>
          <rPr>
            <sz val="8"/>
            <color indexed="81"/>
            <rFont val="Tahoma"/>
            <family val="2"/>
          </rPr>
          <t xml:space="preserve">Enter model number only if the equipment is installed in the buidling.
</t>
        </r>
      </text>
    </comment>
    <comment ref="B105" authorId="0" shapeId="0">
      <text>
        <r>
          <rPr>
            <sz val="8"/>
            <color indexed="81"/>
            <rFont val="Tahoma"/>
            <family val="2"/>
          </rPr>
          <t xml:space="preserve">Indicate any cooling system control parameters that will be needed in the Proposed design model.  (e.g., Cooling tower fan motor is equipped with VFD controlled by temperature sensor on condenser water supply pipe.)
</t>
        </r>
      </text>
    </comment>
    <comment ref="F122" authorId="0" shapeId="0">
      <text>
        <r>
          <rPr>
            <sz val="8"/>
            <color indexed="81"/>
            <rFont val="Tahoma"/>
            <family val="2"/>
          </rPr>
          <t>Enter Manufacturer only if the equipment is installed in the buidling.</t>
        </r>
      </text>
    </comment>
    <comment ref="G122" authorId="0" shapeId="0">
      <text>
        <r>
          <rPr>
            <sz val="8"/>
            <color indexed="81"/>
            <rFont val="Tahoma"/>
            <family val="2"/>
          </rPr>
          <t xml:space="preserve">Enter model number only if the equipment is installed in the buidling.
</t>
        </r>
      </text>
    </comment>
    <comment ref="B124" authorId="0" shapeId="0">
      <text>
        <r>
          <rPr>
            <sz val="8"/>
            <color indexed="81"/>
            <rFont val="Tahoma"/>
            <family val="2"/>
          </rPr>
          <t xml:space="preserve">Choose correct units of efficiency (EF or Et).
</t>
        </r>
      </text>
    </comment>
    <comment ref="B125" authorId="0" shapeId="0">
      <text>
        <r>
          <rPr>
            <sz val="8"/>
            <color indexed="81"/>
            <rFont val="Tahoma"/>
            <family val="2"/>
          </rPr>
          <t xml:space="preserve">Enter the total capacity of the DHW system (e.g. enter 90 for three 30,000 Btu/h DHW heaters).
</t>
        </r>
      </text>
    </comment>
    <comment ref="G141" authorId="0" shapeId="0">
      <text>
        <r>
          <rPr>
            <sz val="8"/>
            <color indexed="81"/>
            <rFont val="Tahoma"/>
            <family val="2"/>
          </rPr>
          <t xml:space="preserve">Enter Manufacturer only if the equipment is installed in the buidling.
</t>
        </r>
      </text>
    </comment>
    <comment ref="H141" authorId="0" shapeId="0">
      <text>
        <r>
          <rPr>
            <sz val="8"/>
            <color indexed="81"/>
            <rFont val="Tahoma"/>
            <family val="2"/>
          </rPr>
          <t xml:space="preserve">Enter model number only if the equipment is installed in the buidling.
</t>
        </r>
      </text>
    </comment>
    <comment ref="B142" authorId="0" shapeId="0">
      <text>
        <r>
          <rPr>
            <sz val="8"/>
            <color indexed="81"/>
            <rFont val="Tahoma"/>
            <family val="2"/>
          </rPr>
          <t xml:space="preserve">As-Built model shall reflect ventilation flowrates measured during testing.
</t>
        </r>
      </text>
    </comment>
    <comment ref="F142" authorId="0" shapeId="0">
      <text>
        <r>
          <rPr>
            <sz val="8"/>
            <color indexed="81"/>
            <rFont val="Tahoma"/>
            <family val="2"/>
          </rPr>
          <t>Enter number of rooms of this type with mechanical exhaust.</t>
        </r>
      </text>
    </comment>
    <comment ref="F143" authorId="0" shapeId="0">
      <text>
        <r>
          <rPr>
            <sz val="8"/>
            <color indexed="81"/>
            <rFont val="Tahoma"/>
            <family val="2"/>
          </rPr>
          <t>Enter number of rooms of this type with mechanical exhaust.</t>
        </r>
      </text>
    </comment>
    <comment ref="B144" authorId="2" shapeId="0">
      <text>
        <r>
          <rPr>
            <sz val="8"/>
            <color indexed="81"/>
            <rFont val="Tahoma"/>
            <family val="2"/>
          </rPr>
          <t xml:space="preserve">If taking the duct-sealing credit, assume 5 CFM per floor per shaft in the Proposed, but replace with tested leakage in AS-BUILT model. </t>
        </r>
      </text>
    </comment>
    <comment ref="C146" authorId="2" shapeId="0">
      <text>
        <r>
          <rPr>
            <sz val="9"/>
            <color indexed="81"/>
            <rFont val="Tahoma"/>
            <family val="2"/>
          </rPr>
          <t>This component may only be a measure in conjunction with an improved heating or cooling system.</t>
        </r>
      </text>
    </comment>
    <comment ref="C148" authorId="2" shapeId="0">
      <text>
        <r>
          <rPr>
            <sz val="9"/>
            <color indexed="81"/>
            <rFont val="Tahoma"/>
            <family val="2"/>
          </rPr>
          <t xml:space="preserve">This component may only be a measure in conjunction with an improved heating or cooling system.
</t>
        </r>
      </text>
    </comment>
    <comment ref="C150" authorId="2" shapeId="0">
      <text>
        <r>
          <rPr>
            <sz val="9"/>
            <color indexed="81"/>
            <rFont val="Tahoma"/>
            <family val="2"/>
          </rPr>
          <t xml:space="preserve">This component may only be a measure in conjunction with an improved heating or cooling system.
</t>
        </r>
      </text>
    </comment>
    <comment ref="B153" authorId="0" shapeId="0">
      <text>
        <r>
          <rPr>
            <sz val="8"/>
            <color indexed="81"/>
            <rFont val="Tahoma"/>
            <family val="2"/>
          </rPr>
          <t xml:space="preserve">Provide total CFM of mechanical ventilation provided in corridors.
Confirm with MEP that ventilation meets the minimum requirements of local code and ASHRAE 62.1-2007.
</t>
        </r>
      </text>
    </comment>
    <comment ref="B154" authorId="2" shapeId="0">
      <text>
        <r>
          <rPr>
            <sz val="8"/>
            <color indexed="81"/>
            <rFont val="Tahoma"/>
            <family val="2"/>
          </rPr>
          <t>If taking the duct-sealing credit, assume 5 CFM per floor per shaft in the Proposed, but replace with tested leakage in AS-BUILT model.</t>
        </r>
        <r>
          <rPr>
            <sz val="9"/>
            <color indexed="81"/>
            <rFont val="Tahoma"/>
            <family val="2"/>
          </rPr>
          <t xml:space="preserve"> </t>
        </r>
      </text>
    </comment>
    <comment ref="F156" authorId="0" shapeId="0">
      <text>
        <r>
          <rPr>
            <sz val="8"/>
            <color indexed="81"/>
            <rFont val="Tahoma"/>
            <family val="2"/>
          </rPr>
          <t>Enter number of roof-top exhaust fans serving non-apartment spaces.</t>
        </r>
      </text>
    </comment>
    <comment ref="B157" authorId="2" shapeId="0">
      <text>
        <r>
          <rPr>
            <sz val="8"/>
            <color indexed="81"/>
            <rFont val="Tahoma"/>
            <family val="2"/>
          </rPr>
          <t xml:space="preserve">If taking the duct-sealing credit, assume 5 CFM per floor per shaft in the Proposed, but replace with tested leakage in AS-BUILT model. </t>
        </r>
      </text>
    </comment>
    <comment ref="C173" authorId="2" shapeId="0">
      <text>
        <r>
          <rPr>
            <sz val="8"/>
            <color indexed="81"/>
            <rFont val="Tahoma"/>
            <family val="2"/>
          </rPr>
          <t>This measure can only be an improvement if the exceptions to 90.2010 section 6.4.3.4.5 apply. See Mechanical Code of NYS Section 404.2.</t>
        </r>
        <r>
          <rPr>
            <sz val="9"/>
            <color indexed="81"/>
            <rFont val="Tahoma"/>
            <family val="2"/>
          </rPr>
          <t xml:space="preserve">
</t>
        </r>
      </text>
    </comment>
    <comment ref="B174" authorId="0" shapeId="0">
      <text>
        <r>
          <rPr>
            <sz val="8"/>
            <color indexed="81"/>
            <rFont val="Tahoma"/>
            <family val="2"/>
          </rPr>
          <t xml:space="preserve">For example, reduced fan runtime from installing CO sensors in residential-associated garages may be modeled using 8.4 hr/day fan runtime in Proposed Design, compared to 24 hr/day runtime in the Baseline Building Design.
</t>
        </r>
      </text>
    </comment>
    <comment ref="B175" authorId="0" shapeId="0">
      <text>
        <r>
          <rPr>
            <sz val="8"/>
            <color indexed="81"/>
            <rFont val="Tahoma"/>
            <family val="2"/>
          </rPr>
          <t xml:space="preserve">Demand control ventilation(DCV) is defined in ASHRAE as: "a ventilation system capability that provides for the </t>
        </r>
        <r>
          <rPr>
            <i/>
            <sz val="8"/>
            <color indexed="81"/>
            <rFont val="Tahoma"/>
            <family val="2"/>
          </rPr>
          <t>automatic</t>
        </r>
        <r>
          <rPr>
            <sz val="8"/>
            <color indexed="81"/>
            <rFont val="Tahoma"/>
            <family val="2"/>
          </rPr>
          <t xml:space="preserve"> reduction of outdoor air intake below design rates when the actual occupancy of spaces served by the system is less than design occupancy." Individual exhaust ventilation in kitchens and bathrooms with manual control or interlocked with lighting switch does not qualify as DCV measure.</t>
        </r>
      </text>
    </comment>
    <comment ref="B180" authorId="0" shapeId="0">
      <text>
        <r>
          <rPr>
            <sz val="8"/>
            <color indexed="81"/>
            <rFont val="Tahoma"/>
            <family val="2"/>
          </rPr>
          <t>If your building has any 3-phase, not integrated motors over 1 hp not covered in the heating and DHW tables above, please enter their information here.</t>
        </r>
      </text>
    </comment>
    <comment ref="B181" authorId="2" shapeId="0">
      <text>
        <r>
          <rPr>
            <sz val="8"/>
            <color indexed="81"/>
            <rFont val="Tahoma"/>
            <family val="2"/>
          </rPr>
          <t>If your building has any 3-phase, not integrated motors over 1 hp not covered in the heating and DHW tables above, please enter their information here.</t>
        </r>
        <r>
          <rPr>
            <sz val="9"/>
            <color indexed="81"/>
            <rFont val="Tahoma"/>
            <family val="2"/>
          </rPr>
          <t xml:space="preserve">
</t>
        </r>
      </text>
    </comment>
    <comment ref="B182" authorId="2" shapeId="0">
      <text>
        <r>
          <rPr>
            <sz val="8"/>
            <color indexed="81"/>
            <rFont val="Tahoma"/>
            <family val="2"/>
          </rPr>
          <t>If your building has any 3-phase, not integrated motors over 1 hp not covered in the heating and DHW tables above, please enter their information here.</t>
        </r>
      </text>
    </comment>
    <comment ref="B184" authorId="0" shapeId="0">
      <text>
        <r>
          <rPr>
            <sz val="8"/>
            <color indexed="81"/>
            <rFont val="Tahoma"/>
            <family val="2"/>
          </rPr>
          <t>Solar PV, Wind, and CHP should have units of kW (e.g. 50 kW).  Solar Thermal should have units of SqFt of collector area (e.g. 300 SqFt).</t>
        </r>
      </text>
    </comment>
  </commentList>
</comments>
</file>

<file path=xl/comments3.xml><?xml version="1.0" encoding="utf-8"?>
<comments xmlns="http://schemas.openxmlformats.org/spreadsheetml/2006/main">
  <authors>
    <author>Shelley Beaulieu</author>
    <author>Beaulieu, Shelley</author>
    <author>gvijayakumar</author>
  </authors>
  <commentList>
    <comment ref="K3" authorId="0" shapeId="0">
      <text>
        <r>
          <rPr>
            <sz val="8"/>
            <color indexed="81"/>
            <rFont val="Tahoma"/>
            <family val="2"/>
          </rPr>
          <t>e.g. Fluorescent, Incandescent, LED</t>
        </r>
      </text>
    </comment>
    <comment ref="L3" authorId="1" shapeId="0">
      <text>
        <r>
          <rPr>
            <sz val="9"/>
            <color indexed="81"/>
            <rFont val="Tahoma"/>
            <family val="2"/>
          </rPr>
          <t>Use maximum rated wattage for the fixture if following ASHRAE explicitly. EPA allows wattage to be calculated using wattage of installed lamps and ballast, regardless of maximum rated wattage of the fixture.
Ballast power must be included</t>
        </r>
      </text>
    </comment>
    <comment ref="M3" authorId="2" shapeId="0">
      <text>
        <r>
          <rPr>
            <sz val="8"/>
            <color indexed="81"/>
            <rFont val="Tahoma"/>
            <family val="2"/>
          </rPr>
          <t>User can overwrite default lumens per watt if needed, but need to provide documentation</t>
        </r>
      </text>
    </comment>
    <comment ref="O3" authorId="1" shapeId="0">
      <text>
        <r>
          <rPr>
            <sz val="9"/>
            <color indexed="81"/>
            <rFont val="Tahoma"/>
            <family val="2"/>
          </rPr>
          <t xml:space="preserve">If the same fixture is used in apartments as common space, indicate "Common Space".
It is not required that Exterior Lighting be included in this table; they may be included at the discretion of the modeler.
</t>
        </r>
      </text>
    </comment>
    <comment ref="L4" authorId="1" shapeId="0">
      <text>
        <r>
          <rPr>
            <sz val="9"/>
            <color indexed="81"/>
            <rFont val="Tahoma"/>
            <family val="2"/>
          </rPr>
          <t>Include ballast power. See Appendix B for typical values.
Ex. 13W CFL &gt;&gt;14W</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authors>
    <author>gvijayakumar</author>
    <author>Maria</author>
  </authors>
  <commentList>
    <comment ref="B37" authorId="0" shapeId="0">
      <text>
        <r>
          <rPr>
            <sz val="8"/>
            <color indexed="81"/>
            <rFont val="Tahoma"/>
            <family val="2"/>
          </rPr>
          <t>If the maximum allowed CFM are exceeded, the project is penalized for over-ventilation by having lower OA CFM in the baseline</t>
        </r>
      </text>
    </comment>
    <comment ref="B47" authorId="0" shapeId="0">
      <text>
        <r>
          <rPr>
            <sz val="8"/>
            <color indexed="81"/>
            <rFont val="Tahoma"/>
            <family val="2"/>
          </rPr>
          <t>If this is met using a timer approach, enter the equivalent continuous rate.
Ex. An 80 CFM fan that operates 15 minutes each hour should be entered as 20 CFM.
If the maximum allowed CFM are exceeded, the project is penalized for pver-ventilation unless the additional CFM was needed to meet continuous local exhaust.
Whole Unit Ventilation requirements may also be satisfied by continuous local exhaust coupled with trickle vents</t>
        </r>
      </text>
    </comment>
    <comment ref="C60" authorId="1" shapeId="0">
      <text>
        <r>
          <rPr>
            <sz val="9"/>
            <color indexed="81"/>
            <rFont val="Tahoma"/>
            <family val="2"/>
          </rPr>
          <t>Baseline intermittent exhaust fan power must be based on SG Section 3.14.3</t>
        </r>
      </text>
    </comment>
    <comment ref="C65" authorId="1" shapeId="0">
      <text>
        <r>
          <rPr>
            <sz val="9"/>
            <color indexed="81"/>
            <rFont val="Tahoma"/>
            <family val="2"/>
          </rPr>
          <t>Continuous CFM value includes 2 hr/day intermittent CFM distributed uniformly</t>
        </r>
        <r>
          <rPr>
            <b/>
            <sz val="9"/>
            <color indexed="81"/>
            <rFont val="Tahoma"/>
            <family val="2"/>
          </rPr>
          <t xml:space="preserve"> </t>
        </r>
        <r>
          <rPr>
            <sz val="9"/>
            <color indexed="81"/>
            <rFont val="Tahoma"/>
            <family val="2"/>
          </rPr>
          <t xml:space="preserve">throughout the day
</t>
        </r>
      </text>
    </comment>
    <comment ref="C67" authorId="1" shapeId="0">
      <text>
        <r>
          <rPr>
            <sz val="9"/>
            <color indexed="81"/>
            <rFont val="Tahoma"/>
            <family val="2"/>
          </rPr>
          <t xml:space="preserve">Baseline continuous exhaust fan power is included in 0.3 W/CFM fan power allowance.
</t>
        </r>
      </text>
    </comment>
  </commentList>
</comments>
</file>

<file path=xl/sharedStrings.xml><?xml version="1.0" encoding="utf-8"?>
<sst xmlns="http://schemas.openxmlformats.org/spreadsheetml/2006/main" count="2672" uniqueCount="1519">
  <si>
    <t>$/Gallon</t>
  </si>
  <si>
    <t>Fossil Fuel, Btu</t>
  </si>
  <si>
    <t>MMbtu</t>
  </si>
  <si>
    <t xml:space="preserve">Baseline 
Annual Consumption </t>
  </si>
  <si>
    <t>Proposed Design 
Annual Consumption</t>
  </si>
  <si>
    <t>Electric loads</t>
  </si>
  <si>
    <t>Ventilation fans</t>
  </si>
  <si>
    <t>Space heating</t>
  </si>
  <si>
    <t>Space cooling</t>
  </si>
  <si>
    <t>Domestic hot water</t>
  </si>
  <si>
    <t>Interior lighting</t>
  </si>
  <si>
    <t>Other (describe)</t>
  </si>
  <si>
    <t>Plug loads</t>
  </si>
  <si>
    <t>Gas loads</t>
  </si>
  <si>
    <t>Fuel oil loads</t>
  </si>
  <si>
    <t>Totals</t>
  </si>
  <si>
    <t>Oil loads</t>
  </si>
  <si>
    <t>Apartment</t>
  </si>
  <si>
    <t xml:space="preserve">Number of bedrooms </t>
  </si>
  <si>
    <t>3 - Bedroom</t>
  </si>
  <si>
    <t>4 - Bedroom</t>
  </si>
  <si>
    <t>Total Square Ft</t>
  </si>
  <si>
    <t>Conditioned?</t>
  </si>
  <si>
    <t>Heated &amp; Cooled</t>
  </si>
  <si>
    <t>Unconditioned</t>
  </si>
  <si>
    <t>Heated-Only</t>
  </si>
  <si>
    <t>Cooled-Only</t>
  </si>
  <si>
    <t>Table 5. Comparison of Inputs</t>
  </si>
  <si>
    <t>Table 6. Comparison of Estimated Consumption</t>
  </si>
  <si>
    <t>Table 7. Fuel Cost</t>
  </si>
  <si>
    <t>Table 8. Performance Rating Calculation</t>
  </si>
  <si>
    <t>Table 9. Energy Usage per Square Foot of Conditioned Area</t>
  </si>
  <si>
    <t>Annual Maint. ($)</t>
  </si>
  <si>
    <t>File Name</t>
  </si>
  <si>
    <t>Case Description</t>
  </si>
  <si>
    <t>MBtu</t>
  </si>
  <si>
    <t>kBtu/sf/yr</t>
  </si>
  <si>
    <t>TDV-MBtu</t>
  </si>
  <si>
    <t>kWh</t>
  </si>
  <si>
    <t>kW</t>
  </si>
  <si>
    <t>$</t>
  </si>
  <si>
    <t>NA</t>
  </si>
  <si>
    <t># of apartments</t>
  </si>
  <si>
    <t>GPM</t>
  </si>
  <si>
    <t>Units</t>
  </si>
  <si>
    <t>Appliances</t>
  </si>
  <si>
    <t>Electric Usage:</t>
  </si>
  <si>
    <t>Non-Coincident Peak Demand:</t>
  </si>
  <si>
    <t>Coincident Peak Demand:</t>
  </si>
  <si>
    <t>Fuel Usage:</t>
  </si>
  <si>
    <t>Source Energy:</t>
  </si>
  <si>
    <t>TDV Energy:</t>
  </si>
  <si>
    <t>Annual Utility Costs:</t>
  </si>
  <si>
    <t>SS-D</t>
  </si>
  <si>
    <t>PS-E</t>
  </si>
  <si>
    <t>BEPS</t>
  </si>
  <si>
    <t>TDV1</t>
  </si>
  <si>
    <t>ES-E</t>
  </si>
  <si>
    <t>Peak Cooling</t>
  </si>
  <si>
    <t>Ambient</t>
  </si>
  <si>
    <t>Task</t>
  </si>
  <si>
    <t>Misc</t>
  </si>
  <si>
    <t>Space</t>
  </si>
  <si>
    <t>Heat</t>
  </si>
  <si>
    <t>Ventilation</t>
  </si>
  <si>
    <t>Refrig</t>
  </si>
  <si>
    <t>Heat Pump</t>
  </si>
  <si>
    <t>Domestic</t>
  </si>
  <si>
    <t>Exterior</t>
  </si>
  <si>
    <t>Bldg</t>
  </si>
  <si>
    <t>Run</t>
  </si>
  <si>
    <t>Internal</t>
  </si>
  <si>
    <t>Case</t>
  </si>
  <si>
    <t>Short</t>
  </si>
  <si>
    <t>Carry</t>
  </si>
  <si>
    <t>Incremental</t>
  </si>
  <si>
    <t>Coil Load</t>
  </si>
  <si>
    <t>Lights</t>
  </si>
  <si>
    <t>Equip</t>
  </si>
  <si>
    <t>Heating</t>
  </si>
  <si>
    <t>Reject</t>
  </si>
  <si>
    <t>&amp; Aux</t>
  </si>
  <si>
    <t>Fans</t>
  </si>
  <si>
    <t>Display</t>
  </si>
  <si>
    <t>Supplement</t>
  </si>
  <si>
    <t>Hot Water</t>
  </si>
  <si>
    <t>Usage</t>
  </si>
  <si>
    <t>EUI</t>
  </si>
  <si>
    <t xml:space="preserve"> </t>
  </si>
  <si>
    <t>Baseline Design</t>
  </si>
  <si>
    <t>Showerheads</t>
  </si>
  <si>
    <t>Bathroom Faucets</t>
  </si>
  <si>
    <t>Kitchen Faucets</t>
  </si>
  <si>
    <t>Baseline Fixtures, per EPAct 1992</t>
  </si>
  <si>
    <t>Fixture</t>
  </si>
  <si>
    <t>Flow Rate</t>
  </si>
  <si>
    <t>Baseline Toilets (GPF)</t>
  </si>
  <si>
    <t>Baseline Urinals (GPF)</t>
  </si>
  <si>
    <t>Baseline Showerheads (GPM)</t>
  </si>
  <si>
    <t>Baseline Bathroom Faucets (GPM)</t>
  </si>
  <si>
    <t>Baseline Kitchen Faucets (GPM)</t>
  </si>
  <si>
    <t>Fixture Use</t>
  </si>
  <si>
    <t>Fixture Type</t>
  </si>
  <si>
    <t>Duration (sec)</t>
  </si>
  <si>
    <t>Uses/Day/Occupant</t>
  </si>
  <si>
    <t>-</t>
  </si>
  <si>
    <t>SqFt</t>
  </si>
  <si>
    <t>W</t>
  </si>
  <si>
    <t>Basic Project Information</t>
  </si>
  <si>
    <t>Residential</t>
  </si>
  <si>
    <t>Storage, active</t>
  </si>
  <si>
    <t>Storage, inactive</t>
  </si>
  <si>
    <t>Lobby</t>
  </si>
  <si>
    <t>Corridor/Transition</t>
  </si>
  <si>
    <t>Stairs - Active</t>
  </si>
  <si>
    <t>Restroom</t>
  </si>
  <si>
    <t>Electrical/Mechanical</t>
  </si>
  <si>
    <t>Workshop</t>
  </si>
  <si>
    <t>Parking garage</t>
  </si>
  <si>
    <t>Baseline</t>
  </si>
  <si>
    <t>Proposed</t>
  </si>
  <si>
    <t>Instructions:</t>
  </si>
  <si>
    <t>Open Parms.csv file that corresponds to baseline and proposed eQuest models.</t>
  </si>
  <si>
    <t>Fuel</t>
  </si>
  <si>
    <t>Type</t>
  </si>
  <si>
    <t>Loads</t>
  </si>
  <si>
    <t>#s</t>
  </si>
  <si>
    <t>Name</t>
  </si>
  <si>
    <t>Fwd</t>
  </si>
  <si>
    <t>First Cost ($)</t>
  </si>
  <si>
    <t>Average of 4 exposures (needed in Simulation Summary)</t>
  </si>
  <si>
    <t>Parking Garage</t>
  </si>
  <si>
    <t>EER</t>
  </si>
  <si>
    <t>Building Area Summary (conditioned spaces only)</t>
  </si>
  <si>
    <t>Office</t>
  </si>
  <si>
    <t>Toilets</t>
  </si>
  <si>
    <t>Urinals</t>
  </si>
  <si>
    <t>Area, SqFt</t>
  </si>
  <si>
    <t>Notes</t>
  </si>
  <si>
    <t xml:space="preserve">Residential </t>
  </si>
  <si>
    <t>Pumps</t>
  </si>
  <si>
    <t>Total</t>
  </si>
  <si>
    <t>Studio</t>
  </si>
  <si>
    <t>1 - Bedroom</t>
  </si>
  <si>
    <t>2 - Bedroom</t>
  </si>
  <si>
    <t>Building Area</t>
  </si>
  <si>
    <t>Conference/meeting/multipurpose</t>
  </si>
  <si>
    <t>Garage</t>
  </si>
  <si>
    <t>Other</t>
  </si>
  <si>
    <t>Natural Gas</t>
  </si>
  <si>
    <t>If oil is used rather than natural gas, modifications to table are needed.</t>
  </si>
  <si>
    <t>Include combined floor area of corridors, recreation areas, lobbies, elevator shafts, etc.</t>
  </si>
  <si>
    <t>Include total floor area of all residential units in building</t>
  </si>
  <si>
    <t>Common Area</t>
  </si>
  <si>
    <t>Commercial Area</t>
  </si>
  <si>
    <t>Total Conditioned</t>
  </si>
  <si>
    <t>Fuel Cost</t>
  </si>
  <si>
    <t>Electricity</t>
  </si>
  <si>
    <t>$/kWh</t>
  </si>
  <si>
    <t>$/Therm</t>
  </si>
  <si>
    <t>Performance Rating Calculation</t>
  </si>
  <si>
    <t>BTU Savings, %</t>
  </si>
  <si>
    <t>$ Savings, %</t>
  </si>
  <si>
    <t>Electricity, Btu</t>
  </si>
  <si>
    <t>Yes</t>
  </si>
  <si>
    <t>No</t>
  </si>
  <si>
    <t>Cost, $</t>
  </si>
  <si>
    <t>Annual Heating</t>
  </si>
  <si>
    <t xml:space="preserve">Annual Cooling </t>
  </si>
  <si>
    <t>Annual Lighting</t>
  </si>
  <si>
    <t>Annual Hot Water</t>
  </si>
  <si>
    <t>Annual Appliance</t>
  </si>
  <si>
    <t>Annual Other</t>
  </si>
  <si>
    <t>Cooling</t>
  </si>
  <si>
    <t>Therms</t>
  </si>
  <si>
    <t>Electric</t>
  </si>
  <si>
    <t>TDV-kBtu/sf/yr</t>
  </si>
  <si>
    <t>Energy Usage per Square Foot of Conditioned Area</t>
  </si>
  <si>
    <t>Btu/SqFt</t>
  </si>
  <si>
    <t>Under Ground Garage</t>
  </si>
  <si>
    <t>Above Ground Garage</t>
  </si>
  <si>
    <t>Parking Lot</t>
  </si>
  <si>
    <t>Gas</t>
  </si>
  <si>
    <t>Energy</t>
  </si>
  <si>
    <t>kBtu</t>
  </si>
  <si>
    <t>Exit Signs</t>
  </si>
  <si>
    <t>Fill in cells highlighted with this color.</t>
  </si>
  <si>
    <t>CFM</t>
  </si>
  <si>
    <t>Space Type</t>
  </si>
  <si>
    <t>Type of Garage</t>
  </si>
  <si>
    <t>ID</t>
  </si>
  <si>
    <t>Proposed Design</t>
  </si>
  <si>
    <t>Baseline Components</t>
  </si>
  <si>
    <t>Proposed Components</t>
  </si>
  <si>
    <t>Incremental Metrics</t>
  </si>
  <si>
    <t>Description</t>
  </si>
  <si>
    <t>Energy Savings</t>
  </si>
  <si>
    <t>Table 1. General Project Information</t>
  </si>
  <si>
    <t>Current Project Status:</t>
  </si>
  <si>
    <t>Builder / Developer:</t>
  </si>
  <si>
    <t>Name of contact:</t>
  </si>
  <si>
    <t>Project Name:</t>
  </si>
  <si>
    <t>Phone:</t>
  </si>
  <si>
    <t>Project Address:</t>
  </si>
  <si>
    <t>E-mail:</t>
  </si>
  <si>
    <t>Table 2. Modeling Information</t>
  </si>
  <si>
    <t>Company:</t>
  </si>
  <si>
    <t>Baseline:</t>
  </si>
  <si>
    <t>Table 3. Building Information</t>
  </si>
  <si>
    <t># of stories</t>
  </si>
  <si>
    <t>Space heating fuel:</t>
  </si>
  <si>
    <t>Common space</t>
  </si>
  <si>
    <t>DHW fuel:</t>
  </si>
  <si>
    <t>Commercial</t>
  </si>
  <si>
    <t>Heating system:</t>
  </si>
  <si>
    <t>Cooling system:</t>
  </si>
  <si>
    <t>Ventilation system:</t>
  </si>
  <si>
    <t>Heated &amp; cooled</t>
  </si>
  <si>
    <t>Heated-only</t>
  </si>
  <si>
    <t>Cooled-only</t>
  </si>
  <si>
    <t>Apartment type</t>
  </si>
  <si>
    <t>1-BR</t>
  </si>
  <si>
    <t>2-BR</t>
  </si>
  <si>
    <t>3-BR</t>
  </si>
  <si>
    <t>4-BR</t>
  </si>
  <si>
    <t>Model Input Parameter</t>
  </si>
  <si>
    <t>Example Unit</t>
  </si>
  <si>
    <t>Baseline Design
(provide description and specification)</t>
  </si>
  <si>
    <t>Proposed Final Design
(provide description and specification)</t>
  </si>
  <si>
    <t>Building envelope</t>
  </si>
  <si>
    <t>Windows</t>
  </si>
  <si>
    <t>U-factor</t>
  </si>
  <si>
    <t>SHGC</t>
  </si>
  <si>
    <t>Shading devices</t>
  </si>
  <si>
    <t>Lighting &amp; appliances</t>
  </si>
  <si>
    <t>In-unit lighting power density</t>
  </si>
  <si>
    <t>Exterior lighting</t>
  </si>
  <si>
    <t>Lighting controls</t>
  </si>
  <si>
    <t>Refrigerator</t>
  </si>
  <si>
    <t>Energy Star?</t>
  </si>
  <si>
    <t>Dishwasher</t>
  </si>
  <si>
    <t>Primary HVAC system type</t>
  </si>
  <si>
    <t>SEER / EER</t>
  </si>
  <si>
    <t>Fan supply power</t>
  </si>
  <si>
    <t>Domestic Hot Water System</t>
  </si>
  <si>
    <t>Solar DHW system</t>
  </si>
  <si>
    <t>% of load</t>
  </si>
  <si>
    <t>Renewable Electric Generation System</t>
  </si>
  <si>
    <t>Type of system</t>
  </si>
  <si>
    <t>Rated capacity</t>
  </si>
  <si>
    <t>End Use</t>
  </si>
  <si>
    <t>Fuel Oil</t>
  </si>
  <si>
    <t>Non-Residential Associated Spaces</t>
  </si>
  <si>
    <t>First fill in the Basic Info worksheet and copy results into Result Summary eQuest worksheet.</t>
  </si>
  <si>
    <t>Baseline and Proposed design fuel usage is copied from the corresponding rows in Result Summary eQuest worksheet.</t>
  </si>
  <si>
    <t>Difference</t>
  </si>
  <si>
    <t>DHW system:</t>
  </si>
  <si>
    <t>average monthly electricity costs per apartment</t>
  </si>
  <si>
    <t>average monthly gas costs per apartment</t>
  </si>
  <si>
    <t>Parametric Run</t>
  </si>
  <si>
    <t>Site BTU Savings, %</t>
  </si>
  <si>
    <t>5 W/face</t>
  </si>
  <si>
    <t>None Installed</t>
  </si>
  <si>
    <t>HSPF</t>
  </si>
  <si>
    <t>SEER</t>
  </si>
  <si>
    <t>Equipment efficiency</t>
  </si>
  <si>
    <t>COP</t>
  </si>
  <si>
    <t>% AFUE</t>
  </si>
  <si>
    <t>% Et</t>
  </si>
  <si>
    <t>Ceiling (90-500 CFM)</t>
  </si>
  <si>
    <t>Common Space</t>
  </si>
  <si>
    <t>Please Select</t>
  </si>
  <si>
    <t>Condition</t>
  </si>
  <si>
    <t>YN</t>
  </si>
  <si>
    <t>N/A</t>
  </si>
  <si>
    <t>Project Name</t>
  </si>
  <si>
    <t>Milestone</t>
  </si>
  <si>
    <t>As-Built</t>
  </si>
  <si>
    <t>Rev</t>
  </si>
  <si>
    <t>GHSF</t>
  </si>
  <si>
    <t>Total Project Square Footage</t>
  </si>
  <si>
    <t>Revision</t>
  </si>
  <si>
    <t>Standard</t>
  </si>
  <si>
    <t>Please select</t>
  </si>
  <si>
    <t>RESNET HERS Technical Guidelines Standard</t>
  </si>
  <si>
    <t>ASHRAE 90.1-2004 &amp; Simulation Guidelines V4.0</t>
  </si>
  <si>
    <t>Simulation Program &amp; Version #:</t>
  </si>
  <si>
    <t>Only use 'Unconditioned' for spaces that have no active heating or cooling AND are not indirectly conditioned by adjacent conditioned spaces.</t>
  </si>
  <si>
    <t>Lead Modeler:</t>
  </si>
  <si>
    <t>Company Name</t>
  </si>
  <si>
    <t>Contact Name</t>
  </si>
  <si>
    <t>Email</t>
  </si>
  <si>
    <t>Address</t>
  </si>
  <si>
    <t>Building Type</t>
  </si>
  <si>
    <t>Income</t>
  </si>
  <si>
    <t>Market Rate</t>
  </si>
  <si>
    <t>New Construction</t>
  </si>
  <si>
    <t>Gut-rehab</t>
  </si>
  <si>
    <t>Construction</t>
  </si>
  <si>
    <t>Housing Income Classification</t>
  </si>
  <si>
    <t>DHW Method</t>
  </si>
  <si>
    <t>Apartment Method</t>
  </si>
  <si>
    <t>Occupancy Method</t>
  </si>
  <si>
    <t>Electricity Cost per kWh</t>
  </si>
  <si>
    <t>Fuel Cost per therm</t>
  </si>
  <si>
    <t>Baseline Simulation</t>
  </si>
  <si>
    <t>Percent Difference</t>
  </si>
  <si>
    <t>Electricity Consumption (kWh/yr)</t>
  </si>
  <si>
    <t>Fuel Consumption (MMBtu/yr)</t>
  </si>
  <si>
    <t>Total Energy Consumption (MMBtu/yr)</t>
  </si>
  <si>
    <t>Projected Annual Cost Savings ($)</t>
  </si>
  <si>
    <t>Projected Annual Cost Savings (%)</t>
  </si>
  <si>
    <t>Minimum Performance Target (%)</t>
  </si>
  <si>
    <t>Project Exceeds Performance Target By</t>
  </si>
  <si>
    <t>Total Projected Incremental Costs</t>
  </si>
  <si>
    <t>Measure Category</t>
  </si>
  <si>
    <t>Measure</t>
  </si>
  <si>
    <t>Quantity</t>
  </si>
  <si>
    <t>cubic feet</t>
  </si>
  <si>
    <t>degrees</t>
  </si>
  <si>
    <t>each</t>
  </si>
  <si>
    <t>gallons</t>
  </si>
  <si>
    <t>linear feet</t>
  </si>
  <si>
    <t>square feet</t>
  </si>
  <si>
    <t>tons</t>
  </si>
  <si>
    <t>kBtu/hr</t>
  </si>
  <si>
    <t>Building Component</t>
  </si>
  <si>
    <t>Manufacturer</t>
  </si>
  <si>
    <t>Model No.</t>
  </si>
  <si>
    <t>Above Grade Wall Construction</t>
  </si>
  <si>
    <t>Above Grade Wall U-value</t>
  </si>
  <si>
    <t>Below Grade Wall Construction</t>
  </si>
  <si>
    <t>Window to Gross Wall Ratio</t>
  </si>
  <si>
    <t>Fenestration Framing</t>
  </si>
  <si>
    <t>Fenestration Glazing</t>
  </si>
  <si>
    <t>Fenestration Assembly U-factor</t>
  </si>
  <si>
    <t>Fenestration Assembly SHGC</t>
  </si>
  <si>
    <t>Shading Devices</t>
  </si>
  <si>
    <t>Exterior Lighting Power (kW)</t>
  </si>
  <si>
    <t>Lighting Controls (Spaces)</t>
  </si>
  <si>
    <t>DHW System Type</t>
  </si>
  <si>
    <t>DHW Storage Tank Size (gal)</t>
  </si>
  <si>
    <t>Heating Pump Capacity Control</t>
  </si>
  <si>
    <t>Heating Pump Size (HP)</t>
  </si>
  <si>
    <t>Heating System Supply Water Temp.</t>
  </si>
  <si>
    <t>Heating System Return Water Temp.</t>
  </si>
  <si>
    <t>DHW Storage Tank Insulation R-value</t>
  </si>
  <si>
    <t>End use</t>
  </si>
  <si>
    <t>Baseline Electricity (kWh/yr)</t>
  </si>
  <si>
    <t>Baseline Fuel (MMBtu/yr)</t>
  </si>
  <si>
    <t>Percent Improvement</t>
  </si>
  <si>
    <t xml:space="preserve">Space Heating </t>
  </si>
  <si>
    <t>Space Cooling</t>
  </si>
  <si>
    <t>Heat rejection</t>
  </si>
  <si>
    <t>Fans - interior</t>
  </si>
  <si>
    <t>Service water heating</t>
  </si>
  <si>
    <t>Refrigerator (kWh/yr)</t>
  </si>
  <si>
    <t>Dishwasher (kWh/yr)</t>
  </si>
  <si>
    <t>Elevator (kWh/yr)</t>
  </si>
  <si>
    <t>Door Description</t>
  </si>
  <si>
    <t>Door U-value</t>
  </si>
  <si>
    <t>Appliances and Process Loads</t>
  </si>
  <si>
    <t>Fan Control</t>
  </si>
  <si>
    <t>Envelope Components</t>
  </si>
  <si>
    <t>Lighting Components</t>
  </si>
  <si>
    <t>Climate Zone</t>
  </si>
  <si>
    <t>Ext. wall construction (above grade)</t>
  </si>
  <si>
    <t>Roof Construction</t>
  </si>
  <si>
    <t>Roof U-value</t>
  </si>
  <si>
    <t>Ext. wall construction (below grade)</t>
  </si>
  <si>
    <t>Floor construction</t>
  </si>
  <si>
    <t>None</t>
  </si>
  <si>
    <t>Doors</t>
  </si>
  <si>
    <t>Renewable System Type</t>
  </si>
  <si>
    <t>Project Address</t>
  </si>
  <si>
    <t>Simulation Program &amp; Version #</t>
  </si>
  <si>
    <t>Space Heating Fuel Type</t>
  </si>
  <si>
    <t>DHW Fuel Type</t>
  </si>
  <si>
    <t>Phone</t>
  </si>
  <si>
    <t>Construction Milestone</t>
  </si>
  <si>
    <t>Planned Date</t>
  </si>
  <si>
    <t>Actual Date</t>
  </si>
  <si>
    <t>Schematic Design Completion date</t>
  </si>
  <si>
    <t>Design Development Completion Date</t>
  </si>
  <si>
    <t>Construction Documents Completion Date</t>
  </si>
  <si>
    <t>Project Bid Date</t>
  </si>
  <si>
    <t>Construction Complete Date</t>
  </si>
  <si>
    <t>Lighting</t>
  </si>
  <si>
    <t>Energy Star</t>
  </si>
  <si>
    <t>Non-Energy Star</t>
  </si>
  <si>
    <t>Not Applicable</t>
  </si>
  <si>
    <t>Primary Heating System Type</t>
  </si>
  <si>
    <t>Secondary Heating System Type</t>
  </si>
  <si>
    <t>Tertiary Heating System Type</t>
  </si>
  <si>
    <t>One-Speed</t>
  </si>
  <si>
    <t>Two-Speed</t>
  </si>
  <si>
    <t>Variable Speed</t>
  </si>
  <si>
    <t>Cycle</t>
  </si>
  <si>
    <t>Pump Type</t>
  </si>
  <si>
    <t>Heating Pump Motor Class</t>
  </si>
  <si>
    <t>Pump Class</t>
  </si>
  <si>
    <t>High Efficiency</t>
  </si>
  <si>
    <t>Premium</t>
  </si>
  <si>
    <t>Heating Pump Efficacy</t>
  </si>
  <si>
    <t>Inlet</t>
  </si>
  <si>
    <t>Discharge</t>
  </si>
  <si>
    <t>Cycling</t>
  </si>
  <si>
    <t>Two Speed</t>
  </si>
  <si>
    <t>Constant Volume</t>
  </si>
  <si>
    <t>Primary System Cooling efficiency</t>
  </si>
  <si>
    <t>Primary System Heating efficiency</t>
  </si>
  <si>
    <t>Heating Control</t>
  </si>
  <si>
    <t>Fixed</t>
  </si>
  <si>
    <t>OA Reset</t>
  </si>
  <si>
    <t>Scheduled</t>
  </si>
  <si>
    <t>Load Reset</t>
  </si>
  <si>
    <t>HW Loop Setpoint Control</t>
  </si>
  <si>
    <t>Primary Heating System Capacity (kBtu)</t>
  </si>
  <si>
    <t>Seconday Heating System Capacity (kBtu)</t>
  </si>
  <si>
    <t>Tertiary Heating System Capacity (kBtu)</t>
  </si>
  <si>
    <t>Primary Cooling System Capacity (tons)</t>
  </si>
  <si>
    <t>Primary Cooling System Type</t>
  </si>
  <si>
    <t>Secondary Cooling System Type</t>
  </si>
  <si>
    <t>Secondary Cooling System Capacity (tons)</t>
  </si>
  <si>
    <t>Heating Components</t>
  </si>
  <si>
    <t>Cooling Components</t>
  </si>
  <si>
    <t>DHW Components</t>
  </si>
  <si>
    <t>As per Minimum Performance Standards, garages shall not be heated for comfort or to prevent pipes from freezing.</t>
  </si>
  <si>
    <t>Slab-Below-Grade Construction</t>
  </si>
  <si>
    <t>Slab-below grade construction</t>
  </si>
  <si>
    <t>Ventilation Components</t>
  </si>
  <si>
    <t xml:space="preserve">Renewable System Size </t>
  </si>
  <si>
    <t>Spaces Served?</t>
  </si>
  <si>
    <t>&lt;Other Appliance&gt; (kWh/yr)</t>
  </si>
  <si>
    <t>Report Date</t>
  </si>
  <si>
    <t># of stories above grade</t>
  </si>
  <si>
    <t># of stories below grade</t>
  </si>
  <si>
    <t># of building occupants</t>
  </si>
  <si>
    <t>natural gas</t>
  </si>
  <si>
    <t>oil</t>
  </si>
  <si>
    <t>propane</t>
  </si>
  <si>
    <t>steam</t>
  </si>
  <si>
    <t>electric</t>
  </si>
  <si>
    <t>Total Square Footage</t>
  </si>
  <si>
    <t>Fan</t>
  </si>
  <si>
    <t>Basic Info</t>
  </si>
  <si>
    <t>Reporting Summary</t>
  </si>
  <si>
    <t>Results from eQuest</t>
  </si>
  <si>
    <t>Simulation Summary</t>
  </si>
  <si>
    <t>Wood Frame</t>
  </si>
  <si>
    <t>SpaceType</t>
  </si>
  <si>
    <t>LightingSpaceType</t>
  </si>
  <si>
    <t>Footcandles</t>
  </si>
  <si>
    <t>YesNo</t>
  </si>
  <si>
    <t>Heating MMBtu</t>
  </si>
  <si>
    <t>Cooling kWh</t>
  </si>
  <si>
    <t>Non- CoolingkWh</t>
  </si>
  <si>
    <t>Non-Heating MMBtu</t>
  </si>
  <si>
    <t>1000 Btu/hr</t>
  </si>
  <si>
    <t>HVAC - Boiler</t>
  </si>
  <si>
    <t>HVAC - Duct Sealing</t>
  </si>
  <si>
    <t>HVAC - Furnace</t>
  </si>
  <si>
    <t>HVAC - HRV</t>
  </si>
  <si>
    <t>HVAC - Split System AC/HP</t>
  </si>
  <si>
    <t>Upstate (non-cooling)</t>
  </si>
  <si>
    <t>Upstate (cooling)</t>
  </si>
  <si>
    <t>Downstate (non-cooling)</t>
  </si>
  <si>
    <t>Downstate (cooling)</t>
  </si>
  <si>
    <t>Electric Utility</t>
  </si>
  <si>
    <t>Con Ed</t>
  </si>
  <si>
    <t>O &amp; R</t>
  </si>
  <si>
    <t>RG &amp; E</t>
  </si>
  <si>
    <t>NYSEG</t>
  </si>
  <si>
    <t>Utility</t>
  </si>
  <si>
    <t>Central Hudson</t>
  </si>
  <si>
    <t>UtilityLookup</t>
  </si>
  <si>
    <t>gas - firm</t>
  </si>
  <si>
    <t>gas - non firm</t>
  </si>
  <si>
    <t>Measure Lifetime</t>
  </si>
  <si>
    <t>EEPS-Gas</t>
  </si>
  <si>
    <t>EEPS-Electric</t>
  </si>
  <si>
    <t>RGGI</t>
  </si>
  <si>
    <t>OHGAH</t>
  </si>
  <si>
    <t>Funding</t>
  </si>
  <si>
    <t>KEDLI</t>
  </si>
  <si>
    <t>GasUtility</t>
  </si>
  <si>
    <t>Gas Utility</t>
  </si>
  <si>
    <t>Contact Information</t>
  </si>
  <si>
    <t>Project City and State</t>
  </si>
  <si>
    <t>Project Zip Code</t>
  </si>
  <si>
    <t>Instructions</t>
  </si>
  <si>
    <t>Use the same order as the parametric runs copied in the "Results from eQUEST" worksheet.</t>
  </si>
  <si>
    <t>Instructions:  Detailed instruction below table.</t>
  </si>
  <si>
    <t>Cost Savings
$</t>
  </si>
  <si>
    <t>Totals:</t>
  </si>
  <si>
    <t>Demand Savings kW</t>
  </si>
  <si>
    <t>Water Savings 1000 gal</t>
  </si>
  <si>
    <t>O&amp;M Savings 
$</t>
  </si>
  <si>
    <t>Lifetime
years</t>
  </si>
  <si>
    <t>Envelope - Exterior Doors</t>
  </si>
  <si>
    <t>Envelope - BGW Insulation</t>
  </si>
  <si>
    <t>Envelope - AGW Insulation</t>
  </si>
  <si>
    <t>Envelope - Roof Insulation</t>
  </si>
  <si>
    <t>Envelope - Slab Insulation</t>
  </si>
  <si>
    <t>Other - Elevators</t>
  </si>
  <si>
    <t>Other - Motors</t>
  </si>
  <si>
    <t>Other - Ventilation Fans</t>
  </si>
  <si>
    <t>Appliances - Dishwashers</t>
  </si>
  <si>
    <t>Appliances - Refrigerator</t>
  </si>
  <si>
    <t>Appliances - Clothes washers</t>
  </si>
  <si>
    <t>HVAC - Window AC</t>
  </si>
  <si>
    <t>HVAC - Chiller</t>
  </si>
  <si>
    <t>Lighting - Common Timers/Sensors</t>
  </si>
  <si>
    <t>DHW - Condensing boiler</t>
  </si>
  <si>
    <t>DHW - Indirect</t>
  </si>
  <si>
    <t>DHW - Direct</t>
  </si>
  <si>
    <t>DHW - Low-flow Devices</t>
  </si>
  <si>
    <t>Model Inputs Summary</t>
  </si>
  <si>
    <r>
      <t>W/ft</t>
    </r>
    <r>
      <rPr>
        <vertAlign val="superscript"/>
        <sz val="9"/>
        <rFont val="Calibri"/>
        <family val="2"/>
        <scheme val="minor"/>
      </rPr>
      <t>2</t>
    </r>
  </si>
  <si>
    <r>
      <t>Total bldg ft</t>
    </r>
    <r>
      <rPr>
        <vertAlign val="superscript"/>
        <sz val="9"/>
        <rFont val="Calibri"/>
        <family val="2"/>
        <scheme val="minor"/>
      </rPr>
      <t>2</t>
    </r>
    <r>
      <rPr>
        <sz val="9"/>
        <rFont val="Calibri"/>
        <family val="2"/>
        <scheme val="minor"/>
      </rPr>
      <t>:</t>
    </r>
  </si>
  <si>
    <r>
      <t>Average ft</t>
    </r>
    <r>
      <rPr>
        <vertAlign val="superscript"/>
        <sz val="9"/>
        <rFont val="Calibri"/>
        <family val="2"/>
        <scheme val="minor"/>
      </rPr>
      <t>2</t>
    </r>
  </si>
  <si>
    <r>
      <t xml:space="preserve">Performance rating is shown in </t>
    </r>
    <r>
      <rPr>
        <b/>
        <sz val="9"/>
        <color indexed="10"/>
        <rFont val="Calibri"/>
        <family val="2"/>
        <scheme val="minor"/>
      </rPr>
      <t>Red Font</t>
    </r>
  </si>
  <si>
    <r>
      <t xml:space="preserve">Include combined floor area of </t>
    </r>
    <r>
      <rPr>
        <b/>
        <sz val="9"/>
        <color indexed="12"/>
        <rFont val="Calibri"/>
        <family val="2"/>
        <scheme val="minor"/>
      </rPr>
      <t>residential-associated</t>
    </r>
    <r>
      <rPr>
        <sz val="9"/>
        <rFont val="Calibri"/>
        <family val="2"/>
        <scheme val="minor"/>
      </rPr>
      <t xml:space="preserve"> office, retail, food sales, etc.</t>
    </r>
  </si>
  <si>
    <r>
      <t xml:space="preserve">Include floor area of </t>
    </r>
    <r>
      <rPr>
        <b/>
        <sz val="9"/>
        <color indexed="12"/>
        <rFont val="Calibri"/>
        <family val="2"/>
        <scheme val="minor"/>
      </rPr>
      <t>residential-associated</t>
    </r>
    <r>
      <rPr>
        <sz val="9"/>
        <rFont val="Calibri"/>
        <family val="2"/>
        <scheme val="minor"/>
      </rPr>
      <t xml:space="preserve"> enclosed/underground garages [ventilated] </t>
    </r>
  </si>
  <si>
    <t>TOTAL GHSF</t>
  </si>
  <si>
    <t>In blue cells only, enter the basic information about the building.</t>
  </si>
  <si>
    <t>Model Inputs</t>
  </si>
  <si>
    <t>In blue cells only, enter information about how the baseline and proposed buildings were modeled.  Follow the formatting guidelines presented as comments (red corners) where available.</t>
  </si>
  <si>
    <t>For eQuest users only, this worksheet is based upon the Parms.csv file that is generated upon simulation of your building. If those results are pasted into this worksheet, according to the directions, a significant amount of this workbook will autofill.</t>
  </si>
  <si>
    <t>Results from eQUEST Parms.csv file</t>
  </si>
  <si>
    <t>Annual Maint.($)</t>
  </si>
  <si>
    <t>of Run</t>
  </si>
  <si>
    <t>Date &amp; Time</t>
  </si>
  <si>
    <t>TOTAL</t>
  </si>
  <si>
    <t>Step 1:</t>
  </si>
  <si>
    <t>Step 2:</t>
  </si>
  <si>
    <t>Step 3:</t>
  </si>
  <si>
    <t>Project Energy Savings and Financial Summary per Building</t>
  </si>
  <si>
    <t>Total Annual Energy Cost (All Fuels)</t>
  </si>
  <si>
    <t>Energy Use by End Use</t>
  </si>
  <si>
    <t>Number of Units</t>
  </si>
  <si>
    <t>Average Baseline</t>
  </si>
  <si>
    <t>Step 4:</t>
  </si>
  <si>
    <t>Baseline Design (copy runs corresponding to four exposures from &lt;project name&gt;-Parms.csv to row 14-17 below).  If not rotated, copy into row 14 only.</t>
  </si>
  <si>
    <t>Proposed Design (copy run that corresponds to proposed design from &lt;project name&gt;-Parms.csv to row 21 below) - this should represent your building with ALL measures included.</t>
  </si>
  <si>
    <t>NOTE:</t>
  </si>
  <si>
    <t>**If building uses more than one fossil fuel or uses oil instead of gas for heating, adjustments to the performance rating calculation in the Reporting Summary are needed.</t>
  </si>
  <si>
    <t>*To account for calculations done outside of eQuest, you can add rows after your last eQUEST parametric row with appropriate savings.</t>
  </si>
  <si>
    <t>Energy Savings By Measure (copy runs that correspond to EACH parametric run from &lt;project name&gt;-Parms.csv to rows below; do not include BASELINE run). These are used to calculate savings in Detailed Measures worksheet.</t>
  </si>
  <si>
    <t>Hours Outside Throttling Range:</t>
  </si>
  <si>
    <t>SS-E</t>
  </si>
  <si>
    <t>Zone Outsd</t>
  </si>
  <si>
    <t>Plant Ld</t>
  </si>
  <si>
    <t>Hours</t>
  </si>
  <si>
    <t>Cool Loads</t>
  </si>
  <si>
    <t>Heat Loads</t>
  </si>
  <si>
    <t>Thrtlng Rng</t>
  </si>
  <si>
    <t>Not Met</t>
  </si>
  <si>
    <t>Fans On</t>
  </si>
  <si>
    <t>% hrs</t>
  </si>
  <si>
    <t># hrs</t>
  </si>
  <si>
    <t>Envelope - Windows</t>
  </si>
  <si>
    <t>Estimated Construction Completion Date (mo/yr):</t>
  </si>
  <si>
    <t>HVAC System</t>
  </si>
  <si>
    <t>Other exterior</t>
  </si>
  <si>
    <t>Window SHGC</t>
  </si>
  <si>
    <t>Window type and U-factor</t>
  </si>
  <si>
    <t>Proposed Method of Compliance 
(by PM/client)</t>
  </si>
  <si>
    <t>Values Used in Energy Model  
(Modeling Submittal Notes)</t>
  </si>
  <si>
    <t>APPLIANCES</t>
  </si>
  <si>
    <t>Clothes Washer</t>
  </si>
  <si>
    <t>Stove</t>
  </si>
  <si>
    <t>Dryer</t>
  </si>
  <si>
    <t>DOMESTIC HOT WATER</t>
  </si>
  <si>
    <t>Domestic Hot Water-Type &amp; Efficiency</t>
  </si>
  <si>
    <t>Domestic Hot Water - Storage Insulation</t>
  </si>
  <si>
    <t>Domestic Hot Water - Low Flow Fixtures</t>
  </si>
  <si>
    <t xml:space="preserve">ENVELOPE </t>
  </si>
  <si>
    <t>Below Grade Wall Insulation</t>
  </si>
  <si>
    <t>Above Grade Wall Insulation</t>
  </si>
  <si>
    <t>Floor Perimeter/Plank Edge Insulation</t>
  </si>
  <si>
    <t>Roof Insulation</t>
  </si>
  <si>
    <t>Floor Insulation Above Unconditioned Space</t>
  </si>
  <si>
    <t>Below Grade Slab Floor Insulation</t>
  </si>
  <si>
    <t>Exterior Doors</t>
  </si>
  <si>
    <t>HEATING &amp; COOLING</t>
  </si>
  <si>
    <t>Space Heating - Type &amp; Efficiency</t>
  </si>
  <si>
    <t>Heating Terminal Units - Electric or Freeze Protection</t>
  </si>
  <si>
    <t>Space Heating Distribution -Fan Power</t>
  </si>
  <si>
    <t>Space Heating - Sizing</t>
  </si>
  <si>
    <t>Space Heating - Design Temperatures</t>
  </si>
  <si>
    <t>Space Heating - Controls</t>
  </si>
  <si>
    <t>Thermostat Setting</t>
  </si>
  <si>
    <t>Space Cooling - Type and Efficiency</t>
  </si>
  <si>
    <t>Space Cooling - Sizing</t>
  </si>
  <si>
    <t>Space Cooling - Controls</t>
  </si>
  <si>
    <t xml:space="preserve">LIGHTING </t>
  </si>
  <si>
    <t>Lighting Controls</t>
  </si>
  <si>
    <t>Exterior Lights</t>
  </si>
  <si>
    <t>Garage Lighting</t>
  </si>
  <si>
    <t>In-Unit Lighting</t>
  </si>
  <si>
    <t>MOTORS (3-PHASE , &gt; 1 HP)</t>
  </si>
  <si>
    <t>Heating Circulating Pumps</t>
  </si>
  <si>
    <t>DHW Circulating Pumps</t>
  </si>
  <si>
    <t>VENTILATION</t>
  </si>
  <si>
    <t>Ventilation: Thermal
Corridors</t>
  </si>
  <si>
    <t>Ventilation: Thermal
(Heat Recovery)</t>
  </si>
  <si>
    <t>Ventilation: Electric
(Apartments)</t>
  </si>
  <si>
    <t>Ventilation: Electric
(Non-Apartment)</t>
  </si>
  <si>
    <t>Ventilation: Demand  Control</t>
  </si>
  <si>
    <t>Ventilation: Thermal &amp; Electric
(Garage Exhaust fan)</t>
  </si>
  <si>
    <t>MISC.</t>
  </si>
  <si>
    <t>Renewables</t>
  </si>
  <si>
    <t>Lighting Power Density</t>
  </si>
  <si>
    <t>Location</t>
  </si>
  <si>
    <t>Summary</t>
  </si>
  <si>
    <t>NatGrid</t>
  </si>
  <si>
    <t>Miscellaneous Plug Load (W/SF)</t>
  </si>
  <si>
    <t>Apartment LPD (W/SF)</t>
  </si>
  <si>
    <t>Dishwasher (gal/yr)</t>
  </si>
  <si>
    <t>Quantity of Systems</t>
  </si>
  <si>
    <t>Showerheads (gpm)</t>
  </si>
  <si>
    <t>Kitchen Faucets (gpm)</t>
  </si>
  <si>
    <t>Lavatory Faucets (gpm)</t>
  </si>
  <si>
    <t>Toilets (gpf)</t>
  </si>
  <si>
    <t>DHW System Capacity (kBtu/h)</t>
  </si>
  <si>
    <t>Baseline Design (residential)</t>
  </si>
  <si>
    <t>Baseline Design (non-residential)</t>
  </si>
  <si>
    <t>Below Grade Wall C-value</t>
  </si>
  <si>
    <t>Slab-Below Grade C-value</t>
  </si>
  <si>
    <t>Floor Perimeter/Plank Edge Construction</t>
  </si>
  <si>
    <t>Floor Perimeter/Plank Edge U-value</t>
  </si>
  <si>
    <t>Floor above Unconditioned Space Construction</t>
  </si>
  <si>
    <t>Floor above Unconditioned Space U-value</t>
  </si>
  <si>
    <t>Measure #</t>
  </si>
  <si>
    <t>Per ASHRAE</t>
  </si>
  <si>
    <t>Exit Signs (kW)</t>
  </si>
  <si>
    <t>Garage Lighting (W/SF)</t>
  </si>
  <si>
    <t>Common Area LPD  (W/SF)</t>
  </si>
  <si>
    <t>Common Area Lighting</t>
  </si>
  <si>
    <t>Slab-on-Grade Construction (Unheated)</t>
  </si>
  <si>
    <t>Slab-on Grade F-value (Unheated)</t>
  </si>
  <si>
    <t>Slab-on-Grade Construction (Embedded Heat)</t>
  </si>
  <si>
    <t>Slab-on Grade F-value (Embedded Heat)</t>
  </si>
  <si>
    <t>Slab-on-Grade Insulation (Unheated)</t>
  </si>
  <si>
    <t>Slab-on-Grade Insulation (Embedded Heat)</t>
  </si>
  <si>
    <t>Heating Pump?</t>
  </si>
  <si>
    <t>DHW Circulating Pump?</t>
  </si>
  <si>
    <t>DHW Pump Motor Class</t>
  </si>
  <si>
    <t>DHW Pump Capacity Control</t>
  </si>
  <si>
    <t>DHW Pump Size (HP)</t>
  </si>
  <si>
    <t>Quantity of DHW Pumps</t>
  </si>
  <si>
    <t>Lead Energy Modeler</t>
  </si>
  <si>
    <t>Lavatory Faucets</t>
  </si>
  <si>
    <t>Other, if applicable</t>
  </si>
  <si>
    <t>DHW System Efficiency (Et)</t>
  </si>
  <si>
    <t>Type?</t>
  </si>
  <si>
    <t>DHW Pump Motor Efficiency</t>
  </si>
  <si>
    <t>Hot Water Demand (gpm)</t>
  </si>
  <si>
    <t>Tertiary Heating System Efficiency (Et)</t>
  </si>
  <si>
    <t>Primary Heating System Quantity</t>
  </si>
  <si>
    <t>Secondary Heating System Quantity</t>
  </si>
  <si>
    <t>Tertiary Heating System Quantity</t>
  </si>
  <si>
    <t>Electric Resistance Heating?</t>
  </si>
  <si>
    <t>72 °F</t>
  </si>
  <si>
    <t>70 °F</t>
  </si>
  <si>
    <t>Heating/Cooling Controls</t>
  </si>
  <si>
    <t>80 °F</t>
  </si>
  <si>
    <t>78 °F</t>
  </si>
  <si>
    <t>Primary Cooling System Quantity</t>
  </si>
  <si>
    <t>Secondary Cooling System Quantity</t>
  </si>
  <si>
    <t>Cooling Controls</t>
  </si>
  <si>
    <t>HW Loop Setpoint Control Temp.</t>
  </si>
  <si>
    <t>180°F at 20°F and below, 
150°F at 50°F and above</t>
  </si>
  <si>
    <t>Cooling Fan Control</t>
  </si>
  <si>
    <t>Cooling Fan kW/CFM</t>
  </si>
  <si>
    <t>Heating Fan Control</t>
  </si>
  <si>
    <t>Heating Fan kW/CFM</t>
  </si>
  <si>
    <t>Space Heating - Type &amp; Efficiency (Primary)</t>
  </si>
  <si>
    <t>Space Heating - Type &amp; Efficiency (Secondary)</t>
  </si>
  <si>
    <t>Space Heating - Type &amp; Efficiency (Tertiary)</t>
  </si>
  <si>
    <t>Space Cooling - Type and Efficiency (Primary)</t>
  </si>
  <si>
    <t>Space Cooling - Type and Efficiency (Secondary)</t>
  </si>
  <si>
    <t>Total Corridor Supply Ventilation (CFM)</t>
  </si>
  <si>
    <t>Garage Exhaust Fan (hp)</t>
  </si>
  <si>
    <t>Garage Exhaust Fan (efficiency)</t>
  </si>
  <si>
    <t>Garage Exhaust Fan - Demand Control</t>
  </si>
  <si>
    <t>Garage Exhaust Fan -Demand Control (hr/day)</t>
  </si>
  <si>
    <t>Garage Exhaust Fan (CFM)</t>
  </si>
  <si>
    <t>Heat/Energy Recovery Effectiveness (%)</t>
  </si>
  <si>
    <t>Other Demand Control</t>
  </si>
  <si>
    <t>Other Demand Control (hr/day)</t>
  </si>
  <si>
    <t>Other Demand Control Fan Power (kW)</t>
  </si>
  <si>
    <t>Motors</t>
  </si>
  <si>
    <t>Elevator</t>
  </si>
  <si>
    <t>Space Heating Distribution - Fan Control</t>
  </si>
  <si>
    <t>Space Cooling Distribution - Fan Control</t>
  </si>
  <si>
    <t>Ventilation: Thermal (Non-apt, Non-corridor spaces)</t>
  </si>
  <si>
    <t>Ventilation: Thermal
(Apartments)</t>
  </si>
  <si>
    <t>Garage Exhaust Fan Power (kW)</t>
  </si>
  <si>
    <t>Lighting - LED Exit Signs</t>
  </si>
  <si>
    <t>Project Located in NYC?</t>
  </si>
  <si>
    <t>Note that throughout these worksheets, common information from cells are linked and should automatically update.  Only cells shaded in blue need to be entered manually. Entering values into white cells will override pre-determined formulas.  However, depending on the project, there may be reason to write over the pre-determined formulas.</t>
  </si>
  <si>
    <r>
      <rPr>
        <b/>
        <sz val="9"/>
        <rFont val="Calibri"/>
        <family val="2"/>
        <scheme val="minor"/>
      </rPr>
      <t>Notes:</t>
    </r>
    <r>
      <rPr>
        <sz val="9"/>
        <rFont val="Calibri"/>
        <family val="2"/>
        <scheme val="minor"/>
      </rPr>
      <t xml:space="preserve">  Read the notes, which are indicated by red corners, where appropriate to assist in properly completing this tab.</t>
    </r>
  </si>
  <si>
    <r>
      <rPr>
        <b/>
        <sz val="9"/>
        <rFont val="Calibri"/>
        <family val="2"/>
        <scheme val="minor"/>
      </rPr>
      <t>Measure #:</t>
    </r>
    <r>
      <rPr>
        <sz val="9"/>
        <rFont val="Calibri"/>
        <family val="2"/>
        <scheme val="minor"/>
      </rPr>
      <t xml:space="preserve">  To auto-generate the measure descriptions in the Detailed Measures tab, number the appropriate rows in this column such that it matches the ID number (column A) on the Detailed Measures tab.</t>
    </r>
  </si>
  <si>
    <r>
      <rPr>
        <b/>
        <sz val="9"/>
        <rFont val="Calibri"/>
        <family val="2"/>
        <scheme val="minor"/>
      </rPr>
      <t>Baseline Design:</t>
    </r>
    <r>
      <rPr>
        <sz val="9"/>
        <rFont val="Calibri"/>
        <family val="2"/>
        <scheme val="minor"/>
      </rPr>
      <t xml:space="preserve">  In the blue cells, enter the baseline information used in the model.  If this project has a different baseline than listed in a white cell, you may overwrite that cell.</t>
    </r>
  </si>
  <si>
    <r>
      <rPr>
        <b/>
        <sz val="9"/>
        <rFont val="Calibri"/>
        <family val="2"/>
        <scheme val="minor"/>
      </rPr>
      <t>Proposed Design/As-Built:</t>
    </r>
    <r>
      <rPr>
        <sz val="9"/>
        <rFont val="Calibri"/>
        <family val="2"/>
        <scheme val="minor"/>
      </rPr>
      <t xml:space="preserve">  In the blue cells, enter the proposed design/as-built information used in the model and/or that matches the proposed/as-built building.</t>
    </r>
  </si>
  <si>
    <t>In blue cells only, enter general information about the project.  If the Basic Info and Model Inputs tabs are completed first, the majority of this tab will autofill.</t>
  </si>
  <si>
    <t>Project using modeling software other than eQUEST will need to manually enter information in many white cells that would otherwise calculated based on inputs from the Results from eQUEST tab.</t>
  </si>
  <si>
    <t>Notes:</t>
  </si>
  <si>
    <r>
      <t xml:space="preserve">2. </t>
    </r>
    <r>
      <rPr>
        <b/>
        <sz val="9"/>
        <rFont val="Calibri"/>
        <family val="2"/>
        <scheme val="minor"/>
      </rPr>
      <t>Description</t>
    </r>
    <r>
      <rPr>
        <sz val="9"/>
        <rFont val="Calibri"/>
        <family val="2"/>
        <scheme val="minor"/>
      </rPr>
      <t xml:space="preserve"> - Provide a brief non-generic description of the measure for both Baseline Component (column D) and Proposed Component (column G).  If you complete the Model Inputs tab correctly, this will autofill.</t>
    </r>
  </si>
  <si>
    <t>Clothes Dryer - Electric use (kWh/yr)</t>
  </si>
  <si>
    <t>Clothes Dryer - Gas use, if applicable (therm/yr)</t>
  </si>
  <si>
    <t xml:space="preserve">             If the building component does not exist in the building, enter "N/A" in the baseline and proposed/as-built columns.</t>
  </si>
  <si>
    <t>Secondary Heating System Efficiency (Et)</t>
  </si>
  <si>
    <t>F-factor</t>
  </si>
  <si>
    <t>%</t>
  </si>
  <si>
    <t>C-factor</t>
  </si>
  <si>
    <t>Slab-on-grade construction (unheated)</t>
  </si>
  <si>
    <t>Slab-on-grade construction (embedded heat)</t>
  </si>
  <si>
    <t>kW/CFM</t>
  </si>
  <si>
    <t>Detailed Measures</t>
  </si>
  <si>
    <t>Ventilation: Supply to Apartments (Fresh Air)</t>
  </si>
  <si>
    <t>Space Cooling Distribution - Fan Power</t>
  </si>
  <si>
    <t>16 hr</t>
  </si>
  <si>
    <t>18 hr</t>
  </si>
  <si>
    <t>Heating Setpoint - during occupied hours</t>
  </si>
  <si>
    <t>Cooling Setpoint - during occupied hours</t>
  </si>
  <si>
    <t>Cooling Setpoint - during unoccupied hours</t>
  </si>
  <si>
    <t>Heating Setpoint - during unoccupied hours</t>
  </si>
  <si>
    <t>Cooling Setpoint - occupied hours/day</t>
  </si>
  <si>
    <t>Heating Setpoint - occupied hours/day</t>
  </si>
  <si>
    <t>Please Select Type of Stove</t>
  </si>
  <si>
    <t>SBC - NC</t>
  </si>
  <si>
    <t>Owner</t>
  </si>
  <si>
    <t>You must fill in the conditioned column.</t>
  </si>
  <si>
    <t>You must fill in the mechanical ventilation column.</t>
  </si>
  <si>
    <t>Other equipment/plug loads</t>
  </si>
  <si>
    <t>Baseline Energy (MMBtu)</t>
  </si>
  <si>
    <t>Predominent Energy Source</t>
  </si>
  <si>
    <t>Designs</t>
  </si>
  <si>
    <t>Wall (above and below grade wall construction and U-value)</t>
  </si>
  <si>
    <t>Windows (window-to-wall-ratio,frame material, U-Value and SHGC)</t>
  </si>
  <si>
    <t>Floor (U-Value and construction for exposed floor and slabs)</t>
  </si>
  <si>
    <t>Roof (U-Value and construction)</t>
  </si>
  <si>
    <t>Exterior Lighting</t>
  </si>
  <si>
    <t>Misc. Plug Loads</t>
  </si>
  <si>
    <t>Renewable Systems</t>
  </si>
  <si>
    <t>Heating/Cooling system type and efficiency (include all heating systems)</t>
  </si>
  <si>
    <t>Mechanical Ventilation (include exhaust/supply CFM and system description)</t>
  </si>
  <si>
    <t>Fan and Pump descriptino</t>
  </si>
  <si>
    <t>Domestic Water Heating (include system type, efficiency, and hot water demand)</t>
  </si>
  <si>
    <t>Corridor LPD (W/SF)</t>
  </si>
  <si>
    <t>Corridor lighting power density</t>
  </si>
  <si>
    <r>
      <t>CFM/ft</t>
    </r>
    <r>
      <rPr>
        <vertAlign val="superscript"/>
        <sz val="9"/>
        <rFont val="Arial"/>
        <family val="2"/>
      </rPr>
      <t>2</t>
    </r>
  </si>
  <si>
    <t>Corridor Outdoor Air Supply</t>
  </si>
  <si>
    <t>ENERGY STAR?</t>
  </si>
  <si>
    <t>2.5 @ 80 psi</t>
  </si>
  <si>
    <t>Climate Zone:</t>
  </si>
  <si>
    <r>
      <t>Conditioned ft</t>
    </r>
    <r>
      <rPr>
        <vertAlign val="superscript"/>
        <sz val="9"/>
        <rFont val="Calibri"/>
        <family val="2"/>
        <scheme val="minor"/>
      </rPr>
      <t>2</t>
    </r>
    <r>
      <rPr>
        <sz val="9"/>
        <rFont val="Calibri"/>
        <family val="2"/>
        <scheme val="minor"/>
      </rPr>
      <t>:</t>
    </r>
  </si>
  <si>
    <t>Window/wall area ratio</t>
  </si>
  <si>
    <t>% Savings 
toward target</t>
  </si>
  <si>
    <t>% Savings 
by End-Use</t>
  </si>
  <si>
    <t>Pumps and Aux</t>
  </si>
  <si>
    <t>DHW system</t>
  </si>
  <si>
    <t>Heating system</t>
  </si>
  <si>
    <t>Cooling system</t>
  </si>
  <si>
    <t>Ventilation system</t>
  </si>
  <si>
    <t>Weather File Location (City, ST):</t>
  </si>
  <si>
    <t>Builder/Developer</t>
  </si>
  <si>
    <t>Total without Renewable</t>
  </si>
  <si>
    <t>Annual Renewable</t>
  </si>
  <si>
    <t>Total with Renewable</t>
  </si>
  <si>
    <t>Heating Circulating Pumps - Control</t>
  </si>
  <si>
    <t>Simulation Guidelines Appendix</t>
  </si>
  <si>
    <t>Note that throughout these worksheets, common information from cells are linked and should automatically update.  Only cells shaded in blue need to be entered manually. Entering values into white or orange cells will override pre-determined formulas.</t>
  </si>
  <si>
    <t>Windows eQuest</t>
  </si>
  <si>
    <t>For eQuest users only, this calculates the Shading Coefficient for entry into eQuest and modifies the NFRC U-factor to exclude the air-film.</t>
  </si>
  <si>
    <t>DHW Demand</t>
  </si>
  <si>
    <t>Enter in occupancy usage characteristic (low/medium/high) and information about the appliances that consume water in the building. You must enter data in the Basic Info and Water Savings tab, prior to this tab.</t>
  </si>
  <si>
    <t>Enter data in blue cells. Values are calculated in W/SF or kWh/yr for entry into software.</t>
  </si>
  <si>
    <t>Lighting Schedule</t>
  </si>
  <si>
    <t>Developed for eQuest users, but can be used with other software to translate total operating hours/day into an hourly schedule that meets the requirements from the Simulation Guidelines.</t>
  </si>
  <si>
    <t>Interior Lighting</t>
  </si>
  <si>
    <t xml:space="preserve">Using floor plans, a lighting schedule, and lighting cut sheets, fill in the details of this worksheet. This will sum the square footages by ASHRAE space type for reporting purposes on the Basic Info tab, and calculate the lighting power density to be modeled per room. It also provides the maximum wattage allowed by ASHRAE 90.1 for that room, which can be more useful to the design team than the lighting power density. To help project compliance with program Prerequisites, zones are highlighted in red that exceed ASHRAE LPD’s by more than 20%, which reduce the energy savings of the building, as well as zones that have insufficient illumination. </t>
  </si>
  <si>
    <t>Enter details in blue cells only on exterior areas to be illuminated. The total wattage will be provided for input into the simulation software.</t>
  </si>
  <si>
    <t>Infiltration&amp;Ventilation</t>
  </si>
  <si>
    <t>EIR for PTAC or PTHP</t>
  </si>
  <si>
    <t>Although developed initially for eQuest users, the approach can be used for other simulation software if the energy efficiency of these systems are entered in terms of EIR, rather than EER.</t>
  </si>
  <si>
    <t>Water Savings</t>
  </si>
  <si>
    <t>By entering data in blue cells only, this worksheet will calculate the water savings in gallons based on the proposed flow rates entered. This information does not affect the Performance Rating but can be used when calculating SIR to justify measures that reduce consumption of water.</t>
  </si>
  <si>
    <t>eQUEST Calculator - Windows</t>
  </si>
  <si>
    <t xml:space="preserve">Instructions: </t>
  </si>
  <si>
    <t>Enter actual NFRC values in the Proposed column.</t>
  </si>
  <si>
    <t>Use calculated values as inputs into eQuest Glass Type Properties - Basic Specifications screen.</t>
  </si>
  <si>
    <t>Non-Residential</t>
  </si>
  <si>
    <t>NFRC SHGC</t>
  </si>
  <si>
    <t>NFRC U-value</t>
  </si>
  <si>
    <t>eQuest SC</t>
  </si>
  <si>
    <t>eQuest Glass Conductance</t>
  </si>
  <si>
    <t>Residential (In-unit)</t>
  </si>
  <si>
    <t>Climate Zone 4</t>
  </si>
  <si>
    <t>Climate Zone 5</t>
  </si>
  <si>
    <t>Climate Zone 6</t>
  </si>
  <si>
    <t>U-value</t>
  </si>
  <si>
    <t>Nonresidential (Common Areas)</t>
  </si>
  <si>
    <t>eQUEST Calculator - Appliances</t>
  </si>
  <si>
    <t>Data to be entered in eQuest as Equipment or Internal Energy Sources.</t>
  </si>
  <si>
    <t>Equipment # (optional)</t>
  </si>
  <si>
    <t>Sensible</t>
  </si>
  <si>
    <t>Latent</t>
  </si>
  <si>
    <t>Schedule</t>
  </si>
  <si>
    <t>Refrigerator, kWh/yr-unit</t>
  </si>
  <si>
    <t>Heat Ratio</t>
  </si>
  <si>
    <t>In-Unit</t>
  </si>
  <si>
    <t>Refrigerator, kWh/yr-blg</t>
  </si>
  <si>
    <t>Common</t>
  </si>
  <si>
    <t>Refrigerator, W/SqFt</t>
  </si>
  <si>
    <t>Apt Equipment [#]</t>
  </si>
  <si>
    <t>T24 DAY EQP WD</t>
  </si>
  <si>
    <t>1 Stove</t>
  </si>
  <si>
    <t>Electric Stove, kWh/yr-unit</t>
  </si>
  <si>
    <t>Stove Type</t>
  </si>
  <si>
    <t>Electric Stove, kWh/yr-blg</t>
  </si>
  <si>
    <t>Stove, W/SqFt</t>
  </si>
  <si>
    <t>Dishwasher, kWh/yr-unit</t>
  </si>
  <si>
    <t># of dishwashers</t>
  </si>
  <si>
    <t>Dishwasher, kWh/yr-bldg</t>
  </si>
  <si>
    <t>Dishwasher, W/SqFt</t>
  </si>
  <si>
    <t>In-Unit Clothes Washer, kWh/yr</t>
  </si>
  <si>
    <t>In-Unit Clothes Washer, kWh/yr-bldg</t>
  </si>
  <si>
    <t>In-Unit Washer, W/SqFt</t>
  </si>
  <si>
    <t># of washers</t>
  </si>
  <si>
    <t>In-Unit Dryer, kWh/yr-bldg</t>
  </si>
  <si>
    <t>Average # bedrooms in living units</t>
  </si>
  <si>
    <t>1 Dryer</t>
  </si>
  <si>
    <t>In-Unit Dryer, W/SqFt</t>
  </si>
  <si>
    <t># of dryers</t>
  </si>
  <si>
    <t>In-Unit Dryer, BTU/h (per dryer)</t>
  </si>
  <si>
    <t>DRYER</t>
  </si>
  <si>
    <t>Common Washer, kWh/yr-machine</t>
  </si>
  <si>
    <t>sum of area of all apartments with in-unit laundry (default = total apartment sqft)</t>
  </si>
  <si>
    <t>Common Washer, kWh/yr-bldg</t>
  </si>
  <si>
    <t>sum of area of all common laundry rooms</t>
  </si>
  <si>
    <t>Common Washer, W/SqFt</t>
  </si>
  <si>
    <t>T24 EQP WD</t>
  </si>
  <si>
    <t>Common Dryer, kWh/yr-bldg</t>
  </si>
  <si>
    <t>Common Dryer, W/SqFt</t>
  </si>
  <si>
    <t>Common Dryer, BTU/h (per dryer)</t>
  </si>
  <si>
    <t>Number of Stories</t>
  </si>
  <si>
    <t>In-unit, misc. kWh/yr-SqFt (SG 3-13)</t>
  </si>
  <si>
    <t>Area of Elevator</t>
  </si>
  <si>
    <t xml:space="preserve">In-unit misc W/SqFt </t>
  </si>
  <si>
    <t>Apt Equipment 1</t>
  </si>
  <si>
    <t>Baseline Elevator Type</t>
  </si>
  <si>
    <t>Corridor, restrooms &amp; Stairs W/SqFt</t>
  </si>
  <si>
    <t>Corr &amp; Stairs Equipment 1</t>
  </si>
  <si>
    <t>Proposed Elevator Type</t>
  </si>
  <si>
    <t>Elevator W/SqFt</t>
  </si>
  <si>
    <t>Elevator Equipment 1</t>
  </si>
  <si>
    <t>Baseline kWh/yr for elevator</t>
  </si>
  <si>
    <t>Office W/SqFt</t>
  </si>
  <si>
    <t>Office Equipment 1</t>
  </si>
  <si>
    <t>Proposed kWh/yr (same as Baseline if not requesting performance credit)</t>
  </si>
  <si>
    <t>Other Public and Common Area W/SqFt</t>
  </si>
  <si>
    <t>Common Area Equipment 1</t>
  </si>
  <si>
    <t>Hour</t>
  </si>
  <si>
    <t>Common area plug load schedule
(Same as T24 EQP WD)</t>
  </si>
  <si>
    <t>Apartment Plug load schedule (Same as T24 DAY EQP WD)</t>
  </si>
  <si>
    <t>eQUEST Calculator - Lighting</t>
  </si>
  <si>
    <t>Use this worksheet to generate schedules for lighting inputs.</t>
  </si>
  <si>
    <t>Do not edit cells highlighted in this color. These calculated values are for editing or creating schedules.</t>
  </si>
  <si>
    <t>Elevator lighting should only be assigned to ONE elevator zone.</t>
  </si>
  <si>
    <t>Exit Signs can be added as Lighting #2 (kW) in the appropriate zones.</t>
  </si>
  <si>
    <t>Credit for occupancy sensors can be applied to corridors and stairs by reducing proposed W/SF by 25% and 35% respectively.</t>
  </si>
  <si>
    <t>Daily operating hours</t>
  </si>
  <si>
    <t>hr/day</t>
  </si>
  <si>
    <t>Apartments</t>
  </si>
  <si>
    <t>Garage, Corridors, Lobbies &amp; Stairs</t>
  </si>
  <si>
    <t xml:space="preserve">Exterior Lighting </t>
  </si>
  <si>
    <t>APT LTG WD</t>
  </si>
  <si>
    <t>Adjusted Fraction</t>
  </si>
  <si>
    <t>Hr</t>
  </si>
  <si>
    <t>Fraction</t>
  </si>
  <si>
    <t>Apartment Adjustment</t>
  </si>
  <si>
    <t>eQUEST Calculator - Interior Lighting</t>
  </si>
  <si>
    <t>Fixture Code</t>
  </si>
  <si>
    <t>Watts/Fixture</t>
  </si>
  <si>
    <t>Manufacturer/Model*</t>
  </si>
  <si>
    <t>General Location</t>
  </si>
  <si>
    <t>ENERGY STAR? (Y/N)</t>
  </si>
  <si>
    <t>MUST BE ALPHABETICAL</t>
  </si>
  <si>
    <t>A</t>
  </si>
  <si>
    <t>B</t>
  </si>
  <si>
    <t>C</t>
  </si>
  <si>
    <t>D</t>
  </si>
  <si>
    <t>E</t>
  </si>
  <si>
    <t>F</t>
  </si>
  <si>
    <t>G</t>
  </si>
  <si>
    <t>8. If you need more rows for your building, add them at the bottom by copying rows above (or filling down).</t>
  </si>
  <si>
    <t>H</t>
  </si>
  <si>
    <t>9. When finished, be sure to delete any "#N/A" from blank rows.</t>
  </si>
  <si>
    <t>I</t>
  </si>
  <si>
    <t>J</t>
  </si>
  <si>
    <t>K</t>
  </si>
  <si>
    <t>L</t>
  </si>
  <si>
    <t>M</t>
  </si>
  <si>
    <t>N</t>
  </si>
  <si>
    <t>O</t>
  </si>
  <si>
    <t>P</t>
  </si>
  <si>
    <t>Q</t>
  </si>
  <si>
    <t>R</t>
  </si>
  <si>
    <t>S</t>
  </si>
  <si>
    <t>T</t>
  </si>
  <si>
    <t>U</t>
  </si>
  <si>
    <t>V</t>
  </si>
  <si>
    <t>Square Footage</t>
  </si>
  <si>
    <t>Room Name</t>
  </si>
  <si>
    <t>ASHRAE Space Type</t>
  </si>
  <si>
    <t>Installed quantity</t>
  </si>
  <si>
    <t>Fixture Code (A,B,C etc)</t>
  </si>
  <si>
    <t>Fixture Installed Wattage</t>
  </si>
  <si>
    <t>Floor Multiplier</t>
  </si>
  <si>
    <t>Total Installed Wattage</t>
  </si>
  <si>
    <t>PROPOSED W/SF</t>
  </si>
  <si>
    <t>BASELINE W/SF</t>
  </si>
  <si>
    <t>BASELINE WATTS</t>
  </si>
  <si>
    <t>CALCULATED FOOTCANDLES</t>
  </si>
  <si>
    <t>IESNA FOOTCANDLES</t>
  </si>
  <si>
    <t>eQUEST Calculator - Exterior Lighting</t>
  </si>
  <si>
    <t xml:space="preserve">Enter data in the cells highlighted with this color. </t>
  </si>
  <si>
    <t xml:space="preserve">Use values from the cells highlighted in this color in the energy simulations. </t>
  </si>
  <si>
    <t>For proposed design simulation enter exterior lighting specified on drawings.</t>
  </si>
  <si>
    <t>Area Type</t>
  </si>
  <si>
    <t>Area</t>
  </si>
  <si>
    <t>Baseline Lighting Allowance</t>
  </si>
  <si>
    <t>Proposed Lighting</t>
  </si>
  <si>
    <t>Proposed Fixture Description</t>
  </si>
  <si>
    <t>Uncovered parking lots and drives</t>
  </si>
  <si>
    <t>Building Facades  (1)</t>
  </si>
  <si>
    <t>Linear feet</t>
  </si>
  <si>
    <t>Ft</t>
  </si>
  <si>
    <t>Walkways less than 10 ft wide</t>
  </si>
  <si>
    <t>Building Facades  (3)</t>
  </si>
  <si>
    <t>Total Exterior Building Allowance to be entered in Energy Models (4)</t>
  </si>
  <si>
    <t>Tradable</t>
  </si>
  <si>
    <t>Watts</t>
  </si>
  <si>
    <t>Non-Tradable</t>
  </si>
  <si>
    <t xml:space="preserve">(1) Enter area of all illuminated walls or surfaces in the Area column </t>
  </si>
  <si>
    <t>(2) Enter total linear foot of door width for main entrance doors</t>
  </si>
  <si>
    <t>(3) Enter total linear foot of all illuminated wall or surface length</t>
  </si>
  <si>
    <t>(4) Total values include additional 5% allowance per Section 9.4.5</t>
  </si>
  <si>
    <t>eQUEST Calculator - DHW Demand</t>
  </si>
  <si>
    <t>Low</t>
  </si>
  <si>
    <t>Fill in all blue cells</t>
  </si>
  <si>
    <t>Medium</t>
  </si>
  <si>
    <t>High</t>
  </si>
  <si>
    <t>Occupancy</t>
  </si>
  <si>
    <t>Low/medium/high usage (see Simulation Guidelines, 3.9.2)</t>
  </si>
  <si>
    <t>Hot Water Usage</t>
  </si>
  <si>
    <t>gallons per person per day</t>
  </si>
  <si>
    <t>Proposed Showerhead</t>
  </si>
  <si>
    <t>Proposed Kitchen Faucet</t>
  </si>
  <si>
    <t>Total Gal/day (occupant only)</t>
  </si>
  <si>
    <t>Proposed Bath Faucet</t>
  </si>
  <si>
    <r>
      <t>Total Gal/day</t>
    </r>
    <r>
      <rPr>
        <sz val="9"/>
        <color indexed="10"/>
        <rFont val="Calibri"/>
        <family val="2"/>
        <scheme val="minor"/>
      </rPr>
      <t xml:space="preserve"> (w/both DW &amp; CW)</t>
    </r>
  </si>
  <si>
    <t>Baseline DW</t>
  </si>
  <si>
    <t xml:space="preserve">GAL/YR PER APT   = </t>
  </si>
  <si>
    <t>gallons/day-apt (1 dishwasher)</t>
  </si>
  <si>
    <t>GPM w/ schedule shown below</t>
  </si>
  <si>
    <t>Proposed DW</t>
  </si>
  <si>
    <t>Baseline CW</t>
  </si>
  <si>
    <t>hot water gallons/yr  =</t>
  </si>
  <si>
    <t>Total hot water gallons/day (all clothes washers)</t>
  </si>
  <si>
    <t>Proposed CW</t>
  </si>
  <si>
    <t>Schedule used in eQUEST model</t>
  </si>
  <si>
    <t>DOE APT DHW</t>
  </si>
  <si>
    <t>Dishwashers</t>
  </si>
  <si>
    <t>Y</t>
  </si>
  <si>
    <t>Do apartments have dishwashers?  (Y/N)</t>
  </si>
  <si>
    <t>Are they Energy Star rated? (Y/N)</t>
  </si>
  <si>
    <t>Low-flow faucets</t>
  </si>
  <si>
    <t># of bedrooms</t>
  </si>
  <si>
    <t># kitchen faucets</t>
  </si>
  <si>
    <t># kitchens</t>
  </si>
  <si>
    <t># lav faucets</t>
  </si>
  <si>
    <t># lavatories (that require exhaust)</t>
  </si>
  <si>
    <t>Clothes Washers</t>
  </si>
  <si>
    <t># of clothes washers</t>
  </si>
  <si>
    <t>Are the clothes washers Energy Star rated? (Y/N/NA)</t>
  </si>
  <si>
    <t>washer and dryer</t>
  </si>
  <si>
    <t>DHW System</t>
  </si>
  <si>
    <t>DHW Storage Volume (gallons)</t>
  </si>
  <si>
    <t>DHW Storage Tank radius (ft)</t>
  </si>
  <si>
    <t>R-value</t>
  </si>
  <si>
    <t>Surface Area</t>
  </si>
  <si>
    <t>UA for eQuest</t>
  </si>
  <si>
    <t>Proposed Efficiency, %</t>
  </si>
  <si>
    <t>Proposed HIR/EIR for eQuest</t>
  </si>
  <si>
    <t>Baseline HIR/EIR for eQuest (for in-unit storage water heaters)</t>
  </si>
  <si>
    <t>eQUEST Calculator - In-Unit Lighting</t>
  </si>
  <si>
    <t>Rooms with more than one fixture type should be entered using multiple rows; square footage should be distributed between entries.</t>
  </si>
  <si>
    <t>Likewise, for some rooms, the areas for which lighting is specified may be LESS than the total area of the room. If the specified fixtures are intended to light only a portion of the room, enter the square feet of the lighted area only, per your own estimation, but not to exceed 3 square feet per Watt. (Ex. A 13 Watt wall sconce in a bedroom can light at most 39 square feet and should not be modeled as lighting the entire space.)</t>
  </si>
  <si>
    <t xml:space="preserve">Enter data in the cells highlighted in this color. </t>
  </si>
  <si>
    <t>Do not edit cells highlighted in this color.</t>
  </si>
  <si>
    <t>Do not edit cells highlighted in this color. These calculated values are to be entered into software as W/SF for Apartment zones.</t>
  </si>
  <si>
    <t>In-Unit Lighting Table</t>
  </si>
  <si>
    <t>Room Area, SqFt</t>
  </si>
  <si>
    <t>Fixture Code (from Interior Lighting tab)</t>
  </si>
  <si>
    <t>Fixture Wattage</t>
  </si>
  <si>
    <t>Number of such rooms in the building</t>
  </si>
  <si>
    <t>Total Area, SqFt</t>
  </si>
  <si>
    <t>Total Installed Wattage, W</t>
  </si>
  <si>
    <t>Illumination (footcandles or
lumens/SqFt)</t>
  </si>
  <si>
    <t>Total in-unit area with specified lighting, SqFt</t>
  </si>
  <si>
    <t>Total specified lighting, W</t>
  </si>
  <si>
    <t>Specified lighting power density, W/SqFt</t>
  </si>
  <si>
    <t>Proposed lighting power density, W/SqFt</t>
  </si>
  <si>
    <t>Baseline lighting power density, W/SqFt</t>
  </si>
  <si>
    <t>Room Types</t>
  </si>
  <si>
    <t>Bathroom</t>
  </si>
  <si>
    <t>Bedroom</t>
  </si>
  <si>
    <t>Closet</t>
  </si>
  <si>
    <t>Dining Room</t>
  </si>
  <si>
    <t>Family Room</t>
  </si>
  <si>
    <t>Hall</t>
  </si>
  <si>
    <t>Kitchen</t>
  </si>
  <si>
    <t>Living Room</t>
  </si>
  <si>
    <t>Utility Room</t>
  </si>
  <si>
    <t>Data to be entered into simulation software.</t>
  </si>
  <si>
    <t>Laundry Room</t>
  </si>
  <si>
    <t>Intermittent or Continuous?</t>
  </si>
  <si>
    <t>Studios</t>
  </si>
  <si>
    <t>1BR</t>
  </si>
  <si>
    <t>2BR</t>
  </si>
  <si>
    <t>3BR</t>
  </si>
  <si>
    <t>4BR</t>
  </si>
  <si>
    <t>Average Area (SqFt):</t>
  </si>
  <si>
    <t>eQUEST Calculator - EIR for PTAC and PTHP</t>
  </si>
  <si>
    <t>For gas heated buildings using System 1 - PTAC, use the top chart to calculate cooling-EIR</t>
  </si>
  <si>
    <t>For electric heated buildings using System 2 - PTHP, use the bottom chart to calculate cooling-EIR</t>
  </si>
  <si>
    <t>Baseline PTAC fan energy should be simulated as 0.3 W/CFM</t>
  </si>
  <si>
    <t>Data to be entered in simulation software.</t>
  </si>
  <si>
    <t>Data to be entered in this spreadsheet and in simulation software.</t>
  </si>
  <si>
    <t>Common Space Systems</t>
  </si>
  <si>
    <t>Apartment Systems</t>
  </si>
  <si>
    <t>Common Space System1</t>
  </si>
  <si>
    <t>Common Space System2</t>
  </si>
  <si>
    <t>Common Space System3</t>
  </si>
  <si>
    <t>Common Space System4</t>
  </si>
  <si>
    <t>Common Space System5</t>
  </si>
  <si>
    <t>Common Space System6</t>
  </si>
  <si>
    <t>System Type</t>
  </si>
  <si>
    <t>PTAC</t>
  </si>
  <si>
    <t>Net Cooling Capacity (ARI Cond), Btu/Hr</t>
  </si>
  <si>
    <t>Fan BHP, actual</t>
  </si>
  <si>
    <t>Fan Motor Efficiency, actual</t>
  </si>
  <si>
    <t>CFM, actual</t>
  </si>
  <si>
    <t>Fan kW/CFM</t>
  </si>
  <si>
    <t>EIR or 1/COP</t>
  </si>
  <si>
    <t>PTHP</t>
  </si>
  <si>
    <t>EIR or 1/COP (Cooling)</t>
  </si>
  <si>
    <t>Net Heating Capacity, Btu/Hr</t>
  </si>
  <si>
    <t>COP (HEATING)</t>
  </si>
  <si>
    <t>EIR or 1/COP (HEATING)</t>
  </si>
  <si>
    <t>Water Savings Calculator</t>
  </si>
  <si>
    <t>In the "Baseline Fixture" table, enter an estimated number of uses/day for urinals in the appropriate space.  Enter "0" if there are no urinals in building.</t>
  </si>
  <si>
    <t>When on-site collected graywater or rainwater is used for sewage conveyance, the total estimated annual graywater quantity may be subtracted from the total annual design case water usage. Estimated graywater quantity may not be greater than the total usage of fixtures that utilize it. For example, if graywater will be used only in flush toilets, the estimated graywater quantity cannot be greater than the total annual water used by the toilets.  Estimate graywater usage for each fixture type and enter the value in the appropriate cell.</t>
  </si>
  <si>
    <t xml:space="preserve">The remaining values will generate automatically.  Water usage savings and cost savings may be reported as indicated in the Water Savings section of the Simulation Guidelines. </t>
  </si>
  <si>
    <t>Average Price per Gallon of Water</t>
  </si>
  <si>
    <t>No. of Occupants</t>
  </si>
  <si>
    <t>Dishwasher Savings (Gal/yr)</t>
  </si>
  <si>
    <t>Clothes Washers Savings (Gal/yr)</t>
  </si>
  <si>
    <t>Baseline Fixture</t>
  </si>
  <si>
    <t>Baseline Flow Rates (GPF/GPM)</t>
  </si>
  <si>
    <t>Baseline Usage (Gallons/year)</t>
  </si>
  <si>
    <t>Proposed Fixture</t>
  </si>
  <si>
    <t>Proposed Fixture Flow Rate (GPM/GPF)</t>
  </si>
  <si>
    <t>Graywater Usage (Gallons/year)</t>
  </si>
  <si>
    <t>Proposed Usage (Gallons/year)</t>
  </si>
  <si>
    <t>Savings by Fixture Type</t>
  </si>
  <si>
    <t>Water Usage Savings (Gallons/year)</t>
  </si>
  <si>
    <t>Cost Savings ($/year)</t>
  </si>
  <si>
    <t>First, fill out Basic Info and DHW tabs.</t>
  </si>
  <si>
    <t>The following worksheets assist in calculating inputs to eQUEST and similar simulation tools.</t>
  </si>
  <si>
    <r>
      <t xml:space="preserve">Include all in-unit hard-wired lighting in this table. Rated wattage must include ballast (follow 90.1 User's manual or Appendix B of </t>
    </r>
    <r>
      <rPr>
        <i/>
        <sz val="9"/>
        <rFont val="Calibri"/>
        <family val="2"/>
        <scheme val="minor"/>
      </rPr>
      <t>Performance Path Requirements</t>
    </r>
    <r>
      <rPr>
        <sz val="9"/>
        <rFont val="Calibri"/>
        <family val="2"/>
        <scheme val="minor"/>
      </rPr>
      <t>).</t>
    </r>
  </si>
  <si>
    <t>Only the rooms for which there are specified hard-wired lighting fixtures should be entered in this table. Therefore, the total square feet that you list in this table might be smaller than the total square feet of the apartments. If there are multiple fixtures per room, distribute area accordingly.</t>
  </si>
  <si>
    <t>DHW Circulating Pumps - Control</t>
  </si>
  <si>
    <t>Total Project Occupiable Space</t>
  </si>
  <si>
    <t>Tertiary Cooling System Type</t>
  </si>
  <si>
    <t>Tertiary Cooling System Quantity</t>
  </si>
  <si>
    <t>Tertiary Cooling System Capacity (tons)</t>
  </si>
  <si>
    <t>Space Cooling - Type and Efficiency (Tertiary)</t>
  </si>
  <si>
    <t>If you need more rows, insert below this row &gt;&gt;&gt;</t>
  </si>
  <si>
    <t>Automatic Lighting Controls?</t>
  </si>
  <si>
    <t>PROPOSED W/SF with Sensors</t>
  </si>
  <si>
    <t>11. Zones can exceed LPDs by more than 20%, but the TOTAL proposed wattage cannot exceed the TOTAL wattage in the baseline by more than 20%.</t>
  </si>
  <si>
    <t>Unlit Chases/Shafts</t>
  </si>
  <si>
    <t>Lounge/Recreation</t>
  </si>
  <si>
    <t>Exercise Area</t>
  </si>
  <si>
    <t>Select calculation method:</t>
  </si>
  <si>
    <t>LightCalcMethod</t>
  </si>
  <si>
    <t>Inline or Range Hood</t>
  </si>
  <si>
    <t>Rooftop/Other</t>
  </si>
  <si>
    <t>FanRate</t>
  </si>
  <si>
    <t>Ceiling ( 10-80 CFM)</t>
  </si>
  <si>
    <t>Annual Fans</t>
  </si>
  <si>
    <t>Annual Pumps</t>
  </si>
  <si>
    <t xml:space="preserve">GPM Low Flow Fixtures </t>
  </si>
  <si>
    <t>GPM for CW</t>
  </si>
  <si>
    <t>GPM for DW</t>
  </si>
  <si>
    <t>REDUCTIONS</t>
  </si>
  <si>
    <t>MMBtu/hr</t>
  </si>
  <si>
    <t>3. Data to be entered into eQuest.</t>
  </si>
  <si>
    <t>n/a</t>
  </si>
  <si>
    <t>For proposed indirect DHW systems, refer to the Indirect DHW calculations box for further instructions.</t>
  </si>
  <si>
    <t>For all other proposed DHW systems, enter data from orange cells into eQuest.</t>
  </si>
  <si>
    <t>Process load for low-flow fixture parametric run</t>
  </si>
  <si>
    <t>Process load for indirect DHW parametric run</t>
  </si>
  <si>
    <t>GPM for Low Flow Fixtures parametric run</t>
  </si>
  <si>
    <t>1. Complete steps listed above.</t>
  </si>
  <si>
    <t>2. These calculations are only valid if modeled in the following order: the appliance parametric runs must be modeled first, then the indirect DHW parametric run, and then finally the low-flow fixture parametric run.</t>
  </si>
  <si>
    <t>Indirect DHW Calculations</t>
  </si>
  <si>
    <t>HVAC - Fan/air handlers</t>
  </si>
  <si>
    <t>Envelope - Floor Insulation</t>
  </si>
  <si>
    <t>HVAC - Distribution System</t>
  </si>
  <si>
    <t>HVAC - Controls</t>
  </si>
  <si>
    <t>Lighting - Exterior Fixtures</t>
  </si>
  <si>
    <t>Other - EC Motors</t>
  </si>
  <si>
    <t>Other - Exhaust fans (ENERGY STAR)</t>
  </si>
  <si>
    <t>In eQuest, exterior lighting should be entered in the "Utility &amp; Economics" section, under Electric Meter as a Direct Exterior Load, with Exterior Usage enduse and a 12 hr/day schedule.</t>
  </si>
  <si>
    <t>&lt;Select one&gt;</t>
  </si>
  <si>
    <t>Measure cost</t>
  </si>
  <si>
    <t>Measure savings</t>
  </si>
  <si>
    <t>Split type</t>
  </si>
  <si>
    <t>Partner Notes - Use this section to include any notes about the information entered above.</t>
  </si>
  <si>
    <t xml:space="preserve">Revision Notes - Provide a narrative describing any additional changes made to the energy models between this and the last revision not addressed by the responses to the review comments. </t>
  </si>
  <si>
    <t>Space 2007</t>
  </si>
  <si>
    <t>Space 2010</t>
  </si>
  <si>
    <t>Building 2007</t>
  </si>
  <si>
    <t>Building 2010</t>
  </si>
  <si>
    <t>Base Min FC</t>
  </si>
  <si>
    <t>RCR</t>
  </si>
  <si>
    <t xml:space="preserve">Light Source &amp; Distribution </t>
  </si>
  <si>
    <t>CU at RCR=A</t>
  </si>
  <si>
    <t>CU at RCR=B</t>
  </si>
  <si>
    <t>CU at RCR=C</t>
  </si>
  <si>
    <t>LLF</t>
  </si>
  <si>
    <t>LE</t>
  </si>
  <si>
    <t>IESNA fixture code</t>
  </si>
  <si>
    <t>Community or Computer Room</t>
  </si>
  <si>
    <t>CF: Downlight Open</t>
  </si>
  <si>
    <t>CF: Indirect Pendant</t>
  </si>
  <si>
    <t>CF: Indirect Wall Sconce</t>
  </si>
  <si>
    <t>FL: Direct/Indirect-Non-VDT</t>
  </si>
  <si>
    <t>FL: Fluorescent Industrial</t>
  </si>
  <si>
    <t>FL: Linear Direct lensed</t>
  </si>
  <si>
    <t>FL: Linear Indirect w/louver</t>
  </si>
  <si>
    <t>FL: Linear Wall Cove</t>
  </si>
  <si>
    <t>534-2</t>
  </si>
  <si>
    <t>FL: Linear WW Open 1 wall</t>
  </si>
  <si>
    <t>537-1</t>
  </si>
  <si>
    <t>FL: Linear WW open - 2 walls</t>
  </si>
  <si>
    <t>537-2</t>
  </si>
  <si>
    <t>FL:Task</t>
  </si>
  <si>
    <t>INC: Indirect Pendant</t>
  </si>
  <si>
    <t>LED:</t>
  </si>
  <si>
    <t>MH: Indirect Pendant</t>
  </si>
  <si>
    <t>MH: Low Bay Lensed</t>
  </si>
  <si>
    <t>559-1</t>
  </si>
  <si>
    <t>PAR: Downlight open - flood</t>
  </si>
  <si>
    <t>Apt Qty</t>
  </si>
  <si>
    <t>RCR 
A=1, B=4, C=7</t>
  </si>
  <si>
    <t xml:space="preserve">TEFavg Calculated (IESNA) </t>
  </si>
  <si>
    <t>1. Fill in cells highlighted with this color, including the Watts/fixture and Light Source in Column K&amp;L.</t>
  </si>
  <si>
    <t>2. When available, provide manufacturer, model, location, and whether ENERGY STAR qualified.</t>
  </si>
  <si>
    <t>3. List NON-APARTMENT rooms in the building that have specified lighting by FLOOR. For typical floors, indicate the floor multiplier in Column J.</t>
  </si>
  <si>
    <t>4. List square footages for all NON-APARTMENT spaces in Column B (do not assign square footages to rows for Exit Signs).</t>
  </si>
  <si>
    <t>5. Indicate how many fixtures of each type are in each room in Column F.</t>
  </si>
  <si>
    <t>6. Use drop down menu to indicate the ASHRAE space type for calculating baseline LPD's.</t>
  </si>
  <si>
    <t>7. Rooms with more than one fixture type should be entered using multiple rows; square footage should be distributed between entries.</t>
  </si>
  <si>
    <t xml:space="preserve">If Proposed façade lighting is less than Baseline allowance, model baseline the same as proposed. </t>
  </si>
  <si>
    <t>TEF</t>
  </si>
  <si>
    <t>Room Lighting Power Density, W/SF</t>
  </si>
  <si>
    <t>Cells highlighted in yellow indicate spaces where estimated lumen output of fixture does not provide minimum illumination (10 lumens/SqFt) per IESNA.</t>
  </si>
  <si>
    <t>PSI</t>
  </si>
  <si>
    <t>Showerhead gpm</t>
  </si>
  <si>
    <r>
      <t>Faucet gpm</t>
    </r>
    <r>
      <rPr>
        <sz val="9"/>
        <color indexed="10"/>
        <rFont val="Calibri"/>
        <family val="2"/>
        <scheme val="minor"/>
      </rPr>
      <t xml:space="preserve"> (weighted AVG)</t>
    </r>
  </si>
  <si>
    <t>HW gallons/day/occupant</t>
  </si>
  <si>
    <t>Apartment balcony lighting should be evaluated as Tradable Surfaces "Other Doors", and modeled using the 2.34 hr/day schedule. In eQUEST, assign to "Exterior" end use.</t>
  </si>
  <si>
    <t>Apartment Balcony Doors (2)</t>
  </si>
  <si>
    <t>Project County</t>
  </si>
  <si>
    <t>Project Zip Code:</t>
  </si>
  <si>
    <t>Project City, State, County:</t>
  </si>
  <si>
    <t xml:space="preserve">Added two ASHRAE space types (Lounge/Recreation and Exercise Area). </t>
  </si>
  <si>
    <t xml:space="preserve">Deleted the “Mechanically Ventilated?” column for each space type.  </t>
  </si>
  <si>
    <t>Removed “Non-Residential Spaces” from “Total Project Square Footage”.</t>
  </si>
  <si>
    <t>Added "Revision Notes" section to the bottom of the sheet.  This section is to be used with every revision, including As-Built Rev0, to help the reviewers understand what changes have occured in the model (and/or design) since the last review.</t>
  </si>
  <si>
    <t xml:space="preserve">Comment added that appears only if common area lighting exceed prerequisite (20% over ASHRAE).  </t>
  </si>
  <si>
    <t>Separated out the Annual Other end use to Annual Fans and Annual Pumps.</t>
  </si>
  <si>
    <t>Comment added that GPM flowrates entered must be the GPM rated at 80 psi.</t>
  </si>
  <si>
    <t xml:space="preserve">Updated to allow Prescriptive Path users to compare to 90.1-2010. </t>
  </si>
  <si>
    <t>Added to note in lumen/fixture column that screw-in LEDs should use 70 lumen/Watt.</t>
  </si>
  <si>
    <t xml:space="preserve">Provided functionality to reduce W/sf for spaces if using automatic controls. </t>
  </si>
  <si>
    <t xml:space="preserve">Note provided to caution users to only insert rows at the end of tables. </t>
  </si>
  <si>
    <t xml:space="preserve">Food prep and family dining areas removed from ASHRAE space type drop-down. If these areas exist in common spaces, use "Multipurpose". </t>
  </si>
  <si>
    <t>Drop-down added to indicate Space-by-Space or Building Area method for both 2007 and 2010.</t>
  </si>
  <si>
    <t xml:space="preserve">Changed the “24/7?” column to “Notes”, as any fixture type may be used in both 24/7 and non-24/7 spaces.  </t>
  </si>
  <si>
    <t>Added note in instructions section clarifying requirement that total proposed wattage cannot exceed the total baseline wattage by more than 20%, as well as the similar comment for Prescriptive projects.</t>
  </si>
  <si>
    <t xml:space="preserve">Range hood included as an option in the drop-down menu for Exhaust Fan type; Rooftop expanded to include "other".  </t>
  </si>
  <si>
    <t>Updated exhaust fan calculations so that they are functional now.</t>
  </si>
  <si>
    <t>EIR for PTAC and PTHP</t>
  </si>
  <si>
    <t>Added Efficiency Conversion Calculator (SEER to EER; HSPF to COP)</t>
  </si>
  <si>
    <t>General Updates</t>
  </si>
  <si>
    <t>Infiltration/Ventilation</t>
  </si>
  <si>
    <t xml:space="preserve">Added ASHRAE 90.1-2010 Zones 2-3 into the table. Added warning for proposed building façade lighting exceeding baseline. Added Base site allowance dropdown to add into tradable or non-tradable equations. </t>
  </si>
  <si>
    <t>Revised instruction #4 &amp; #6 to assign exterior lighting to the "exterior" end-use category. Separated apartment balcony lighting to facilitate reporting.</t>
  </si>
  <si>
    <t>Added two ASHRAE space types (Lounge/Recreation and Exercise Area)</t>
  </si>
  <si>
    <t>Added ASHRAE space types.</t>
  </si>
  <si>
    <t xml:space="preserve">Updated footcandle calculations to be based on light source &amp; distribution. Incorporated room type into this equation.   </t>
  </si>
  <si>
    <t>Updated foot candle warning.</t>
  </si>
  <si>
    <t>Added instructional comment to remind users to add ballast power to "Watts/Fixture" entry in schedule</t>
  </si>
  <si>
    <t>In-unit lighting</t>
  </si>
  <si>
    <t xml:space="preserve">Added lookup for illumination. It is based on the Interior Lighting worksheet. </t>
  </si>
  <si>
    <t>Modified error check to check for appropriate calculations of lit area and to calculate average footcandles and room-by-room lighting power densities.</t>
  </si>
  <si>
    <t xml:space="preserve">Incorporated Low/Medium/High Usage into the proposed and baseline water usage. Incorporated PSI for fixture types in baseline and proposed fixtures. </t>
  </si>
  <si>
    <t xml:space="preserve">Incorporated PSI into avg faucet gpm. Based baseline &amp; proposed avg faucet gpm and showerhead gpm on PSI for fixture types.  </t>
  </si>
  <si>
    <t>Added "County" to Table 1 to facilitate confirmation of Climate Zone.</t>
  </si>
  <si>
    <t>ENERGY STAR Multifamily High Rise
Reporting Summary, Version 1.4</t>
  </si>
  <si>
    <t>Gross Floor Area (Select "Multifamily Housing" as Primary Function)</t>
  </si>
  <si>
    <t>Number of Stories (1-4 "Low-rise": 5-9 "Mid-rise": 10+ "High-rise")</t>
  </si>
  <si>
    <t>Number of Laundry Hookups in All Units</t>
  </si>
  <si>
    <t>Number of Laundry Hookups in Common Area (s)</t>
  </si>
  <si>
    <t>Number of Residential Living Units (must exceed 20 per "property")</t>
  </si>
  <si>
    <t>Estimated Total Annual Energy Use, kWh (thousand Watt-hours)</t>
  </si>
  <si>
    <t>Estimated Total Annual Energy Use, MBtu (million Btu)</t>
  </si>
  <si>
    <t>&lt;Please use this space to describe features/systems of the building as needed&gt;</t>
  </si>
  <si>
    <t>Common space lighting power density</t>
  </si>
  <si>
    <t>Exterior lighting power (Total)</t>
  </si>
  <si>
    <t>Exterior lighting power (Apt Balconies)</t>
  </si>
  <si>
    <t>Apartment Whole-House Ventilation System</t>
  </si>
  <si>
    <t>Type, CFM &amp; Watt</t>
  </si>
  <si>
    <t>Apartment Bathroom Local Exhaust Ventilation</t>
  </si>
  <si>
    <t>Intermittent/cont</t>
  </si>
  <si>
    <t>Apartment Kitchen Local Exhaust Ventilation</t>
  </si>
  <si>
    <t>Weighted Average of installed footcandles must exceed 10</t>
  </si>
  <si>
    <t>Added "Project county"</t>
  </si>
  <si>
    <t>Automated the heating fuel column.</t>
  </si>
  <si>
    <t>Other Ventilation Fans (CFM)</t>
  </si>
  <si>
    <t>Other Ventilation Fans (hp)</t>
  </si>
  <si>
    <t>Other Ventilation Fans (efficiency)</t>
  </si>
  <si>
    <t>Other Ventilation Fans Power (kW)</t>
  </si>
  <si>
    <t>Included in W/CFM baseline allowance per ASHRAE 90.1 Appx G3.1.2.10</t>
  </si>
  <si>
    <t>Table 4. ENERGY STAR Portfolio Manager Input</t>
  </si>
  <si>
    <t>Updated Table 4 to get inputs necessary for Portfolio Manager.</t>
  </si>
  <si>
    <t>Major overhaul of this tab that cannot be adequately captured by narrative.  Check it out.</t>
  </si>
  <si>
    <t>Added "General Notes" section to the bottom of most tabs.  These notes fields are intended to allow the Partners to make comments in addition to what it easily input into the templated tables.  Adding notes are NOT mandatory, but instead should only be used when the Partners feel it is needed.</t>
  </si>
  <si>
    <t>Release Date 11/2014</t>
  </si>
  <si>
    <t xml:space="preserve">Although developed initially for eQuest users, the approach can be used for other simulation software if needed. </t>
  </si>
  <si>
    <t>Supply and exhaust ventilation CFM and fan power must be modeled explicitly and cannot be combined with infiltration</t>
  </si>
  <si>
    <t>Red cells flag incorrect or missing inputs or design parameters</t>
  </si>
  <si>
    <t>Proposed / As-built</t>
  </si>
  <si>
    <t>Cs</t>
  </si>
  <si>
    <t>kg/m3</t>
  </si>
  <si>
    <t>Uh</t>
  </si>
  <si>
    <t>m/s</t>
  </si>
  <si>
    <t>n</t>
  </si>
  <si>
    <t>alfa bldg</t>
  </si>
  <si>
    <t>Infiltration Input Type</t>
  </si>
  <si>
    <t>I design</t>
  </si>
  <si>
    <t>CFM/SF envelope area</t>
  </si>
  <si>
    <t>Fan Type</t>
  </si>
  <si>
    <t>PROPOSED CFM TOTAL</t>
  </si>
  <si>
    <t>Trickle Vents?</t>
  </si>
  <si>
    <t>Corridors</t>
  </si>
  <si>
    <t>Continuous Exhaust Ventilation, CFM</t>
  </si>
  <si>
    <t>Continuous Ventilation Duct Leakage (Baseline add 10 CFM/floor per shaft)</t>
  </si>
  <si>
    <t>Continuous Exhaust Fan Power, kW (total for all fans serving the space type); Note 1</t>
  </si>
  <si>
    <t>Calculated</t>
  </si>
  <si>
    <t>Intermittent Exhaust Ventilation, CFM</t>
  </si>
  <si>
    <t>Intermittent Exhaust Fan Power, kW (total for all fans serving the space type); Note 1</t>
  </si>
  <si>
    <t>same in the baseline and proposed</t>
  </si>
  <si>
    <t xml:space="preserve">Infiltration Schedule </t>
  </si>
  <si>
    <t>Set all hourly fractions to 0.5</t>
  </si>
  <si>
    <t>Set all hourly fractions to 1</t>
  </si>
  <si>
    <t>Calculate Fan kW for the proposed design as BHP*0.746 / Motor Efficiency. If BHP is unknown, which may be the case for small packaged systems, it may be estimated as 85% of rated fan motor HP.</t>
  </si>
  <si>
    <t>Set Infiltration Method to "Air Change" in eQUEST</t>
  </si>
  <si>
    <t>Updated ventilation section to correspond with updated Simulation Guidelines.</t>
  </si>
  <si>
    <t>Corrected maximum bathroom and kitchen intermittent exhaust rates (CFM) in baseline description.  (Should be 50% above ASHRAE 62.2.)</t>
  </si>
  <si>
    <t>Automated the plug load value in Table 6.</t>
  </si>
  <si>
    <t>End Use contribution to performance rating (pts)</t>
  </si>
  <si>
    <t>End use contribution to cost savings (%)</t>
  </si>
  <si>
    <t>Added calculation determining the contribution of each end use to overall savings (% and points).</t>
  </si>
  <si>
    <t>Secondary Cooling System Efficiency (EER)</t>
  </si>
  <si>
    <t>Tertiary Cooling System Efficiency (EER)</t>
  </si>
  <si>
    <t>AFUE / HSPF, etc.</t>
  </si>
  <si>
    <t>EF / Et</t>
  </si>
  <si>
    <t>*REMEMBER: Please enter all apartment lighting in the "In-unit Lighting" tab, not here.</t>
  </si>
  <si>
    <t>Default Lumen/Watt</t>
  </si>
  <si>
    <t>*Enter manufacturer/model only once fixtures are specified.</t>
  </si>
  <si>
    <t>Release Date 1/2015</t>
  </si>
  <si>
    <t>Updated baseline guidance to match updated code (ASHRAE 90.1-2010, 62.1-2010 and 62.2-2010).</t>
  </si>
  <si>
    <t>Added "MPP Program Version" to assign correct incentives based on which phase of Version 6 the project is subject to.</t>
  </si>
  <si>
    <t>Updated baseline ventilation guidelines to require baseline ventilation rates meet ASHRAE 62.1 or 62.2, as the baseline is no longer allowed to be up to 50% higher than code.</t>
  </si>
  <si>
    <t>Infiltration &amp; Ventilation</t>
  </si>
  <si>
    <t>Local Exhaust (62.2-2010)</t>
  </si>
  <si>
    <t>Average Kitchen Area, SF:</t>
  </si>
  <si>
    <t>Kitchen Ceiling height, Ft:</t>
  </si>
  <si>
    <t>Continuous CFM equivalent to 5ACH (62.2-2010):</t>
  </si>
  <si>
    <t>ASHRAE 62.2 Requirements</t>
  </si>
  <si>
    <t>CONTINUOUS BASELINE EXHAUST VENTILATION:</t>
  </si>
  <si>
    <t>INTERMITTENT BASELINE EXHAUST VENTILATION:</t>
  </si>
  <si>
    <t>Proposed CFM per Room:</t>
  </si>
  <si>
    <t>Baseline CFM per Room:</t>
  </si>
  <si>
    <t>Number of Rooms</t>
  </si>
  <si>
    <t>BASELINE CFM TOTAL</t>
  </si>
  <si>
    <t>Baseline CFM (62.2-2010):</t>
  </si>
  <si>
    <t>Proposed OA Supply CFM:</t>
  </si>
  <si>
    <t>PROPOSED CFM TOTAL INCLUDING CONTINUOUS EXHAUST</t>
  </si>
  <si>
    <t>Fan Power of Dedicated OA System Fans, kW</t>
  </si>
  <si>
    <t>Fan motor runs 2 hours per day</t>
  </si>
  <si>
    <t>Dedicated OA Supply Fan Power, kW</t>
  </si>
  <si>
    <t>Apt - Total Continuous Exhaust CFM</t>
  </si>
  <si>
    <t>Apt - Dedicated OA Supply Fan Power, kW</t>
  </si>
  <si>
    <t>Apt - Fresh Air Supply Type</t>
  </si>
  <si>
    <t>Apt - Continuous Exhaust Fan Power in Addition to Main HVAC Fans, kW</t>
  </si>
  <si>
    <t>Apt - Total OA Mechanical Supply CFM</t>
  </si>
  <si>
    <t>Apt - Total Intermittent Exhaust CFM</t>
  </si>
  <si>
    <t>Apt - Bathroom Exhaust (CFM/bath)</t>
  </si>
  <si>
    <t>Apt - Kitchen Exhaust (CFM/kitchen)</t>
  </si>
  <si>
    <t>Continuous or Intermittent</t>
  </si>
  <si>
    <t>Other motor including Non-HVAC Fans in SG 3.14.3 (1)</t>
  </si>
  <si>
    <t>Other motor including Non-HVAC Fans in SG 3.14.3 (2)</t>
  </si>
  <si>
    <t>Other motor including Non-HVAC Fans in SG 3.14.3 (3)</t>
  </si>
  <si>
    <t>Corridor - Dedicated Ventilation Fan Power in Addition to Main HVAC Fans (kW)</t>
  </si>
  <si>
    <t>Heat/Energy Recovery (Yes/No)</t>
  </si>
  <si>
    <t>Total Supply Airflow (CFM) For Primary System</t>
  </si>
  <si>
    <t>Total Supply Airflow (CFM) For Secondary System</t>
  </si>
  <si>
    <t>Total Supply Airflow (CFM) For Tertiary System</t>
  </si>
  <si>
    <t>Heat/Energy Recovery Supply Air Flow(CFM)</t>
  </si>
  <si>
    <t>Heat/Energy Recovery Exhaust Air Flow (CFM)</t>
  </si>
  <si>
    <t>Added linking from Model Input tab to Infiltration and Ventilation tab to reduce amount of data entry necessary.  Altered fields to reflect these changes.</t>
  </si>
  <si>
    <t>Updated garage demand control requirements from ASHRAE 90.1-2010.</t>
  </si>
  <si>
    <t>Kitchen (CFM, each)</t>
  </si>
  <si>
    <t>Bathroom (CFM, each)</t>
  </si>
  <si>
    <t>Update, if inaccurate.</t>
  </si>
  <si>
    <t>Whole Unit Ventilation Rate (62.2-2010)</t>
  </si>
  <si>
    <t>Zone 2</t>
  </si>
  <si>
    <t>Zone 3</t>
  </si>
  <si>
    <t>Zone 4</t>
  </si>
  <si>
    <t>ExtLightZone</t>
  </si>
  <si>
    <t>Stairways</t>
  </si>
  <si>
    <t>Entry canopies</t>
  </si>
  <si>
    <t>Walkways 10ft wide or greater/Plaza areas/Special feature areas</t>
  </si>
  <si>
    <t>Main entries (2)</t>
  </si>
  <si>
    <t>Other doors (2)</t>
  </si>
  <si>
    <t>BaseSite</t>
  </si>
  <si>
    <t>Updated to incorporate ASHRAE 90.1-2010 exterior lighting requirements.  Includes differing lighting allowances based on exterior lighting zone, and added base site allowance.</t>
  </si>
  <si>
    <t>Updated baseline to require baseline ventilation rates meet ASHRAE 62.1 or 62.2, as the baseline is no longer allowed to be up to 50% higher than code.</t>
  </si>
  <si>
    <t>Apt - Total Power of Intermittent Exhaust Fans, kW</t>
  </si>
  <si>
    <t>Apt - Infiltration (ACH)</t>
  </si>
  <si>
    <t>Added option for which infiltration baseline to use - either 0.3 CFM/sqft at 50 Pa or 0.4 CFM/sqft at 75 Pa.</t>
  </si>
  <si>
    <t>Added allowance to claim infiltration improvement for As-Built building, based on blower door results.</t>
  </si>
  <si>
    <t>Version 6.1 - ASHRAE 2010 Updates</t>
  </si>
  <si>
    <t>Version 6.1  - ASHRAE 2007 Updates</t>
  </si>
  <si>
    <t>Apt - Duct Sealing - Total CFM</t>
  </si>
  <si>
    <t>Separated duct sealing credit by spaces (apt, corridor and other)</t>
  </si>
  <si>
    <t>Corridor - Duct Sealing - Total CFM</t>
  </si>
  <si>
    <t>Other Ventilation Fans - Duct Sealing - Total CFM</t>
  </si>
  <si>
    <t>Ventilation: Thermal
(Duct Sealing - Apts)</t>
  </si>
  <si>
    <t>Ventilation Thermal 
(Duct Sealing - Corridors)</t>
  </si>
  <si>
    <t>Ventilation Thermal 
(Duct Sealing - Other)</t>
  </si>
  <si>
    <t>Ventilation: Infiltration</t>
  </si>
  <si>
    <t>Ventilation: Efficiency Other Fans</t>
  </si>
  <si>
    <t>Ventilation: Supply Airflow (CFM)
Primary System</t>
  </si>
  <si>
    <t>Ventilation: Supply Airflow (CFM)
Secondary System</t>
  </si>
  <si>
    <t>Ventilation: Supply Airflow (CFM)
Tertiary System</t>
  </si>
  <si>
    <t>Ventilation: Garage Demand Control</t>
  </si>
  <si>
    <t>Corrections made to cell references in Infiltration &amp; Ventilation tab to reference the correct cells in the DHW Demand tab. Corrections made on the Appliance tab so the elevator calculation matches the table in the Simulation Guidelines (page 26.)</t>
  </si>
  <si>
    <t>Building Performance Plan</t>
  </si>
  <si>
    <t xml:space="preserve">The following worksheets detail the information regarding the recommended scope of work and document the achievement of the project's Performance Target. Some cells are protected to prevent accidental over-writing of formulas. </t>
  </si>
  <si>
    <t>Release Date 8/2016</t>
  </si>
  <si>
    <t>MF NCP Program Version</t>
  </si>
  <si>
    <t>V1.0</t>
  </si>
  <si>
    <t>Performance Tier</t>
  </si>
  <si>
    <t>Added Performance Tier drow-down.</t>
  </si>
  <si>
    <t>Low-to-Moderate Income</t>
  </si>
  <si>
    <r>
      <t xml:space="preserve">Updated energy rates per </t>
    </r>
    <r>
      <rPr>
        <i/>
        <sz val="11"/>
        <rFont val="Arial"/>
        <family val="2"/>
      </rPr>
      <t>MF NCP Guidelines</t>
    </r>
    <r>
      <rPr>
        <sz val="11"/>
        <rFont val="Arial"/>
        <family val="2"/>
      </rPr>
      <t>.</t>
    </r>
  </si>
  <si>
    <t xml:space="preserve">             If this tab is filled out correctly, it will autofill significant portions of the Reporting Summary and Detailed Measures tabs.</t>
  </si>
  <si>
    <t>Penetrations through Continuous Insulation</t>
  </si>
  <si>
    <t>Added field in Envelope section, requiring a description of all penetrations through the continuous insulation.</t>
  </si>
  <si>
    <r>
      <t xml:space="preserve">1. </t>
    </r>
    <r>
      <rPr>
        <b/>
        <sz val="9"/>
        <rFont val="Calibri"/>
        <family val="2"/>
        <scheme val="minor"/>
      </rPr>
      <t xml:space="preserve">Measure Category </t>
    </r>
    <r>
      <rPr>
        <sz val="9"/>
        <rFont val="Calibri"/>
        <family val="2"/>
        <scheme val="minor"/>
      </rPr>
      <t xml:space="preserve"> - Select the appropriate measure category from the drop down menu provided.  Make sure the measure corresponds to the Parametric Run that has been autofilled.</t>
    </r>
  </si>
  <si>
    <t>First fill in the Basic Info tabs.</t>
  </si>
  <si>
    <t>Pressure (PSI)</t>
  </si>
  <si>
    <t>GPM @</t>
  </si>
  <si>
    <t>First, complete the DHW Demand tab.</t>
  </si>
  <si>
    <t>(Uses/Day)</t>
  </si>
  <si>
    <t>In the "Proposed Fixture" table, enter the proposed toilet and urinal flow rates.  The proposed usage and pressures for the showerheads and faucets will autofill from the DHW Demand tab.</t>
  </si>
  <si>
    <t>Total Savings (fixtures + appliances)</t>
  </si>
  <si>
    <t>Total savings (fixtures only)</t>
  </si>
  <si>
    <t>Water Savings/DHW Demand</t>
  </si>
  <si>
    <t>Shifted around some fields so that DHW Demand tab could be completed prior to any inputs into Water Savings tab.</t>
  </si>
  <si>
    <t>Removed all measure cost fields and cost effectiveness calculations.</t>
  </si>
  <si>
    <t>Clarified instructions.</t>
  </si>
  <si>
    <t>Updated water rates to reflect higher NYC water costs.  Non-NYC water costs remained the same.</t>
  </si>
  <si>
    <t>Lm/W</t>
  </si>
  <si>
    <t>Cu</t>
  </si>
  <si>
    <t>Light Source &amp; Distribution</t>
  </si>
  <si>
    <t>Fixture Count</t>
  </si>
  <si>
    <t>ENERGY STAR</t>
  </si>
  <si>
    <t>&gt; 80%?</t>
  </si>
  <si>
    <t>10.Red cells indicate ZONES where proposed lighting exceed ASHRAE LPD by more than 20%. While permitted, it identifies an opportunity for savings.</t>
  </si>
  <si>
    <t>Updated parking garage LPD for Whole Building calculation method.</t>
  </si>
  <si>
    <t>12. In column A, note which spaces, if any, have increased Baseline LPD by 20% due to calculated RCR exceeding Table 9.6.1 thresholds or corridors &lt; 8ft.</t>
  </si>
  <si>
    <t>RCR Factor</t>
  </si>
  <si>
    <t>BPP Version 1.0 - ASHRAE 2010 Updates</t>
  </si>
  <si>
    <t>EIR</t>
  </si>
  <si>
    <t>COPnfcooling</t>
  </si>
  <si>
    <t>Capacity, Btu/hr</t>
  </si>
  <si>
    <t>COPnfheating</t>
  </si>
  <si>
    <t>Efficiency Conversion Calculators 
(ASHRAE 90.1-2013, Appendix G, G3.1.2.1)</t>
  </si>
  <si>
    <t>Updated Efficiency Conversion Calculators per ASHRAE 90.1-2013, G3.1.2.1</t>
  </si>
  <si>
    <t>Infiltration Inputs Calculator (90.1 2013 G3.1.1.4)</t>
  </si>
  <si>
    <t xml:space="preserve">Total Conditioned Volume, V [CuFt] </t>
  </si>
  <si>
    <t>Air Leakage Test Pressure Differential</t>
  </si>
  <si>
    <t>Air leakge CFM per SqFt of total area of the envelope air pressure boundary @ specified pressure differential</t>
  </si>
  <si>
    <t>Total Area of the Envelope Air Pressure Boundary, S [SqFt] (includes area of the lowest floor, any below- or above-grade walls, and roof (or ceiling) including windows and skylights, separating the interior conditioned space from the unconditioned environment)</t>
  </si>
  <si>
    <t>Outdoor Air (OA) CFM</t>
  </si>
  <si>
    <t>Infiltration ACH; Note 2</t>
  </si>
  <si>
    <t>Continuous Exhaust, CFM</t>
  </si>
  <si>
    <t>Continuous Exhaust Schedule</t>
  </si>
  <si>
    <t>Intermittent Exhaust Schedule</t>
  </si>
  <si>
    <t>Outdoor Air, CFM</t>
  </si>
  <si>
    <t>Infiltration and Ventilation tab</t>
  </si>
  <si>
    <t>Lighting - Common Fixtures, non-LED</t>
  </si>
  <si>
    <t>Lighting - Common Fixtures, LED</t>
  </si>
  <si>
    <t>Lighting - In-unit Fixtures, non-LED</t>
  </si>
  <si>
    <t>Lighting - In-unit Fixtures, LED</t>
  </si>
  <si>
    <t>HVAC - ERV</t>
  </si>
  <si>
    <t>HVAC - VRF, air-source (cooling only)</t>
  </si>
  <si>
    <t>HVAC - VRF, air-source (heating only)</t>
  </si>
  <si>
    <t>HVAC - VRF, water-source (cooling only)</t>
  </si>
  <si>
    <t>HVAC - VRF, water-source (heating only)</t>
  </si>
  <si>
    <t>Other - Ventilation demand control</t>
  </si>
  <si>
    <t>HVAC - PTAC</t>
  </si>
  <si>
    <t>Other - Variable Speed Drive</t>
  </si>
  <si>
    <t>HVAC - Ground Source HP (cooling side)</t>
  </si>
  <si>
    <t>HVAC - Ground Source HP (heating side)</t>
  </si>
  <si>
    <t>HVAC - VRF, water-source (heating &amp; cooling)</t>
  </si>
  <si>
    <t>HVAC - VRF, air-source (heating &amp; cooling)</t>
  </si>
  <si>
    <t>HVAC - Water Source HP (cooling side)</t>
  </si>
  <si>
    <t>HVAC - Water Source HP (heating side)</t>
  </si>
  <si>
    <t>Added some additional measures to pull-down menu.</t>
  </si>
  <si>
    <t>Updated to allow increase to Baseline LPD per 9.6.3 and remove credit for spaces with mandatory occupancy sensors.</t>
  </si>
  <si>
    <t>Updated to allow for air sealing/infiltration credit.</t>
  </si>
  <si>
    <t>This worksheet should be a summary of all energy-saving measures, along with their associated energy savings. If the Results from eQUEST and Model Inputs tabs are completed first, much of this tab will autofill.</t>
  </si>
  <si>
    <t>Total Units</t>
  </si>
  <si>
    <t>Common Area Clothes Washer (kWh/yr)</t>
  </si>
  <si>
    <t>Common Area Clothes Washer (gal/yr)</t>
  </si>
  <si>
    <t>In-Unit Clothes Washer (kWh/yr)</t>
  </si>
  <si>
    <t>In-Unit Clothes Washer (gal/yr)</t>
  </si>
  <si>
    <t>In-Unit Clothes Washer</t>
  </si>
  <si>
    <t>Common Area Clothes Washer</t>
  </si>
  <si>
    <t>Primary Heating System Efficiency (COP)</t>
  </si>
  <si>
    <t>Primary Cooling System Efficiency (EER)</t>
  </si>
  <si>
    <t xml:space="preserve">Additional Heating Systems Note:  If there are more than 3 heating systems, copy and paste the table above and paste it below the  Partner Notes table.  For each additional heating system, there should be an additional set of three rows (Type, Efficiency, Capacity).  The words "Primary," "Secondary," etc. should be removed from the heating system type row. </t>
  </si>
  <si>
    <t xml:space="preserve">Additional Cooling Systems Note:  If there are more than 3 cooling systems, copy and paste the table above and paste it below the Partner Notes table.  For each additional cooling system,. there should be an additional set of three rows (Type, Efficiency, Capacity).  The words "Primary," "Secondary," etc. should be removed from the cooling system type row. </t>
  </si>
  <si>
    <t>Heat/Energy Recovery Affected System</t>
  </si>
  <si>
    <t>Energy-Saving Measures</t>
  </si>
  <si>
    <t>If "Cost Savings" is negative, delete that row as that indicates a energy penalty and therefore should not be included in this list of energy saving measures.</t>
  </si>
  <si>
    <t>The envelope measures listed below must comply with ASHRAE Standard 90.1-2010 Section 5.4 in addition to the listed requirements.</t>
  </si>
  <si>
    <t>The Heating and Cooling measures listed below must comply with ASHRAE Standard 90.1-2010 Section 6.4 in addition to the listed requirements below.</t>
  </si>
  <si>
    <t>X</t>
  </si>
  <si>
    <t>Continuous Exhaust Fan Power, kW/CFM</t>
  </si>
  <si>
    <t>Intermittent Exhaust Fan Power, kW/CFM</t>
  </si>
  <si>
    <t>National Grid</t>
  </si>
  <si>
    <t>Cost</t>
  </si>
  <si>
    <t>Cost Source</t>
  </si>
  <si>
    <t>Costs
$</t>
  </si>
  <si>
    <r>
      <t xml:space="preserve">4. </t>
    </r>
    <r>
      <rPr>
        <b/>
        <sz val="9"/>
        <rFont val="Calibri"/>
        <family val="2"/>
        <scheme val="minor"/>
      </rPr>
      <t xml:space="preserve">Quantity </t>
    </r>
    <r>
      <rPr>
        <sz val="9"/>
        <rFont val="Calibri"/>
        <family val="2"/>
        <scheme val="minor"/>
      </rPr>
      <t>- Provide a quantity for the proposed measure corresponding to the units automatically generated based on your measure selection.  If "Other" measure, enter appropriate units.</t>
    </r>
  </si>
  <si>
    <r>
      <t xml:space="preserve">5. </t>
    </r>
    <r>
      <rPr>
        <b/>
        <sz val="9"/>
        <rFont val="Calibri"/>
        <family val="2"/>
        <scheme val="minor"/>
      </rPr>
      <t xml:space="preserve">Demand Savings </t>
    </r>
    <r>
      <rPr>
        <sz val="9"/>
        <rFont val="Calibri"/>
        <family val="2"/>
        <scheme val="minor"/>
      </rPr>
      <t>- Enter calculated demand savings only if cell is highlighted blue.</t>
    </r>
  </si>
  <si>
    <r>
      <t xml:space="preserve">6. </t>
    </r>
    <r>
      <rPr>
        <b/>
        <sz val="9"/>
        <rFont val="Calibri"/>
        <family val="2"/>
        <scheme val="minor"/>
      </rPr>
      <t xml:space="preserve">Annual Water/Sewer and O&amp;M Savings </t>
    </r>
    <r>
      <rPr>
        <sz val="9"/>
        <rFont val="Calibri"/>
        <family val="2"/>
        <scheme val="minor"/>
      </rPr>
      <t>- Enter as appropriate</t>
    </r>
  </si>
  <si>
    <r>
      <t xml:space="preserve">7. </t>
    </r>
    <r>
      <rPr>
        <b/>
        <sz val="9"/>
        <rFont val="Calibri"/>
        <family val="2"/>
        <scheme val="minor"/>
      </rPr>
      <t>Too Many Rows?</t>
    </r>
    <r>
      <rPr>
        <sz val="9"/>
        <rFont val="Calibri"/>
        <family val="2"/>
        <scheme val="minor"/>
      </rPr>
      <t xml:space="preserve"> Delete empty rows.</t>
    </r>
  </si>
  <si>
    <r>
      <t xml:space="preserve">8. </t>
    </r>
    <r>
      <rPr>
        <b/>
        <sz val="9"/>
        <rFont val="Calibri"/>
        <family val="2"/>
        <scheme val="minor"/>
      </rPr>
      <t>Too Few Rows?</t>
    </r>
    <r>
      <rPr>
        <sz val="9"/>
        <rFont val="Calibri"/>
        <family val="2"/>
        <scheme val="minor"/>
      </rPr>
      <t xml:space="preserve"> Add as many rows as needed above row 29.  Then copy all formulas from above to new rows.</t>
    </r>
  </si>
  <si>
    <r>
      <t>3.</t>
    </r>
    <r>
      <rPr>
        <b/>
        <sz val="9"/>
        <rFont val="Calibri"/>
        <family val="2"/>
        <scheme val="minor"/>
      </rPr>
      <t xml:space="preserve"> Cost and Cost Source</t>
    </r>
    <r>
      <rPr>
        <sz val="9"/>
        <rFont val="Calibri"/>
        <family val="2"/>
        <scheme val="minor"/>
      </rPr>
      <t xml:space="preserve"> - For Tier 1 &amp; 2 projects, this </t>
    </r>
    <r>
      <rPr>
        <i/>
        <sz val="9"/>
        <rFont val="Calibri"/>
        <family val="2"/>
        <scheme val="minor"/>
      </rPr>
      <t xml:space="preserve">measure-level </t>
    </r>
    <r>
      <rPr>
        <sz val="9"/>
        <rFont val="Calibri"/>
        <family val="2"/>
        <scheme val="minor"/>
      </rPr>
      <t xml:space="preserve">information is optional. However, </t>
    </r>
    <r>
      <rPr>
        <i/>
        <sz val="9"/>
        <rFont val="Calibri"/>
        <family val="2"/>
        <scheme val="minor"/>
      </rPr>
      <t>project-level</t>
    </r>
    <r>
      <rPr>
        <sz val="9"/>
        <rFont val="Calibri"/>
        <family val="2"/>
        <scheme val="minor"/>
      </rPr>
      <t xml:space="preserve"> costs are still required for Tiers 1&amp; 2, so if these columns are not completed, you must hard enter the total cost into cell T30.</t>
    </r>
  </si>
  <si>
    <t>Release Date 1/2017</t>
  </si>
  <si>
    <t>BPP Version 1.0 - ASHRAE 2013 Updates</t>
  </si>
  <si>
    <t>Removed guidance on Appendix G rules.</t>
  </si>
  <si>
    <t>Vertical Glazing (0-10.0%)</t>
  </si>
  <si>
    <t>% of Wall</t>
  </si>
  <si>
    <t>Vertical Glazing (10.1%-40.0%)</t>
  </si>
  <si>
    <t>ASHRAE 90.1-2013 Table G3.4 (FOR YOUR REFERENCE)</t>
  </si>
  <si>
    <t xml:space="preserve">Using ASHRAE 90.1-2013 Table G3.4-4, G3.4-5, or G3.4-6, enter values for your Climate Zone (reference below). </t>
  </si>
  <si>
    <t>Updated baseline window values based on ASHRAE 90.1-2013 Appendix G.</t>
  </si>
  <si>
    <t>Updated baseline occupancy sensor requirements per ASHRAE 90.1-2013 Appendix G.</t>
  </si>
  <si>
    <t xml:space="preserve">   Note:  For Prescriptive Path projects using this tool, the TOTAL proposed wattage cannot exceed ASHRAE 90.1-2013 allowances at all.</t>
  </si>
  <si>
    <t>90.1-2013 RCR Allowance?</t>
  </si>
  <si>
    <t>LPD2013SS</t>
  </si>
  <si>
    <t>LPD2013WB</t>
  </si>
  <si>
    <r>
      <t>Storage, &lt;50ft</t>
    </r>
    <r>
      <rPr>
        <vertAlign val="superscript"/>
        <sz val="10"/>
        <rFont val="Arial"/>
        <family val="2"/>
      </rPr>
      <t>2</t>
    </r>
  </si>
  <si>
    <r>
      <t xml:space="preserve">Storage, </t>
    </r>
    <r>
      <rPr>
        <sz val="10"/>
        <rFont val="Calibri"/>
        <family val="2"/>
      </rPr>
      <t>≥</t>
    </r>
    <r>
      <rPr>
        <sz val="10"/>
        <rFont val="Arial"/>
        <family val="2"/>
      </rPr>
      <t>50 ft</t>
    </r>
    <r>
      <rPr>
        <vertAlign val="superscript"/>
        <sz val="10"/>
        <rFont val="Arial"/>
        <family val="2"/>
      </rPr>
      <t>2</t>
    </r>
  </si>
  <si>
    <t>OS Req?</t>
  </si>
  <si>
    <t>Space-By-Space (90.1-2013)</t>
  </si>
  <si>
    <t>Building Area (90.1-2013)</t>
  </si>
  <si>
    <t>OC Required?</t>
  </si>
  <si>
    <t>13. ASHRAE 90.1-2013 requires mandatory occupancy sensors in community/meeting rooms, and automatic lighting controls for other spaces per Section 9.4.1.</t>
  </si>
  <si>
    <t xml:space="preserve">   Note:  No W/SF reduction is shown for controls in either the baseline or proposed W/SF for these areas.</t>
  </si>
  <si>
    <t>Updated baseline LPD per ASHRAE 90.1-2013 Appendix G.</t>
  </si>
  <si>
    <t>(W/sqft)</t>
  </si>
  <si>
    <t>Lighting Power</t>
  </si>
  <si>
    <t>(W/linear foot)</t>
  </si>
  <si>
    <t>Updated baseline per ASHRAE 90.1-2013 Appendix G.</t>
  </si>
  <si>
    <t>BPP Version 1.0 - ASHRAE 2013 - January 2017</t>
  </si>
  <si>
    <t>Version 1.0 - ASHRAE 2013 - January 2017</t>
  </si>
  <si>
    <t>Please note that this version of the Program uses the ASHRAE 90.1-2013 Appendix G Excerpt, entitled “Standard 90.1 Appendix G 2013 Performance Rating Method Excerpt from ANSI/ASHRAE/IES Standard 90.1-2013 (I-P)” published by American Society of Heating, Refrigerating and Air-Conditioning Engineers, Inc., publication date 2015.</t>
  </si>
  <si>
    <r>
      <rPr>
        <u/>
        <sz val="9"/>
        <color rgb="FFFF0000"/>
        <rFont val="Arial Rounded MT Bold"/>
        <family val="2"/>
      </rPr>
      <t>For gut rehabs</t>
    </r>
    <r>
      <rPr>
        <sz val="9"/>
        <color rgb="FFFF0000"/>
        <rFont val="Arial Rounded MT Bold"/>
        <family val="2"/>
      </rPr>
      <t>, the ASHRAE Appendix G Excerpt requires the baseline envelope, and all other components, to follow the same guidelines as new construction projects.</t>
    </r>
  </si>
  <si>
    <t>ASHRAE 90.1-2013 Appendix G Excerpt</t>
  </si>
  <si>
    <t>Enter details and counts of installed lighting fixtures in apartments only. Square footage not illuminated by these fixtures will have a default lighting power density of 0.7 W/Sf assigned to both baseline and proposed. Installed fixtures in rooms where supplemental light will be provided by the occupant or through switched outlets, shall not be modeled as providing illumination for the entire room. Overall lighting power density is calculated on this worksheet for input into software.</t>
  </si>
  <si>
    <t>Multifamily New Construction Program (MF NCP)</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</si>
</sst>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0.0"/>
    <numFmt numFmtId="168" formatCode="0.000"/>
    <numFmt numFmtId="169" formatCode="0.0000"/>
    <numFmt numFmtId="170" formatCode="&quot;$&quot;#,##0"/>
    <numFmt numFmtId="171" formatCode="_(* #,##0_);_(* \(#,##0\);_(* &quot;-&quot;??_);_(@_)"/>
    <numFmt numFmtId="172" formatCode="_(* #,##0.000_);_(* \(#,##0.000\);_(* &quot;-&quot;??_);_(@_)"/>
    <numFmt numFmtId="173" formatCode="&quot;$&quot;#,##0.0000_);[Red]\(&quot;$&quot;#,##0.0000\)"/>
    <numFmt numFmtId="174" formatCode="[&lt;1]0%;0"/>
    <numFmt numFmtId="175" formatCode="0.0000%"/>
    <numFmt numFmtId="176" formatCode="0.000%"/>
    <numFmt numFmtId="177" formatCode="&quot;$&quot;#,##0.00_);[Red]\(&quot;$&quot;#,##0.00\);&quot;&quot;"/>
    <numFmt numFmtId="178" formatCode="#,##0_);[Red]\(#,##0\);&quot;&quot;"/>
    <numFmt numFmtId="179" formatCode="00000"/>
    <numFmt numFmtId="180" formatCode="&quot;$&quot;#,##0.000_);[Red]\(&quot;$&quot;#,##0.000\)"/>
    <numFmt numFmtId="181" formatCode="###\ &quot;kWh/yr&quot;"/>
    <numFmt numFmtId="182" formatCode="###\ &quot;therm/yr&quot;"/>
    <numFmt numFmtId="183" formatCode="##0.0\ &quot;W/SF&quot;"/>
    <numFmt numFmtId="184" formatCode="###\ &quot;gal/yr&quot;"/>
    <numFmt numFmtId="185" formatCode="\R\-##.0"/>
    <numFmt numFmtId="186" formatCode="#,##0\ &quot;gal&quot;"/>
    <numFmt numFmtId="187" formatCode="#,##0\ &quot;kBtu&quot;"/>
    <numFmt numFmtId="188" formatCode="&quot;U-&quot;0.##0"/>
    <numFmt numFmtId="189" formatCode="&quot;C-&quot;0.##0"/>
    <numFmt numFmtId="190" formatCode="&quot;F-&quot;0.##0"/>
    <numFmt numFmtId="191" formatCode="&quot;SHGC-&quot;0.#0"/>
    <numFmt numFmtId="192" formatCode="###.0\ &quot;W/GPM&quot;"/>
    <numFmt numFmtId="193" formatCode="###\ \°\F"/>
    <numFmt numFmtId="194" formatCode="##%\ &quot;Et&quot;"/>
    <numFmt numFmtId="195" formatCode="0.0\ &quot;gpm&quot;"/>
    <numFmt numFmtId="196" formatCode="0.0\ &quot;gpf&quot;"/>
    <numFmt numFmtId="197" formatCode="#,##0.0\ &quot;hp&quot;"/>
    <numFmt numFmtId="198" formatCode="###\ &quot;kBtu&quot;"/>
    <numFmt numFmtId="199" formatCode="0.###0\ &quot;kW/CFM&quot;"/>
    <numFmt numFmtId="200" formatCode="#,###\ &quot;tons&quot;"/>
    <numFmt numFmtId="201" formatCode="#,##0.0\ &quot;hr/day&quot;"/>
    <numFmt numFmtId="202" formatCode="###.0\ &quot;kW&quot;"/>
    <numFmt numFmtId="203" formatCode="##\ &quot;CFM&quot;"/>
    <numFmt numFmtId="204" formatCode="0.0\ &quot;hp&quot;"/>
    <numFmt numFmtId="205" formatCode="##0.00\ &quot;kW&quot;"/>
    <numFmt numFmtId="206" formatCode="#,##0.0000"/>
    <numFmt numFmtId="207" formatCode="##0.0\ &quot;kW&quot;"/>
    <numFmt numFmtId="208" formatCode="_(* #,##0.0_);_(* \(#,##0.0\);_(* &quot;-&quot;??_);_(@_)"/>
    <numFmt numFmtId="209" formatCode="_(* #,##0.00000_);_(* \(#,##0.00000\);_(* &quot;-&quot;??_);_(@_)"/>
    <numFmt numFmtId="210" formatCode="_(* #,##0.0000_);_(* \(#,##0.0000\);_(* &quot;-&quot;??_);_(@_)"/>
    <numFmt numFmtId="211" formatCode="&quot;$&quot;#,##0.00000_);\(&quot;$&quot;#,##0.00000\)"/>
    <numFmt numFmtId="212" formatCode="##0.00\ &quot;W/SF&quot;"/>
    <numFmt numFmtId="213" formatCode="0.0\ &quot;kW&quot;"/>
    <numFmt numFmtId="214" formatCode="###0.0\ &quot;kW&quot;"/>
    <numFmt numFmtId="215" formatCode="##0\ &quot;CFM&quot;"/>
    <numFmt numFmtId="216" formatCode="0\ &quot;kW&quot;"/>
    <numFmt numFmtId="217" formatCode="#0.00\ &quot;ACH&quot;"/>
    <numFmt numFmtId="218" formatCode="0.0\ &quot;SEER&quot;"/>
    <numFmt numFmtId="219" formatCode="##0.0\ &quot;therm/yr&quot;"/>
    <numFmt numFmtId="220" formatCode="##0\ &quot;kW&quot;"/>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10"/>
      <name val="Arial"/>
      <family val="2"/>
    </font>
    <font>
      <sz val="8"/>
      <name val="Arial"/>
      <family val="2"/>
    </font>
    <font>
      <sz val="10"/>
      <color indexed="10"/>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8"/>
      <name val="Arial"/>
      <family val="2"/>
    </font>
    <font>
      <b/>
      <sz val="12"/>
      <name val="Arial"/>
      <family val="2"/>
    </font>
    <font>
      <sz val="9"/>
      <name val="Geneva"/>
    </font>
    <font>
      <sz val="11"/>
      <name val="Arial"/>
      <family val="2"/>
    </font>
    <font>
      <b/>
      <sz val="11"/>
      <name val="Arial"/>
      <family val="2"/>
    </font>
    <font>
      <sz val="11"/>
      <color indexed="8"/>
      <name val="Calibri"/>
      <family val="2"/>
    </font>
    <font>
      <b/>
      <sz val="11"/>
      <color indexed="8"/>
      <name val="Calibri"/>
      <family val="2"/>
    </font>
    <font>
      <b/>
      <u/>
      <sz val="11"/>
      <color indexed="8"/>
      <name val="Calibri"/>
      <family val="2"/>
    </font>
    <font>
      <sz val="8"/>
      <color indexed="81"/>
      <name val="Tahoma"/>
      <family val="2"/>
    </font>
    <font>
      <u/>
      <sz val="10"/>
      <color indexed="12"/>
      <name val="Arial"/>
      <family val="2"/>
    </font>
    <font>
      <sz val="10"/>
      <color indexed="8"/>
      <name val="Times New Roman"/>
      <family val="1"/>
    </font>
    <font>
      <b/>
      <sz val="10"/>
      <color indexed="8"/>
      <name val="Times New Roman"/>
      <family val="1"/>
    </font>
    <font>
      <sz val="10"/>
      <color indexed="17"/>
      <name val="Arial"/>
      <family val="2"/>
    </font>
    <font>
      <sz val="9"/>
      <name val="Calibri"/>
      <family val="2"/>
      <scheme val="minor"/>
    </font>
    <font>
      <b/>
      <sz val="14"/>
      <name val="Calibri"/>
      <family val="2"/>
      <scheme val="minor"/>
    </font>
    <font>
      <b/>
      <sz val="9"/>
      <name val="Calibri"/>
      <family val="2"/>
      <scheme val="minor"/>
    </font>
    <font>
      <sz val="9"/>
      <color indexed="12"/>
      <name val="Geneva"/>
    </font>
    <font>
      <b/>
      <sz val="9"/>
      <color indexed="12"/>
      <name val="Geneva"/>
    </font>
    <font>
      <u/>
      <sz val="11"/>
      <color theme="10"/>
      <name val="Calibri"/>
      <family val="2"/>
    </font>
    <font>
      <sz val="9"/>
      <color indexed="10"/>
      <name val="Geneva"/>
    </font>
    <font>
      <sz val="10"/>
      <name val="Geneva"/>
    </font>
    <font>
      <sz val="10"/>
      <color theme="0"/>
      <name val="Arial"/>
      <family val="2"/>
    </font>
    <font>
      <sz val="9"/>
      <color theme="2"/>
      <name val="Calibri"/>
      <family val="2"/>
      <scheme val="minor"/>
    </font>
    <font>
      <i/>
      <sz val="9"/>
      <name val="Calibri"/>
      <family val="2"/>
      <scheme val="minor"/>
    </font>
    <font>
      <sz val="9"/>
      <color indexed="8"/>
      <name val="Calibri"/>
      <family val="2"/>
      <scheme val="minor"/>
    </font>
    <font>
      <b/>
      <sz val="9"/>
      <color indexed="8"/>
      <name val="Calibri"/>
      <family val="2"/>
      <scheme val="minor"/>
    </font>
    <font>
      <b/>
      <sz val="14"/>
      <color indexed="8"/>
      <name val="Calibri"/>
      <family val="2"/>
      <scheme val="minor"/>
    </font>
    <font>
      <b/>
      <sz val="9"/>
      <color rgb="FFFF0000"/>
      <name val="Calibri"/>
      <family val="2"/>
      <scheme val="minor"/>
    </font>
    <font>
      <sz val="9"/>
      <color rgb="FFFF0000"/>
      <name val="Calibri"/>
      <family val="2"/>
      <scheme val="minor"/>
    </font>
    <font>
      <b/>
      <sz val="9"/>
      <color indexed="10"/>
      <name val="Calibri"/>
      <family val="2"/>
      <scheme val="minor"/>
    </font>
    <font>
      <sz val="9"/>
      <color indexed="10"/>
      <name val="Calibri"/>
      <family val="2"/>
      <scheme val="minor"/>
    </font>
    <font>
      <b/>
      <u/>
      <sz val="9"/>
      <name val="Calibri"/>
      <family val="2"/>
      <scheme val="minor"/>
    </font>
    <font>
      <b/>
      <i/>
      <sz val="9"/>
      <name val="Calibri"/>
      <family val="2"/>
      <scheme val="minor"/>
    </font>
    <font>
      <u/>
      <sz val="9"/>
      <color indexed="12"/>
      <name val="Calibri"/>
      <family val="2"/>
      <scheme val="minor"/>
    </font>
    <font>
      <vertAlign val="superscript"/>
      <sz val="9"/>
      <name val="Calibri"/>
      <family val="2"/>
      <scheme val="minor"/>
    </font>
    <font>
      <b/>
      <sz val="9"/>
      <color indexed="9"/>
      <name val="Calibri"/>
      <family val="2"/>
      <scheme val="minor"/>
    </font>
    <font>
      <i/>
      <u/>
      <sz val="9"/>
      <name val="Calibri"/>
      <family val="2"/>
      <scheme val="minor"/>
    </font>
    <font>
      <b/>
      <sz val="9"/>
      <color indexed="12"/>
      <name val="Calibri"/>
      <family val="2"/>
      <scheme val="minor"/>
    </font>
    <font>
      <sz val="9"/>
      <color theme="0" tint="-0.34998626667073579"/>
      <name val="Calibri"/>
      <family val="2"/>
      <scheme val="minor"/>
    </font>
    <font>
      <b/>
      <sz val="9"/>
      <color theme="0" tint="-0.34998626667073579"/>
      <name val="Calibri"/>
      <family val="2"/>
      <scheme val="minor"/>
    </font>
    <font>
      <u/>
      <sz val="9"/>
      <name val="Calibri"/>
      <family val="2"/>
      <scheme val="minor"/>
    </font>
    <font>
      <u/>
      <sz val="11"/>
      <color indexed="12"/>
      <name val="Calibri"/>
      <family val="2"/>
    </font>
    <font>
      <sz val="9"/>
      <color indexed="60"/>
      <name val="Calibri"/>
      <family val="2"/>
      <scheme val="minor"/>
    </font>
    <font>
      <sz val="9"/>
      <name val="Calibri"/>
      <family val="2"/>
    </font>
    <font>
      <i/>
      <sz val="8"/>
      <color indexed="81"/>
      <name val="Tahoma"/>
      <family val="2"/>
    </font>
    <font>
      <b/>
      <sz val="10"/>
      <name val="Calibri"/>
      <family val="2"/>
      <scheme val="minor"/>
    </font>
    <font>
      <sz val="10"/>
      <name val="Calibri"/>
      <family val="2"/>
      <scheme val="minor"/>
    </font>
    <font>
      <sz val="10"/>
      <name val="Arial"/>
      <family val="2"/>
    </font>
    <font>
      <vertAlign val="superscript"/>
      <sz val="9"/>
      <name val="Arial"/>
      <family val="2"/>
    </font>
    <font>
      <sz val="10"/>
      <color rgb="FFFF0000"/>
      <name val="Arial"/>
      <family val="2"/>
    </font>
    <font>
      <sz val="9"/>
      <color theme="0"/>
      <name val="Calibri"/>
      <family val="2"/>
      <scheme val="minor"/>
    </font>
    <font>
      <b/>
      <i/>
      <u/>
      <sz val="9"/>
      <name val="Calibri"/>
      <family val="2"/>
      <scheme val="minor"/>
    </font>
    <font>
      <sz val="10"/>
      <color indexed="8"/>
      <name val="Calibri"/>
      <family val="2"/>
      <scheme val="minor"/>
    </font>
    <font>
      <sz val="11"/>
      <color indexed="8"/>
      <name val="Calibri"/>
      <family val="2"/>
      <scheme val="minor"/>
    </font>
    <font>
      <sz val="9"/>
      <color indexed="81"/>
      <name val="Tahoma"/>
      <family val="2"/>
    </font>
    <font>
      <sz val="11"/>
      <color theme="0"/>
      <name val="Calibri"/>
      <family val="2"/>
      <scheme val="minor"/>
    </font>
    <font>
      <b/>
      <sz val="9"/>
      <color indexed="81"/>
      <name val="Tahoma"/>
      <family val="2"/>
    </font>
    <font>
      <b/>
      <sz val="10"/>
      <color indexed="10"/>
      <name val="Arial"/>
      <family val="2"/>
    </font>
    <font>
      <i/>
      <sz val="10"/>
      <name val="Arial"/>
      <family val="2"/>
    </font>
    <font>
      <i/>
      <sz val="11"/>
      <name val="Arial"/>
      <family val="2"/>
    </font>
    <font>
      <sz val="9"/>
      <color rgb="FFFF0000"/>
      <name val="Arial Rounded MT Bold"/>
      <family val="2"/>
    </font>
    <font>
      <u/>
      <sz val="9"/>
      <color rgb="FFFF0000"/>
      <name val="Arial Rounded MT Bold"/>
      <family val="2"/>
    </font>
    <font>
      <vertAlign val="superscript"/>
      <sz val="10"/>
      <name val="Arial"/>
      <family val="2"/>
    </font>
    <font>
      <sz val="10"/>
      <name val="Calibri"/>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indexed="22"/>
        <bgColor indexed="0"/>
      </patternFill>
    </fill>
    <fill>
      <patternFill patternType="solid">
        <fgColor theme="0"/>
        <bgColor indexed="64"/>
      </patternFill>
    </fill>
    <fill>
      <patternFill patternType="solid">
        <fgColor indexed="27"/>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indexed="13"/>
        <bgColor indexed="64"/>
      </patternFill>
    </fill>
    <fill>
      <patternFill patternType="solid">
        <fgColor theme="8" tint="-0.24997711111789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5" tint="0.59999389629810485"/>
        <bgColor indexed="64"/>
      </patternFill>
    </fill>
    <fill>
      <patternFill patternType="lightDown">
        <fgColor theme="0"/>
        <bgColor theme="0" tint="-0.24994659260841701"/>
      </patternFill>
    </fill>
    <fill>
      <patternFill patternType="darkDown">
        <fgColor theme="0"/>
        <bgColor theme="0" tint="-0.24994659260841701"/>
      </patternFill>
    </fill>
    <fill>
      <patternFill patternType="solid">
        <fgColor theme="0"/>
        <bgColor theme="0"/>
      </patternFill>
    </fill>
    <fill>
      <patternFill patternType="solid">
        <fgColor theme="8" tint="0.79995117038483843"/>
        <bgColor theme="0"/>
      </patternFill>
    </fill>
    <fill>
      <patternFill patternType="darkDown">
        <fgColor theme="0"/>
        <bgColor theme="0" tint="-0.34998626667073579"/>
      </patternFill>
    </fill>
    <fill>
      <patternFill patternType="solid">
        <fgColor indexed="48"/>
        <bgColor indexed="64"/>
      </patternFill>
    </fill>
    <fill>
      <patternFill patternType="solid">
        <fgColor theme="9" tint="0.59999389629810485"/>
        <bgColor indexed="64"/>
      </patternFill>
    </fill>
    <fill>
      <patternFill patternType="solid">
        <fgColor theme="0" tint="-0.24994659260841701"/>
        <bgColor indexed="64"/>
      </patternFill>
    </fill>
    <fill>
      <patternFill patternType="solid">
        <fgColor indexed="10"/>
        <bgColor indexed="64"/>
      </patternFill>
    </fill>
    <fill>
      <patternFill patternType="solid">
        <fgColor rgb="FFFF0000"/>
        <bgColor indexed="64"/>
      </patternFill>
    </fill>
    <fill>
      <patternFill patternType="darkVertical">
        <fgColor rgb="FFFFCC99"/>
        <bgColor theme="8" tint="0.79992065187536243"/>
      </patternFill>
    </fill>
    <fill>
      <patternFill patternType="darkVertical">
        <fgColor rgb="FFFFCC99"/>
        <bgColor theme="8" tint="0.79985961485641044"/>
      </patternFill>
    </fill>
    <fill>
      <patternFill patternType="solid">
        <fgColor theme="4"/>
      </patternFill>
    </fill>
    <fill>
      <patternFill patternType="solid">
        <fgColor rgb="FFFFFFFF"/>
        <bgColor rgb="FF000000"/>
      </patternFill>
    </fill>
    <fill>
      <patternFill patternType="darkUp">
        <fgColor theme="0"/>
        <bgColor theme="8" tint="0.59996337778862885"/>
      </patternFill>
    </fill>
    <fill>
      <patternFill patternType="solid">
        <fgColor theme="8" tint="0.79998168889431442"/>
        <bgColor theme="0"/>
      </patternFill>
    </fill>
    <fill>
      <patternFill patternType="lightDown">
        <fgColor theme="0" tint="-0.34998626667073579"/>
        <bgColor indexed="65"/>
      </patternFill>
    </fill>
    <fill>
      <patternFill patternType="darkUp">
        <fgColor theme="8" tint="0.79998168889431442"/>
        <bgColor theme="0"/>
      </patternFill>
    </fill>
  </fills>
  <borders count="20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64"/>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top/>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bottom/>
      <diagonal/>
    </border>
    <border>
      <left style="thin">
        <color indexed="22"/>
      </left>
      <right/>
      <top/>
      <bottom style="thin">
        <color indexed="22"/>
      </bottom>
      <diagonal/>
    </border>
    <border>
      <left style="thin">
        <color indexed="22"/>
      </left>
      <right/>
      <top/>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style="hair">
        <color indexed="64"/>
      </left>
      <right/>
      <top/>
      <bottom style="hair">
        <color indexed="64"/>
      </bottom>
      <diagonal/>
    </border>
    <border>
      <left/>
      <right style="thin">
        <color indexed="8"/>
      </right>
      <top/>
      <bottom style="medium">
        <color indexed="64"/>
      </bottom>
      <diagonal/>
    </border>
    <border>
      <left style="thin">
        <color indexed="8"/>
      </left>
      <right style="thin">
        <color indexed="64"/>
      </right>
      <top/>
      <bottom style="medium">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diagonal/>
    </border>
    <border>
      <left style="dashDotDot">
        <color indexed="64"/>
      </left>
      <right style="dashDotDot">
        <color indexed="64"/>
      </right>
      <top/>
      <bottom style="dashDotDot">
        <color indexed="64"/>
      </bottom>
      <diagonal/>
    </border>
    <border>
      <left style="dashDotDot">
        <color indexed="64"/>
      </left>
      <right/>
      <top style="dashDotDot">
        <color indexed="64"/>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auto="1"/>
      </left>
      <right/>
      <top style="thin">
        <color indexed="8"/>
      </top>
      <bottom/>
      <diagonal/>
    </border>
    <border>
      <left/>
      <right/>
      <top style="thin">
        <color indexed="8"/>
      </top>
      <bottom/>
      <diagonal/>
    </border>
    <border>
      <left/>
      <right style="thin">
        <color auto="1"/>
      </right>
      <top style="thin">
        <color indexed="8"/>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indexed="8"/>
      </right>
      <top style="thin">
        <color indexed="8"/>
      </top>
      <bottom style="thin">
        <color indexed="8"/>
      </bottom>
      <diagonal/>
    </border>
    <border>
      <left/>
      <right style="thin">
        <color indexed="8"/>
      </right>
      <top style="thin">
        <color auto="1"/>
      </top>
      <bottom/>
      <diagonal/>
    </border>
    <border>
      <left style="thin">
        <color auto="1"/>
      </left>
      <right style="thin">
        <color auto="1"/>
      </right>
      <top/>
      <bottom style="thin">
        <color auto="1"/>
      </bottom>
      <diagonal/>
    </border>
    <border>
      <left style="dashDot">
        <color auto="1"/>
      </left>
      <right style="dashDot">
        <color auto="1"/>
      </right>
      <top style="dashDot">
        <color auto="1"/>
      </top>
      <bottom style="dash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23"/>
      </top>
      <bottom style="thin">
        <color indexed="12"/>
      </bottom>
      <diagonal/>
    </border>
    <border>
      <left/>
      <right/>
      <top style="thin">
        <color indexed="21"/>
      </top>
      <bottom/>
      <diagonal/>
    </border>
    <border>
      <left style="medium">
        <color indexed="64"/>
      </left>
      <right style="thin">
        <color indexed="64"/>
      </right>
      <top style="thin">
        <color indexed="64"/>
      </top>
      <bottom/>
      <diagonal/>
    </border>
    <border>
      <left/>
      <right style="medium">
        <color indexed="64"/>
      </right>
      <top style="thin">
        <color auto="1"/>
      </top>
      <bottom/>
      <diagonal/>
    </border>
    <border>
      <left/>
      <right style="medium">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style="thin">
        <color indexed="8"/>
      </left>
      <right/>
      <top style="thin">
        <color auto="1"/>
      </top>
      <bottom style="thin">
        <color indexed="64"/>
      </bottom>
      <diagonal/>
    </border>
    <border>
      <left/>
      <right style="thin">
        <color indexed="8"/>
      </right>
      <top style="thin">
        <color auto="1"/>
      </top>
      <bottom style="thin">
        <color indexed="64"/>
      </bottom>
      <diagonal/>
    </border>
    <border>
      <left style="thin">
        <color indexed="8"/>
      </left>
      <right style="thin">
        <color indexed="64"/>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medium">
        <color indexed="64"/>
      </left>
      <right style="thin">
        <color indexed="64"/>
      </right>
      <top/>
      <bottom style="thin">
        <color indexed="8"/>
      </bottom>
      <diagonal/>
    </border>
    <border>
      <left style="thin">
        <color indexed="8"/>
      </left>
      <right style="thin">
        <color indexed="64"/>
      </right>
      <top/>
      <bottom style="thin">
        <color indexed="8"/>
      </bottom>
      <diagonal/>
    </border>
    <border>
      <left style="thin">
        <color indexed="8"/>
      </left>
      <right style="medium">
        <color indexed="64"/>
      </right>
      <top/>
      <bottom style="thin">
        <color indexed="8"/>
      </bottom>
      <diagonal/>
    </border>
    <border>
      <left style="thin">
        <color indexed="8"/>
      </left>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style="medium">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diagonal/>
    </border>
    <border>
      <left/>
      <right style="thin">
        <color indexed="8"/>
      </right>
      <top style="medium">
        <color indexed="64"/>
      </top>
      <bottom style="thin">
        <color indexed="64"/>
      </bottom>
      <diagonal/>
    </border>
    <border>
      <left style="thin">
        <color indexed="8"/>
      </left>
      <right/>
      <top/>
      <bottom style="thin">
        <color indexed="8"/>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FF0000"/>
      </bottom>
      <diagonal/>
    </border>
  </borders>
  <cellStyleXfs count="748">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3" fontId="6"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1" fillId="0" borderId="0"/>
    <xf numFmtId="0" fontId="8" fillId="0" borderId="0"/>
    <xf numFmtId="0" fontId="34" fillId="0" borderId="0"/>
    <xf numFmtId="0" fontId="34" fillId="0" borderId="0"/>
    <xf numFmtId="0" fontId="11" fillId="23" borderId="7" applyNumberFormat="0" applyFont="0" applyAlignment="0" applyProtection="0"/>
    <xf numFmtId="0" fontId="26" fillId="20" borderId="8" applyNumberFormat="0" applyAlignment="0" applyProtection="0"/>
    <xf numFmtId="9" fontId="6" fillId="0" borderId="0" applyFont="0" applyFill="0" applyBorder="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8" fillId="0" borderId="0"/>
    <xf numFmtId="0" fontId="12" fillId="0" borderId="0"/>
    <xf numFmtId="43" fontId="8" fillId="0" borderId="0" applyFont="0" applyFill="0" applyBorder="0" applyAlignment="0" applyProtection="0"/>
    <xf numFmtId="0" fontId="8" fillId="0" borderId="0"/>
    <xf numFmtId="0" fontId="5" fillId="0" borderId="0"/>
    <xf numFmtId="0" fontId="8" fillId="23" borderId="7" applyNumberFormat="0" applyFont="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5" fillId="0" borderId="0"/>
    <xf numFmtId="0" fontId="8" fillId="0" borderId="0"/>
    <xf numFmtId="0" fontId="5" fillId="0" borderId="0"/>
    <xf numFmtId="0" fontId="8" fillId="23" borderId="7" applyNumberFormat="0" applyFont="0" applyAlignment="0" applyProtection="0"/>
    <xf numFmtId="9" fontId="8" fillId="0" borderId="0" applyFont="0" applyFill="0" applyBorder="0" applyAlignment="0" applyProtection="0"/>
    <xf numFmtId="0" fontId="8" fillId="0" borderId="0"/>
    <xf numFmtId="0" fontId="5" fillId="0" borderId="0"/>
    <xf numFmtId="43" fontId="8" fillId="0" borderId="0" applyFont="0" applyFill="0" applyBorder="0" applyAlignment="0" applyProtection="0"/>
    <xf numFmtId="0" fontId="8" fillId="23" borderId="7" applyNumberFormat="0" applyFont="0" applyAlignment="0" applyProtection="0"/>
    <xf numFmtId="0" fontId="8" fillId="0" borderId="0"/>
    <xf numFmtId="9" fontId="8" fillId="0" borderId="0" applyFont="0" applyFill="0" applyBorder="0" applyAlignment="0" applyProtection="0"/>
    <xf numFmtId="0" fontId="8" fillId="23" borderId="7" applyNumberFormat="0" applyFont="0" applyAlignment="0" applyProtection="0"/>
    <xf numFmtId="9" fontId="8" fillId="0" borderId="0" applyFont="0" applyFill="0" applyBorder="0" applyAlignment="0" applyProtection="0"/>
    <xf numFmtId="0" fontId="8" fillId="0" borderId="0"/>
    <xf numFmtId="0" fontId="5" fillId="0" borderId="0"/>
    <xf numFmtId="0" fontId="8" fillId="23" borderId="7" applyNumberFormat="0" applyFont="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5" fillId="0" borderId="0"/>
    <xf numFmtId="0" fontId="8" fillId="23" borderId="7" applyNumberFormat="0" applyFont="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5" fillId="0" borderId="0"/>
    <xf numFmtId="0" fontId="8" fillId="23" borderId="7" applyNumberFormat="0" applyFont="0" applyAlignment="0" applyProtection="0"/>
    <xf numFmtId="9" fontId="8" fillId="0" borderId="0" applyFont="0" applyFill="0" applyBorder="0" applyAlignment="0" applyProtection="0"/>
    <xf numFmtId="0" fontId="4" fillId="0" borderId="0"/>
    <xf numFmtId="0" fontId="12" fillId="8"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0" fontId="12" fillId="8" borderId="0" applyNumberFormat="0" applyBorder="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0" fontId="12" fillId="11" borderId="0" applyNumberFormat="0" applyBorder="0" applyAlignment="0" applyProtection="0"/>
    <xf numFmtId="43" fontId="6" fillId="0" borderId="0" applyFont="0" applyFill="0" applyBorder="0" applyAlignment="0" applyProtection="0"/>
    <xf numFmtId="0" fontId="12" fillId="8" borderId="0" applyNumberFormat="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6" fillId="23" borderId="7" applyNumberFormat="0" applyFont="0" applyAlignment="0" applyProtection="0"/>
    <xf numFmtId="0" fontId="26" fillId="20" borderId="8" applyNumberFormat="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3" fontId="6" fillId="0" borderId="0" applyFont="0" applyFill="0" applyBorder="0" applyAlignment="0" applyProtection="0"/>
    <xf numFmtId="0" fontId="17" fillId="0" borderId="0" applyNumberFormat="0" applyFill="0" applyBorder="0" applyAlignment="0" applyProtection="0"/>
    <xf numFmtId="0" fontId="41"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6" fillId="0" borderId="0"/>
    <xf numFmtId="0" fontId="6" fillId="23" borderId="7" applyNumberFormat="0" applyFont="0" applyAlignment="0" applyProtection="0"/>
    <xf numFmtId="0" fontId="26" fillId="20" borderId="8" applyNumberFormat="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10" fillId="0" borderId="0" applyNumberFormat="0" applyFill="0" applyBorder="0" applyAlignment="0" applyProtection="0"/>
    <xf numFmtId="0" fontId="4" fillId="0" borderId="0"/>
    <xf numFmtId="10" fontId="31" fillId="0" borderId="76" applyFont="0" applyFill="0" applyBorder="0" applyAlignment="0" applyProtection="0">
      <alignment horizontal="right"/>
    </xf>
    <xf numFmtId="3" fontId="45" fillId="0" borderId="0" applyNumberFormat="0" applyFill="0" applyBorder="0" applyAlignment="0" applyProtection="0"/>
    <xf numFmtId="3" fontId="46" fillId="0" borderId="0" applyNumberFormat="0" applyFill="0" applyBorder="0" applyAlignment="0" applyProtection="0"/>
    <xf numFmtId="168" fontId="31" fillId="0" borderId="77" applyNumberFormat="0" applyFont="0" applyFill="0" applyAlignment="0">
      <protection locked="0"/>
    </xf>
    <xf numFmtId="43" fontId="8" fillId="0" borderId="0" applyFont="0" applyFill="0" applyBorder="0" applyAlignment="0" applyProtection="0"/>
    <xf numFmtId="43" fontId="3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7" fontId="8" fillId="0" borderId="0" applyFont="0" applyBorder="0" applyAlignment="0">
      <alignment horizontal="center"/>
    </xf>
    <xf numFmtId="177" fontId="8" fillId="0" borderId="0" applyFont="0" applyBorder="0" applyAlignment="0">
      <alignment horizontal="center"/>
    </xf>
    <xf numFmtId="0" fontId="47" fillId="0" borderId="0" applyNumberFormat="0" applyFill="0" applyBorder="0" applyAlignment="0" applyProtection="0">
      <alignment vertical="top"/>
      <protection locked="0"/>
    </xf>
    <xf numFmtId="4" fontId="45" fillId="34" borderId="78" applyNumberFormat="0" applyFont="0" applyBorder="0" applyAlignment="0" applyProtection="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52" applyFont="0" applyFill="0" applyBorder="0" applyAlignment="0" applyProtection="0">
      <alignment horizontal="center"/>
    </xf>
    <xf numFmtId="178" fontId="8" fillId="0" borderId="52" applyFont="0" applyFill="0" applyBorder="0" applyAlignment="0" applyProtection="0">
      <alignment horizontal="center"/>
    </xf>
    <xf numFmtId="3" fontId="31" fillId="37" borderId="78" applyNumberFormat="0" applyFont="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4" fillId="0" borderId="0" applyFont="0" applyFill="0" applyBorder="0" applyAlignment="0" applyProtection="0"/>
    <xf numFmtId="10" fontId="31" fillId="28" borderId="0" applyNumberFormat="0" applyFont="0" applyBorder="0" applyAlignment="0" applyProtection="0"/>
    <xf numFmtId="3" fontId="48" fillId="0" borderId="79" applyNumberFormat="0" applyFill="0" applyBorder="0" applyAlignment="0" applyProtection="0">
      <protection locked="0"/>
    </xf>
    <xf numFmtId="166" fontId="45" fillId="0" borderId="80" applyNumberFormat="0" applyFont="0" applyFill="0" applyAlignment="0" applyProtection="0"/>
    <xf numFmtId="3" fontId="31" fillId="0" borderId="81" applyNumberFormat="0" applyFont="0" applyFill="0" applyAlignment="0" applyProtection="0">
      <alignment horizontal="right"/>
    </xf>
    <xf numFmtId="0" fontId="49" fillId="0" borderId="82" applyNumberFormat="0" applyFont="0" applyFill="0" applyAlignment="0">
      <protection locked="0"/>
    </xf>
    <xf numFmtId="0" fontId="3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4" fillId="0" borderId="0"/>
    <xf numFmtId="0" fontId="3" fillId="0" borderId="0"/>
    <xf numFmtId="44" fontId="6" fillId="0" borderId="0" applyFont="0" applyFill="0" applyBorder="0" applyAlignment="0" applyProtection="0"/>
    <xf numFmtId="44" fontId="7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7" fontId="6" fillId="0" borderId="0" applyFont="0" applyBorder="0" applyAlignment="0">
      <alignment horizontal="center"/>
    </xf>
    <xf numFmtId="177" fontId="6" fillId="0" borderId="0" applyFont="0" applyBorder="0" applyAlignment="0">
      <alignment horizontal="center"/>
    </xf>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3" borderId="122" applyNumberFormat="0" applyFont="0" applyAlignment="0" applyProtection="0"/>
    <xf numFmtId="0" fontId="6" fillId="23" borderId="122" applyNumberFormat="0" applyFont="0" applyAlignment="0" applyProtection="0"/>
    <xf numFmtId="0" fontId="6" fillId="23" borderId="122" applyNumberFormat="0" applyFont="0" applyAlignment="0" applyProtection="0"/>
    <xf numFmtId="0" fontId="6" fillId="23" borderId="122" applyNumberFormat="0" applyFont="0" applyAlignment="0" applyProtection="0"/>
    <xf numFmtId="0" fontId="6" fillId="23" borderId="122" applyNumberFormat="0" applyFont="0" applyAlignment="0" applyProtection="0"/>
    <xf numFmtId="0" fontId="6" fillId="23" borderId="122" applyNumberFormat="0" applyFont="0" applyAlignment="0" applyProtection="0"/>
    <xf numFmtId="0" fontId="6" fillId="23" borderId="122" applyNumberFormat="0" applyFont="0" applyAlignment="0" applyProtection="0"/>
    <xf numFmtId="178" fontId="6" fillId="0" borderId="101" applyFont="0" applyFill="0" applyBorder="0" applyAlignment="0" applyProtection="0">
      <alignment horizontal="center"/>
    </xf>
    <xf numFmtId="178" fontId="6" fillId="0" borderId="101" applyFont="0" applyFill="0" applyBorder="0" applyAlignment="0" applyProtection="0">
      <alignment horizontal="center"/>
    </xf>
    <xf numFmtId="178" fontId="6" fillId="0" borderId="101" applyFont="0" applyFill="0" applyBorder="0" applyAlignment="0" applyProtection="0">
      <alignment horizontal="center"/>
    </xf>
    <xf numFmtId="178" fontId="6" fillId="0" borderId="101" applyFont="0" applyFill="0" applyBorder="0" applyAlignment="0" applyProtection="0">
      <alignment horizont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5" fillId="0" borderId="123" applyNumberFormat="0" applyFont="0" applyFill="0" applyAlignment="0" applyProtection="0"/>
    <xf numFmtId="3" fontId="31" fillId="0" borderId="124" applyNumberFormat="0" applyFont="0" applyFill="0" applyAlignment="0" applyProtection="0">
      <alignment horizontal="right"/>
    </xf>
    <xf numFmtId="0" fontId="1" fillId="0" borderId="0"/>
    <xf numFmtId="44" fontId="1" fillId="0" borderId="0" applyFont="0" applyFill="0" applyBorder="0" applyAlignment="0" applyProtection="0"/>
    <xf numFmtId="9" fontId="1" fillId="0" borderId="0" applyFont="0" applyFill="0" applyBorder="0" applyAlignment="0" applyProtection="0"/>
    <xf numFmtId="0" fontId="84" fillId="54" borderId="0" applyNumberFormat="0" applyBorder="0" applyAlignment="0" applyProtection="0"/>
    <xf numFmtId="0" fontId="15" fillId="20" borderId="140" applyNumberFormat="0" applyAlignment="0" applyProtection="0"/>
    <xf numFmtId="0" fontId="23" fillId="7" borderId="140" applyNumberFormat="0" applyAlignment="0" applyProtection="0"/>
    <xf numFmtId="0" fontId="6" fillId="0" borderId="0"/>
    <xf numFmtId="0" fontId="26" fillId="20" borderId="141" applyNumberFormat="0" applyAlignment="0" applyProtection="0"/>
    <xf numFmtId="0" fontId="28" fillId="0" borderId="142" applyNumberFormat="0" applyFill="0" applyAlignment="0" applyProtection="0"/>
  </cellStyleXfs>
  <cellXfs count="1650">
    <xf numFmtId="0" fontId="0" fillId="0" borderId="0" xfId="0"/>
    <xf numFmtId="0" fontId="0" fillId="0" borderId="0" xfId="0" applyFill="1" applyBorder="1"/>
    <xf numFmtId="0" fontId="8" fillId="0" borderId="0" xfId="0" applyFont="1"/>
    <xf numFmtId="0" fontId="8" fillId="0" borderId="0" xfId="0" applyFont="1" applyAlignment="1">
      <alignment horizontal="center"/>
    </xf>
    <xf numFmtId="0" fontId="0" fillId="0" borderId="0" xfId="0" applyAlignment="1">
      <alignment horizontal="center"/>
    </xf>
    <xf numFmtId="0" fontId="34" fillId="0" borderId="0" xfId="45"/>
    <xf numFmtId="0" fontId="35" fillId="25" borderId="37" xfId="45" applyFont="1" applyFill="1" applyBorder="1" applyAlignment="1">
      <alignment horizontal="center"/>
    </xf>
    <xf numFmtId="0" fontId="35" fillId="25" borderId="39" xfId="45" applyFont="1" applyFill="1" applyBorder="1" applyAlignment="1">
      <alignment horizontal="center"/>
    </xf>
    <xf numFmtId="0" fontId="34" fillId="25" borderId="40" xfId="45" applyFill="1" applyBorder="1" applyAlignment="1">
      <alignment horizontal="left"/>
    </xf>
    <xf numFmtId="166" fontId="34" fillId="25" borderId="41" xfId="45" applyNumberFormat="1" applyFill="1" applyBorder="1" applyAlignment="1">
      <alignment horizontal="center"/>
    </xf>
    <xf numFmtId="0" fontId="34" fillId="25" borderId="47" xfId="45" applyFill="1" applyBorder="1" applyAlignment="1">
      <alignment horizontal="left"/>
    </xf>
    <xf numFmtId="0" fontId="34" fillId="25" borderId="40" xfId="45" applyFont="1" applyFill="1" applyBorder="1" applyAlignment="1">
      <alignment horizontal="left"/>
    </xf>
    <xf numFmtId="0" fontId="34" fillId="25" borderId="10" xfId="45" applyFill="1" applyBorder="1" applyAlignment="1">
      <alignment horizontal="center"/>
    </xf>
    <xf numFmtId="0" fontId="34" fillId="25" borderId="41" xfId="45" applyFont="1" applyFill="1" applyBorder="1" applyAlignment="1">
      <alignment horizontal="center"/>
    </xf>
    <xf numFmtId="0" fontId="34" fillId="25" borderId="47" xfId="45" applyFont="1" applyFill="1" applyBorder="1" applyAlignment="1">
      <alignment horizontal="left"/>
    </xf>
    <xf numFmtId="0" fontId="34" fillId="25" borderId="45" xfId="45" applyFill="1" applyBorder="1" applyAlignment="1">
      <alignment horizontal="center"/>
    </xf>
    <xf numFmtId="0" fontId="34" fillId="25" borderId="48" xfId="45" applyFont="1" applyFill="1" applyBorder="1" applyAlignment="1">
      <alignment horizontal="center"/>
    </xf>
    <xf numFmtId="0" fontId="8" fillId="0" borderId="0" xfId="0" applyFont="1" applyFill="1" applyBorder="1"/>
    <xf numFmtId="0" fontId="0" fillId="0" borderId="0" xfId="0" applyFont="1" applyAlignment="1">
      <alignment horizontal="center"/>
    </xf>
    <xf numFmtId="0" fontId="39" fillId="27" borderId="42" xfId="60" applyFont="1" applyFill="1" applyBorder="1" applyProtection="1"/>
    <xf numFmtId="0" fontId="39" fillId="27" borderId="42" xfId="54" applyFont="1" applyFill="1" applyBorder="1" applyAlignment="1" applyProtection="1"/>
    <xf numFmtId="0" fontId="39" fillId="27" borderId="42" xfId="54" applyFont="1" applyFill="1" applyBorder="1" applyAlignment="1" applyProtection="1">
      <alignment vertical="top"/>
    </xf>
    <xf numFmtId="0" fontId="7" fillId="0" borderId="0" xfId="64" applyFont="1" applyBorder="1" applyAlignment="1" applyProtection="1">
      <alignment horizontal="center" vertical="center" wrapText="1"/>
      <protection locked="0"/>
    </xf>
    <xf numFmtId="0" fontId="40" fillId="32" borderId="18" xfId="54" applyFont="1" applyFill="1" applyBorder="1" applyAlignment="1" applyProtection="1">
      <alignment horizontal="center" vertical="center" wrapText="1"/>
    </xf>
    <xf numFmtId="0" fontId="8" fillId="0" borderId="0" xfId="0" applyFont="1" applyAlignment="1">
      <alignment wrapText="1"/>
    </xf>
    <xf numFmtId="0" fontId="4" fillId="0" borderId="0" xfId="94"/>
    <xf numFmtId="0" fontId="0" fillId="0" borderId="0" xfId="0"/>
    <xf numFmtId="0" fontId="42" fillId="0" borderId="0" xfId="0" applyFont="1" applyBorder="1"/>
    <xf numFmtId="0" fontId="42" fillId="0" borderId="0" xfId="0" applyFont="1" applyBorder="1" applyAlignment="1">
      <alignment horizontal="left"/>
    </xf>
    <xf numFmtId="0" fontId="42" fillId="0" borderId="0" xfId="0" applyFont="1" applyBorder="1" applyAlignment="1">
      <alignment horizontal="center"/>
    </xf>
    <xf numFmtId="175" fontId="42" fillId="0" borderId="0" xfId="0" applyNumberFormat="1" applyFont="1" applyAlignment="1">
      <alignment horizontal="center" vertical="center"/>
    </xf>
    <xf numFmtId="176" fontId="42" fillId="0" borderId="0" xfId="0" applyNumberFormat="1" applyFont="1" applyAlignment="1">
      <alignment horizontal="center" vertical="center"/>
    </xf>
    <xf numFmtId="0" fontId="42" fillId="0" borderId="0" xfId="0" applyFont="1" applyFill="1" applyBorder="1" applyAlignment="1">
      <alignment horizontal="center"/>
    </xf>
    <xf numFmtId="9" fontId="42" fillId="0" borderId="0" xfId="0" applyNumberFormat="1" applyFont="1" applyAlignment="1">
      <alignment horizontal="center" vertical="center"/>
    </xf>
    <xf numFmtId="0" fontId="42" fillId="0" borderId="0" xfId="0" applyFont="1" applyFill="1" applyBorder="1"/>
    <xf numFmtId="0" fontId="42" fillId="0" borderId="0" xfId="56" applyFont="1" applyBorder="1" applyAlignment="1">
      <alignment horizontal="left"/>
    </xf>
    <xf numFmtId="0" fontId="42" fillId="0" borderId="0" xfId="0" applyFont="1" applyFill="1" applyBorder="1" applyAlignment="1">
      <alignment horizontal="left"/>
    </xf>
    <xf numFmtId="0" fontId="0" fillId="0" borderId="0" xfId="0" applyFont="1" applyFill="1" applyBorder="1"/>
    <xf numFmtId="0" fontId="50" fillId="0" borderId="0" xfId="0" applyFont="1"/>
    <xf numFmtId="0" fontId="51" fillId="0" borderId="0" xfId="56" applyFont="1" applyBorder="1" applyAlignment="1">
      <alignment horizontal="left"/>
    </xf>
    <xf numFmtId="0" fontId="51" fillId="0" borderId="0" xfId="0" applyFont="1" applyBorder="1" applyAlignment="1">
      <alignment horizontal="left"/>
    </xf>
    <xf numFmtId="0" fontId="51" fillId="33" borderId="0" xfId="0" applyFont="1" applyFill="1" applyBorder="1"/>
    <xf numFmtId="0" fontId="6" fillId="0" borderId="0" xfId="0" applyFont="1" applyFill="1" applyBorder="1"/>
    <xf numFmtId="0" fontId="44" fillId="0" borderId="0" xfId="0" applyFont="1"/>
    <xf numFmtId="0" fontId="42" fillId="0" borderId="0" xfId="0" applyFont="1"/>
    <xf numFmtId="0" fontId="42" fillId="30" borderId="0" xfId="0" applyFont="1" applyFill="1"/>
    <xf numFmtId="0" fontId="42" fillId="0" borderId="10" xfId="0" applyFont="1" applyBorder="1"/>
    <xf numFmtId="0" fontId="42" fillId="0" borderId="10" xfId="0" applyFont="1" applyFill="1" applyBorder="1"/>
    <xf numFmtId="0" fontId="59" fillId="0" borderId="0" xfId="0" applyFont="1"/>
    <xf numFmtId="0" fontId="42" fillId="0" borderId="18" xfId="0" applyFont="1" applyFill="1" applyBorder="1"/>
    <xf numFmtId="0" fontId="42" fillId="0" borderId="0" xfId="0" applyFont="1" applyAlignment="1" applyProtection="1">
      <protection locked="0"/>
    </xf>
    <xf numFmtId="0" fontId="44" fillId="0" borderId="0" xfId="0" applyFont="1" applyAlignment="1" applyProtection="1">
      <protection locked="0"/>
    </xf>
    <xf numFmtId="0" fontId="42" fillId="0" borderId="0" xfId="0" applyFont="1" applyFill="1" applyAlignment="1" applyProtection="1">
      <protection locked="0"/>
    </xf>
    <xf numFmtId="3" fontId="42" fillId="35" borderId="71" xfId="0" applyNumberFormat="1" applyFont="1" applyFill="1" applyBorder="1" applyAlignment="1" applyProtection="1">
      <alignment horizontal="center" vertical="center"/>
      <protection locked="0"/>
    </xf>
    <xf numFmtId="0" fontId="42" fillId="0" borderId="0" xfId="0" applyFont="1" applyBorder="1" applyAlignment="1" applyProtection="1">
      <protection locked="0"/>
    </xf>
    <xf numFmtId="0" fontId="42" fillId="0" borderId="0" xfId="0" applyFont="1" applyFill="1" applyBorder="1" applyAlignment="1" applyProtection="1">
      <protection locked="0"/>
    </xf>
    <xf numFmtId="0" fontId="44" fillId="0" borderId="0" xfId="0" applyFont="1" applyFill="1" applyBorder="1" applyAlignment="1" applyProtection="1">
      <alignment vertical="top"/>
      <protection locked="0"/>
    </xf>
    <xf numFmtId="3" fontId="42" fillId="0" borderId="0" xfId="0" applyNumberFormat="1" applyFont="1" applyFill="1" applyBorder="1" applyAlignment="1" applyProtection="1">
      <alignment horizontal="center" vertical="center"/>
      <protection locked="0"/>
    </xf>
    <xf numFmtId="170" fontId="42"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vertical="center"/>
      <protection locked="0"/>
    </xf>
    <xf numFmtId="0" fontId="42" fillId="0" borderId="0" xfId="0" applyFont="1" applyFill="1" applyBorder="1" applyAlignment="1" applyProtection="1">
      <alignment vertical="center" wrapText="1"/>
      <protection locked="0"/>
    </xf>
    <xf numFmtId="0" fontId="42" fillId="0" borderId="0" xfId="0" applyFont="1" applyFill="1" applyBorder="1" applyAlignment="1" applyProtection="1">
      <alignment horizontal="center" vertical="center" wrapText="1"/>
      <protection locked="0"/>
    </xf>
    <xf numFmtId="170" fontId="42" fillId="35" borderId="61" xfId="0" applyNumberFormat="1" applyFont="1" applyFill="1" applyBorder="1" applyAlignment="1" applyProtection="1">
      <alignment horizontal="center" vertical="center" wrapText="1"/>
      <protection locked="0"/>
    </xf>
    <xf numFmtId="0" fontId="42" fillId="35" borderId="38" xfId="0" applyFont="1" applyFill="1" applyBorder="1" applyAlignment="1" applyProtection="1">
      <alignment horizontal="center" vertical="center"/>
      <protection locked="0"/>
    </xf>
    <xf numFmtId="0" fontId="42" fillId="0" borderId="0" xfId="0" applyFont="1" applyAlignment="1" applyProtection="1">
      <alignment horizontal="right"/>
      <protection locked="0"/>
    </xf>
    <xf numFmtId="170" fontId="44" fillId="0" borderId="10" xfId="0" applyNumberFormat="1" applyFont="1" applyBorder="1" applyAlignment="1" applyProtection="1">
      <alignment horizontal="center" vertical="center"/>
    </xf>
    <xf numFmtId="3" fontId="42" fillId="33" borderId="10" xfId="88" applyNumberFormat="1" applyFont="1" applyFill="1" applyBorder="1" applyAlignment="1">
      <alignment horizontal="center" vertical="center" wrapText="1"/>
    </xf>
    <xf numFmtId="3" fontId="42" fillId="35" borderId="10" xfId="0" applyNumberFormat="1" applyFont="1" applyFill="1" applyBorder="1" applyAlignment="1" applyProtection="1">
      <alignment horizontal="center" vertical="center" wrapText="1"/>
      <protection locked="0"/>
    </xf>
    <xf numFmtId="0" fontId="44" fillId="31" borderId="10" xfId="0" applyFont="1" applyFill="1" applyBorder="1" applyAlignment="1">
      <alignment horizontal="center" vertical="center" wrapText="1"/>
    </xf>
    <xf numFmtId="0" fontId="42" fillId="35" borderId="10" xfId="0" applyFont="1" applyFill="1" applyBorder="1" applyAlignment="1" applyProtection="1">
      <alignment horizontal="center"/>
      <protection locked="0"/>
    </xf>
    <xf numFmtId="14" fontId="42" fillId="35" borderId="10" xfId="0" applyNumberFormat="1" applyFont="1" applyFill="1" applyBorder="1" applyAlignment="1" applyProtection="1">
      <alignment horizontal="center" vertical="center" wrapText="1"/>
      <protection locked="0"/>
    </xf>
    <xf numFmtId="0" fontId="44" fillId="31" borderId="10" xfId="0" applyFont="1" applyFill="1" applyBorder="1" applyAlignment="1">
      <alignment horizontal="center" vertical="top" wrapText="1"/>
    </xf>
    <xf numFmtId="0" fontId="64" fillId="26" borderId="16" xfId="0" applyFont="1" applyFill="1" applyBorder="1"/>
    <xf numFmtId="0" fontId="42" fillId="0" borderId="17" xfId="0" applyFont="1" applyBorder="1"/>
    <xf numFmtId="0" fontId="42" fillId="0" borderId="20" xfId="0" applyFont="1" applyBorder="1"/>
    <xf numFmtId="0" fontId="42" fillId="0" borderId="19" xfId="0" applyFont="1" applyBorder="1"/>
    <xf numFmtId="0" fontId="64" fillId="26" borderId="15" xfId="0" applyFont="1" applyFill="1" applyBorder="1"/>
    <xf numFmtId="0" fontId="64" fillId="26" borderId="18" xfId="0" applyFont="1" applyFill="1" applyBorder="1" applyAlignment="1">
      <alignment horizontal="center"/>
    </xf>
    <xf numFmtId="0" fontId="64" fillId="26" borderId="20" xfId="0" applyFont="1" applyFill="1" applyBorder="1" applyAlignment="1">
      <alignment horizontal="center"/>
    </xf>
    <xf numFmtId="3" fontId="42" fillId="0" borderId="18" xfId="0" applyNumberFormat="1" applyFont="1" applyFill="1" applyBorder="1"/>
    <xf numFmtId="0" fontId="64" fillId="26" borderId="23" xfId="0" applyFont="1" applyFill="1" applyBorder="1" applyAlignment="1">
      <alignment horizontal="center"/>
    </xf>
    <xf numFmtId="3" fontId="42" fillId="0" borderId="16" xfId="0" applyNumberFormat="1" applyFont="1" applyFill="1" applyBorder="1"/>
    <xf numFmtId="0" fontId="42" fillId="0" borderId="16" xfId="0" applyFont="1" applyBorder="1"/>
    <xf numFmtId="0" fontId="65" fillId="0" borderId="16" xfId="0" applyFont="1" applyFill="1" applyBorder="1"/>
    <xf numFmtId="0" fontId="42" fillId="35" borderId="45" xfId="0" applyFont="1" applyFill="1" applyBorder="1" applyAlignment="1" applyProtection="1">
      <alignment horizontal="center" vertical="top" wrapText="1"/>
      <protection locked="0"/>
    </xf>
    <xf numFmtId="0" fontId="64" fillId="26" borderId="14" xfId="0" applyFont="1" applyFill="1" applyBorder="1"/>
    <xf numFmtId="0" fontId="42" fillId="0" borderId="14" xfId="0" applyFont="1" applyBorder="1"/>
    <xf numFmtId="3" fontId="42" fillId="0" borderId="15" xfId="0" applyNumberFormat="1" applyFont="1" applyFill="1" applyBorder="1"/>
    <xf numFmtId="3" fontId="42" fillId="0" borderId="30" xfId="0" applyNumberFormat="1" applyFont="1" applyFill="1" applyBorder="1"/>
    <xf numFmtId="0" fontId="42" fillId="0" borderId="16" xfId="0" applyFont="1" applyFill="1" applyBorder="1"/>
    <xf numFmtId="3" fontId="42" fillId="0" borderId="18" xfId="0" applyNumberFormat="1" applyFont="1" applyBorder="1"/>
    <xf numFmtId="173" fontId="42" fillId="33" borderId="15" xfId="0" applyNumberFormat="1" applyFont="1" applyFill="1" applyBorder="1" applyProtection="1">
      <protection locked="0"/>
    </xf>
    <xf numFmtId="8" fontId="42" fillId="33" borderId="15" xfId="0" applyNumberFormat="1" applyFont="1" applyFill="1" applyBorder="1" applyProtection="1">
      <protection locked="0"/>
    </xf>
    <xf numFmtId="0" fontId="64" fillId="26" borderId="22" xfId="0" applyFont="1" applyFill="1" applyBorder="1"/>
    <xf numFmtId="0" fontId="64" fillId="26" borderId="24" xfId="0" applyFont="1" applyFill="1" applyBorder="1" applyAlignment="1">
      <alignment horizontal="center"/>
    </xf>
    <xf numFmtId="3" fontId="42" fillId="0" borderId="18" xfId="0" applyNumberFormat="1" applyFont="1" applyFill="1" applyBorder="1" applyProtection="1">
      <protection locked="0"/>
    </xf>
    <xf numFmtId="3" fontId="42" fillId="0" borderId="20" xfId="0" applyNumberFormat="1" applyFont="1" applyFill="1" applyBorder="1" applyProtection="1">
      <protection locked="0"/>
    </xf>
    <xf numFmtId="164" fontId="42" fillId="0" borderId="18" xfId="0" applyNumberFormat="1" applyFont="1" applyBorder="1" applyProtection="1">
      <protection locked="0"/>
    </xf>
    <xf numFmtId="164" fontId="42" fillId="0" borderId="20" xfId="0" applyNumberFormat="1" applyFont="1" applyBorder="1" applyProtection="1">
      <protection locked="0"/>
    </xf>
    <xf numFmtId="10" fontId="42" fillId="0" borderId="18" xfId="0" applyNumberFormat="1" applyFont="1" applyBorder="1" applyProtection="1">
      <protection locked="0"/>
    </xf>
    <xf numFmtId="10" fontId="42" fillId="0" borderId="20" xfId="0" applyNumberFormat="1" applyFont="1" applyBorder="1" applyProtection="1">
      <protection locked="0"/>
    </xf>
    <xf numFmtId="164" fontId="42" fillId="0" borderId="18" xfId="0" applyNumberFormat="1" applyFont="1" applyFill="1" applyBorder="1" applyProtection="1">
      <protection locked="0"/>
    </xf>
    <xf numFmtId="171" fontId="42" fillId="0" borderId="18" xfId="28" applyNumberFormat="1" applyFont="1" applyFill="1" applyBorder="1" applyProtection="1">
      <protection locked="0"/>
    </xf>
    <xf numFmtId="164" fontId="42" fillId="0" borderId="20" xfId="0" applyNumberFormat="1" applyFont="1" applyFill="1" applyBorder="1" applyProtection="1">
      <protection locked="0"/>
    </xf>
    <xf numFmtId="10" fontId="56" fillId="0" borderId="20" xfId="0" applyNumberFormat="1" applyFont="1" applyBorder="1" applyProtection="1">
      <protection locked="0"/>
    </xf>
    <xf numFmtId="43" fontId="42" fillId="0" borderId="0" xfId="0" applyNumberFormat="1" applyFont="1"/>
    <xf numFmtId="3" fontId="42" fillId="33" borderId="10" xfId="0" applyNumberFormat="1" applyFont="1" applyFill="1" applyBorder="1" applyAlignment="1" applyProtection="1">
      <alignment horizontal="center" vertical="center" wrapText="1"/>
      <protection locked="0"/>
    </xf>
    <xf numFmtId="0" fontId="67" fillId="0" borderId="10" xfId="0" applyFont="1" applyFill="1" applyBorder="1"/>
    <xf numFmtId="3" fontId="67" fillId="33" borderId="10" xfId="0" applyNumberFormat="1" applyFont="1" applyFill="1" applyBorder="1" applyAlignment="1" applyProtection="1">
      <alignment horizontal="center" vertical="center" wrapText="1"/>
      <protection locked="0"/>
    </xf>
    <xf numFmtId="0" fontId="68" fillId="0" borderId="56" xfId="0" applyFont="1" applyBorder="1"/>
    <xf numFmtId="0" fontId="60" fillId="29" borderId="0" xfId="0" applyFont="1" applyFill="1" applyAlignment="1" applyProtection="1">
      <alignment wrapText="1"/>
    </xf>
    <xf numFmtId="0" fontId="42" fillId="29" borderId="0" xfId="0" applyFont="1" applyFill="1" applyAlignment="1" applyProtection="1"/>
    <xf numFmtId="0" fontId="42" fillId="29" borderId="0" xfId="0" applyFont="1" applyFill="1" applyAlignment="1" applyProtection="1">
      <alignment horizontal="right" vertical="top" wrapText="1"/>
    </xf>
    <xf numFmtId="0" fontId="42" fillId="29" borderId="26" xfId="0" applyFont="1" applyFill="1" applyBorder="1" applyAlignment="1" applyProtection="1">
      <alignment horizontal="justify" wrapText="1"/>
    </xf>
    <xf numFmtId="0" fontId="42" fillId="29" borderId="27" xfId="0" applyFont="1" applyFill="1" applyBorder="1" applyAlignment="1" applyProtection="1">
      <alignment horizontal="justify" wrapText="1"/>
    </xf>
    <xf numFmtId="0" fontId="42" fillId="29" borderId="26" xfId="0" applyFont="1" applyFill="1" applyBorder="1" applyAlignment="1" applyProtection="1"/>
    <xf numFmtId="0" fontId="42" fillId="29" borderId="27" xfId="0" applyFont="1" applyFill="1" applyBorder="1" applyAlignment="1" applyProtection="1">
      <alignment wrapText="1"/>
    </xf>
    <xf numFmtId="0" fontId="42" fillId="29" borderId="41" xfId="0" applyFont="1" applyFill="1" applyBorder="1" applyAlignment="1" applyProtection="1">
      <alignment wrapText="1"/>
    </xf>
    <xf numFmtId="0" fontId="42" fillId="29" borderId="26" xfId="0" applyFont="1" applyFill="1" applyBorder="1" applyAlignment="1" applyProtection="1">
      <alignment horizontal="left"/>
    </xf>
    <xf numFmtId="0" fontId="69" fillId="29" borderId="27" xfId="0" applyFont="1" applyFill="1" applyBorder="1" applyAlignment="1" applyProtection="1">
      <alignment horizontal="right" vertical="top" wrapText="1"/>
    </xf>
    <xf numFmtId="0" fontId="42" fillId="29" borderId="27" xfId="0" applyFont="1" applyFill="1" applyBorder="1" applyAlignment="1" applyProtection="1">
      <alignment horizontal="right" vertical="top" wrapText="1"/>
    </xf>
    <xf numFmtId="0" fontId="43" fillId="29" borderId="0" xfId="0" applyFont="1" applyFill="1" applyAlignment="1" applyProtection="1"/>
    <xf numFmtId="0" fontId="42" fillId="0" borderId="26" xfId="0" applyFont="1" applyBorder="1" applyProtection="1"/>
    <xf numFmtId="0" fontId="42" fillId="0" borderId="0" xfId="0" applyFont="1" applyAlignment="1"/>
    <xf numFmtId="0" fontId="44" fillId="0" borderId="0" xfId="0" applyFont="1" applyAlignment="1"/>
    <xf numFmtId="0" fontId="44" fillId="0" borderId="34" xfId="0" applyFont="1" applyFill="1" applyBorder="1" applyAlignment="1">
      <alignment horizontal="right" vertical="center"/>
    </xf>
    <xf numFmtId="164" fontId="42" fillId="0" borderId="36" xfId="0" applyNumberFormat="1" applyFont="1" applyFill="1" applyBorder="1" applyAlignment="1">
      <alignment horizontal="right" vertical="center"/>
    </xf>
    <xf numFmtId="0" fontId="42" fillId="0" borderId="0" xfId="0" applyFont="1" applyAlignment="1">
      <alignment vertical="center"/>
    </xf>
    <xf numFmtId="0" fontId="44" fillId="0" borderId="40" xfId="0" applyFont="1" applyFill="1" applyBorder="1" applyAlignment="1">
      <alignment horizontal="right" vertical="center"/>
    </xf>
    <xf numFmtId="174" fontId="42" fillId="0" borderId="41" xfId="59" applyNumberFormat="1" applyFont="1" applyFill="1" applyBorder="1" applyAlignment="1">
      <alignment horizontal="right" vertical="center"/>
    </xf>
    <xf numFmtId="9" fontId="42" fillId="0" borderId="0" xfId="59" applyFont="1" applyAlignment="1">
      <alignment vertical="center"/>
    </xf>
    <xf numFmtId="0" fontId="61" fillId="0" borderId="40" xfId="0" applyFont="1" applyFill="1" applyBorder="1" applyAlignment="1">
      <alignment horizontal="right" vertical="center"/>
    </xf>
    <xf numFmtId="9" fontId="42" fillId="0" borderId="41" xfId="59" applyNumberFormat="1" applyFont="1" applyFill="1" applyBorder="1" applyAlignment="1">
      <alignment horizontal="right" vertical="center"/>
    </xf>
    <xf numFmtId="0" fontId="44" fillId="0" borderId="47" xfId="0" applyFont="1" applyFill="1" applyBorder="1" applyAlignment="1">
      <alignment horizontal="right" vertical="center"/>
    </xf>
    <xf numFmtId="0" fontId="44" fillId="0" borderId="0" xfId="0" applyFont="1" applyFill="1" applyBorder="1" applyAlignment="1">
      <alignment horizontal="right" vertical="center"/>
    </xf>
    <xf numFmtId="164" fontId="42" fillId="0" borderId="0" xfId="0" applyNumberFormat="1" applyFont="1" applyBorder="1" applyAlignment="1">
      <alignment horizontal="right" vertical="center"/>
    </xf>
    <xf numFmtId="0" fontId="43" fillId="0" borderId="0" xfId="0" applyFont="1" applyAlignment="1"/>
    <xf numFmtId="0" fontId="44" fillId="31" borderId="65" xfId="0" applyFont="1" applyFill="1" applyBorder="1" applyAlignment="1">
      <alignment horizontal="right" vertical="center"/>
    </xf>
    <xf numFmtId="0" fontId="44" fillId="0" borderId="0" xfId="0" applyFont="1" applyAlignment="1">
      <alignment horizontal="left"/>
    </xf>
    <xf numFmtId="170" fontId="42" fillId="0" borderId="10" xfId="0" applyNumberFormat="1" applyFont="1" applyFill="1" applyBorder="1" applyAlignment="1">
      <alignment horizontal="center" vertical="center" wrapText="1"/>
    </xf>
    <xf numFmtId="3" fontId="42" fillId="0" borderId="10" xfId="0" applyNumberFormat="1" applyFont="1" applyFill="1" applyBorder="1" applyAlignment="1">
      <alignment horizontal="center" vertical="center" wrapText="1"/>
    </xf>
    <xf numFmtId="3" fontId="42" fillId="0" borderId="10" xfId="0" applyNumberFormat="1" applyFont="1" applyBorder="1" applyAlignment="1">
      <alignment horizontal="center" vertical="center" wrapText="1"/>
    </xf>
    <xf numFmtId="0" fontId="42" fillId="0" borderId="0" xfId="0" applyFont="1" applyBorder="1" applyAlignment="1">
      <alignment horizontal="left" vertical="center" wrapText="1"/>
    </xf>
    <xf numFmtId="167" fontId="42" fillId="0" borderId="0" xfId="0" applyNumberFormat="1" applyFont="1" applyFill="1" applyBorder="1" applyAlignment="1">
      <alignment horizontal="center" vertical="center" wrapText="1"/>
    </xf>
    <xf numFmtId="167" fontId="42" fillId="0" borderId="0" xfId="0" applyNumberFormat="1" applyFont="1" applyBorder="1" applyAlignment="1">
      <alignment horizontal="center" vertical="center" wrapText="1"/>
    </xf>
    <xf numFmtId="9" fontId="42" fillId="0" borderId="0" xfId="0" applyNumberFormat="1" applyFont="1" applyBorder="1" applyAlignment="1">
      <alignment horizontal="center" vertical="center" wrapText="1"/>
    </xf>
    <xf numFmtId="0" fontId="44" fillId="31" borderId="10" xfId="0" applyFont="1" applyFill="1" applyBorder="1" applyAlignment="1">
      <alignment horizontal="left" vertical="top" wrapText="1"/>
    </xf>
    <xf numFmtId="0" fontId="42" fillId="0" borderId="10" xfId="0" applyFont="1" applyBorder="1" applyAlignment="1">
      <alignment horizontal="left" vertical="center" wrapText="1"/>
    </xf>
    <xf numFmtId="170" fontId="42" fillId="0" borderId="10" xfId="0" applyNumberFormat="1" applyFont="1" applyBorder="1" applyAlignment="1">
      <alignment horizontal="center" vertical="center" wrapText="1"/>
    </xf>
    <xf numFmtId="9" fontId="42" fillId="0" borderId="10" xfId="0" applyNumberFormat="1" applyFont="1" applyBorder="1" applyAlignment="1">
      <alignment horizontal="center" vertical="center" wrapText="1"/>
    </xf>
    <xf numFmtId="0" fontId="42" fillId="0" borderId="0" xfId="88" applyFont="1" applyAlignment="1">
      <alignment wrapText="1"/>
    </xf>
    <xf numFmtId="0" fontId="42" fillId="31" borderId="10" xfId="88" applyFont="1" applyFill="1" applyBorder="1" applyAlignment="1">
      <alignment horizontal="center" vertical="top" wrapText="1"/>
    </xf>
    <xf numFmtId="0" fontId="42" fillId="0" borderId="10" xfId="88" applyFont="1" applyFill="1" applyBorder="1" applyAlignment="1">
      <alignment vertical="center" wrapText="1"/>
    </xf>
    <xf numFmtId="9" fontId="42" fillId="33" borderId="10" xfId="59" applyFont="1" applyFill="1" applyBorder="1" applyAlignment="1">
      <alignment horizontal="center" vertical="center" wrapText="1"/>
    </xf>
    <xf numFmtId="0" fontId="44" fillId="0" borderId="10" xfId="88" applyFont="1" applyFill="1" applyBorder="1" applyAlignment="1">
      <alignment horizontal="center" vertical="center" wrapText="1"/>
    </xf>
    <xf numFmtId="3" fontId="44" fillId="0" borderId="10" xfId="88" applyNumberFormat="1" applyFont="1" applyFill="1" applyBorder="1" applyAlignment="1">
      <alignment horizontal="center" vertical="center" wrapText="1"/>
    </xf>
    <xf numFmtId="1" fontId="44" fillId="0" borderId="10" xfId="88" applyNumberFormat="1" applyFont="1" applyFill="1" applyBorder="1" applyAlignment="1">
      <alignment horizontal="center" vertical="center" wrapText="1"/>
    </xf>
    <xf numFmtId="0" fontId="53" fillId="0" borderId="0" xfId="657" applyFont="1" applyFill="1" applyBorder="1" applyProtection="1"/>
    <xf numFmtId="0" fontId="53" fillId="29" borderId="0" xfId="657" applyFont="1" applyFill="1" applyBorder="1" applyProtection="1"/>
    <xf numFmtId="0" fontId="42" fillId="29" borderId="0" xfId="182" applyFont="1" applyFill="1" applyBorder="1" applyAlignment="1" applyProtection="1"/>
    <xf numFmtId="0" fontId="42" fillId="0" borderId="0" xfId="182" applyFont="1" applyFill="1" applyBorder="1" applyAlignment="1" applyProtection="1"/>
    <xf numFmtId="0" fontId="42" fillId="29" borderId="0" xfId="182" applyFont="1" applyFill="1" applyBorder="1" applyAlignment="1" applyProtection="1">
      <alignment wrapText="1"/>
    </xf>
    <xf numFmtId="0" fontId="42" fillId="33" borderId="53" xfId="657" applyFont="1" applyFill="1" applyBorder="1" applyAlignment="1" applyProtection="1">
      <alignment horizontal="center" vertical="center" wrapText="1"/>
    </xf>
    <xf numFmtId="0" fontId="42" fillId="33" borderId="11" xfId="657" applyFont="1" applyFill="1" applyBorder="1" applyAlignment="1" applyProtection="1">
      <alignment horizontal="center" vertical="center" wrapText="1"/>
    </xf>
    <xf numFmtId="181" fontId="42" fillId="35" borderId="56" xfId="88" applyNumberFormat="1" applyFont="1" applyFill="1" applyBorder="1" applyAlignment="1" applyProtection="1">
      <alignment horizontal="center" vertical="center" wrapText="1"/>
      <protection locked="0"/>
    </xf>
    <xf numFmtId="181" fontId="42" fillId="35" borderId="10" xfId="88" applyNumberFormat="1" applyFont="1" applyFill="1" applyBorder="1" applyAlignment="1" applyProtection="1">
      <alignment horizontal="center" vertical="center" wrapText="1"/>
      <protection locked="0"/>
    </xf>
    <xf numFmtId="3" fontId="42" fillId="35" borderId="63" xfId="88" applyNumberFormat="1" applyFont="1" applyFill="1" applyBorder="1" applyAlignment="1" applyProtection="1">
      <alignment horizontal="center" vertical="center" wrapText="1"/>
      <protection locked="0"/>
    </xf>
    <xf numFmtId="3" fontId="42" fillId="35" borderId="61" xfId="88" applyNumberFormat="1" applyFont="1" applyFill="1" applyBorder="1" applyAlignment="1" applyProtection="1">
      <alignment horizontal="center" vertical="center" wrapText="1"/>
      <protection locked="0"/>
    </xf>
    <xf numFmtId="3" fontId="42" fillId="35" borderId="73" xfId="88" applyNumberFormat="1" applyFont="1" applyFill="1" applyBorder="1" applyAlignment="1" applyProtection="1">
      <alignment horizontal="center" vertical="center" wrapText="1"/>
      <protection locked="0"/>
    </xf>
    <xf numFmtId="3" fontId="42" fillId="35" borderId="62" xfId="88" applyNumberFormat="1" applyFont="1" applyFill="1" applyBorder="1" applyAlignment="1" applyProtection="1">
      <alignment horizontal="center" vertical="center" wrapText="1"/>
      <protection locked="0"/>
    </xf>
    <xf numFmtId="0" fontId="42" fillId="35" borderId="10" xfId="0" applyFont="1" applyFill="1" applyBorder="1" applyAlignment="1" applyProtection="1">
      <alignment horizontal="center" vertical="center" wrapText="1"/>
      <protection locked="0"/>
    </xf>
    <xf numFmtId="181" fontId="42" fillId="35" borderId="56" xfId="0" applyNumberFormat="1" applyFont="1" applyFill="1" applyBorder="1" applyAlignment="1" applyProtection="1">
      <alignment horizontal="center" vertical="center" wrapText="1"/>
      <protection locked="0"/>
    </xf>
    <xf numFmtId="0" fontId="42" fillId="35" borderId="10" xfId="0" applyFont="1" applyFill="1" applyBorder="1" applyAlignment="1" applyProtection="1">
      <alignment vertical="center" wrapText="1"/>
      <protection locked="0"/>
    </xf>
    <xf numFmtId="0" fontId="42" fillId="33" borderId="10" xfId="657" applyFont="1" applyFill="1" applyBorder="1" applyAlignment="1" applyProtection="1">
      <alignment horizontal="center" vertical="center" wrapText="1"/>
    </xf>
    <xf numFmtId="0" fontId="53" fillId="0" borderId="0" xfId="657" applyFont="1" applyFill="1" applyBorder="1" applyAlignment="1" applyProtection="1">
      <alignment wrapText="1"/>
    </xf>
    <xf numFmtId="0" fontId="42" fillId="29" borderId="0" xfId="657" applyFont="1" applyFill="1" applyBorder="1" applyAlignment="1" applyProtection="1">
      <alignment horizontal="left" vertical="center"/>
    </xf>
    <xf numFmtId="0" fontId="42" fillId="29" borderId="0" xfId="657" applyFont="1" applyFill="1" applyBorder="1" applyAlignment="1" applyProtection="1">
      <alignment horizontal="center" vertical="center"/>
    </xf>
    <xf numFmtId="0" fontId="42" fillId="31" borderId="10" xfId="657" applyFont="1" applyFill="1" applyBorder="1" applyAlignment="1" applyProtection="1">
      <alignment horizontal="left" wrapText="1"/>
    </xf>
    <xf numFmtId="0" fontId="42" fillId="31" borderId="57" xfId="657" applyFont="1" applyFill="1" applyBorder="1" applyAlignment="1" applyProtection="1">
      <alignment horizontal="center" vertical="center" wrapText="1"/>
    </xf>
    <xf numFmtId="0" fontId="42" fillId="31" borderId="10" xfId="657" applyFont="1" applyFill="1" applyBorder="1" applyAlignment="1" applyProtection="1">
      <alignment horizontal="center" vertical="center" wrapText="1"/>
    </xf>
    <xf numFmtId="0" fontId="42" fillId="40" borderId="11" xfId="182" applyFont="1" applyFill="1" applyBorder="1" applyAlignment="1" applyProtection="1">
      <alignment horizontal="left" vertical="top" wrapText="1"/>
    </xf>
    <xf numFmtId="0" fontId="42" fillId="33" borderId="38" xfId="657" applyFont="1" applyFill="1" applyBorder="1" applyAlignment="1" applyProtection="1">
      <alignment horizontal="center" vertical="center" wrapText="1"/>
    </xf>
    <xf numFmtId="0" fontId="42" fillId="40" borderId="12" xfId="182" applyFont="1" applyFill="1" applyBorder="1" applyAlignment="1" applyProtection="1">
      <alignment horizontal="left" vertical="top" wrapText="1"/>
    </xf>
    <xf numFmtId="0" fontId="59" fillId="40" borderId="0" xfId="657" applyFont="1" applyFill="1" applyBorder="1" applyAlignment="1" applyProtection="1">
      <alignment horizontal="center" vertical="center" wrapText="1"/>
    </xf>
    <xf numFmtId="0" fontId="42" fillId="40" borderId="0" xfId="657" applyFont="1" applyFill="1" applyBorder="1" applyAlignment="1" applyProtection="1">
      <alignment horizontal="center" vertical="center" wrapText="1"/>
    </xf>
    <xf numFmtId="0" fontId="53" fillId="0" borderId="10" xfId="657" applyFont="1" applyFill="1" applyBorder="1" applyProtection="1"/>
    <xf numFmtId="0" fontId="42" fillId="36" borderId="11" xfId="182" applyFont="1" applyFill="1" applyBorder="1" applyAlignment="1" applyProtection="1">
      <alignment horizontal="left" vertical="top" wrapText="1"/>
    </xf>
    <xf numFmtId="0" fontId="42" fillId="36" borderId="12" xfId="182" applyFont="1" applyFill="1" applyBorder="1" applyAlignment="1" applyProtection="1">
      <alignment horizontal="left" vertical="top" wrapText="1"/>
    </xf>
    <xf numFmtId="0" fontId="59" fillId="36" borderId="0" xfId="657" applyFont="1" applyFill="1" applyBorder="1" applyAlignment="1" applyProtection="1">
      <alignment horizontal="center" vertical="center" wrapText="1"/>
    </xf>
    <xf numFmtId="0" fontId="42" fillId="36" borderId="0" xfId="657" applyFont="1" applyFill="1" applyBorder="1" applyAlignment="1" applyProtection="1">
      <alignment horizontal="center" vertical="center" wrapText="1"/>
    </xf>
    <xf numFmtId="0" fontId="42" fillId="33" borderId="10" xfId="657" applyFont="1" applyFill="1" applyBorder="1" applyAlignment="1" applyProtection="1">
      <alignment horizontal="center" vertical="center" wrapText="1"/>
      <protection locked="0"/>
    </xf>
    <xf numFmtId="0" fontId="53" fillId="0" borderId="0" xfId="657" applyFont="1" applyFill="1" applyBorder="1" applyProtection="1">
      <protection locked="0"/>
    </xf>
    <xf numFmtId="0" fontId="71" fillId="0" borderId="0" xfId="657" applyFont="1" applyFill="1" applyBorder="1" applyProtection="1"/>
    <xf numFmtId="0" fontId="53" fillId="0" borderId="0" xfId="657" applyFont="1" applyFill="1" applyBorder="1" applyAlignment="1" applyProtection="1">
      <alignment horizontal="center"/>
    </xf>
    <xf numFmtId="168" fontId="53" fillId="0" borderId="0" xfId="657" applyNumberFormat="1" applyFont="1" applyFill="1" applyBorder="1" applyProtection="1"/>
    <xf numFmtId="168" fontId="53" fillId="0" borderId="0" xfId="657" applyNumberFormat="1" applyFont="1" applyFill="1" applyBorder="1" applyAlignment="1" applyProtection="1">
      <alignment horizontal="center"/>
    </xf>
    <xf numFmtId="0" fontId="42" fillId="0" borderId="0" xfId="657" applyFont="1" applyFill="1" applyBorder="1" applyProtection="1"/>
    <xf numFmtId="3" fontId="42" fillId="35" borderId="71" xfId="88" applyNumberFormat="1" applyFont="1" applyFill="1" applyBorder="1" applyAlignment="1" applyProtection="1">
      <alignment horizontal="center" vertical="center" wrapText="1"/>
      <protection locked="0"/>
    </xf>
    <xf numFmtId="3" fontId="42" fillId="35" borderId="74" xfId="88" applyNumberFormat="1" applyFont="1" applyFill="1" applyBorder="1" applyAlignment="1" applyProtection="1">
      <alignment horizontal="center" vertical="center" wrapText="1"/>
      <protection locked="0"/>
    </xf>
    <xf numFmtId="3" fontId="42" fillId="35" borderId="92" xfId="88" applyNumberFormat="1" applyFont="1" applyFill="1" applyBorder="1" applyAlignment="1" applyProtection="1">
      <alignment horizontal="center" vertical="center" wrapText="1"/>
      <protection locked="0"/>
    </xf>
    <xf numFmtId="0" fontId="42" fillId="35" borderId="93" xfId="0" applyFont="1" applyFill="1" applyBorder="1" applyAlignment="1" applyProtection="1">
      <alignment horizontal="center" vertical="center" wrapText="1"/>
      <protection locked="0"/>
    </xf>
    <xf numFmtId="3" fontId="42" fillId="35" borderId="58" xfId="88" applyNumberFormat="1" applyFont="1" applyFill="1" applyBorder="1" applyAlignment="1" applyProtection="1">
      <alignment horizontal="center" vertical="center" wrapText="1"/>
      <protection locked="0"/>
    </xf>
    <xf numFmtId="3" fontId="42" fillId="35" borderId="93" xfId="88" applyNumberFormat="1" applyFont="1" applyFill="1" applyBorder="1" applyAlignment="1" applyProtection="1">
      <alignment horizontal="center" vertical="center" wrapText="1"/>
      <protection locked="0"/>
    </xf>
    <xf numFmtId="3" fontId="42" fillId="35" borderId="51" xfId="88" applyNumberFormat="1" applyFont="1" applyFill="1" applyBorder="1" applyAlignment="1" applyProtection="1">
      <alignment horizontal="center" vertical="center" wrapText="1"/>
      <protection locked="0"/>
    </xf>
    <xf numFmtId="0" fontId="53" fillId="0" borderId="10" xfId="657" applyFont="1" applyFill="1" applyBorder="1" applyAlignment="1" applyProtection="1">
      <alignment vertical="center" wrapText="1"/>
    </xf>
    <xf numFmtId="0" fontId="42" fillId="33" borderId="11" xfId="182" applyFont="1" applyFill="1" applyBorder="1" applyAlignment="1" applyProtection="1">
      <alignment horizontal="left" vertical="center" wrapText="1"/>
    </xf>
    <xf numFmtId="0" fontId="42" fillId="33" borderId="10" xfId="655" applyNumberFormat="1" applyFont="1" applyFill="1" applyBorder="1" applyAlignment="1" applyProtection="1">
      <alignment horizontal="left" vertical="center" wrapText="1"/>
    </xf>
    <xf numFmtId="0" fontId="42" fillId="33" borderId="10" xfId="182" applyFont="1" applyFill="1" applyBorder="1" applyAlignment="1" applyProtection="1">
      <alignment horizontal="left" vertical="center" wrapText="1"/>
    </xf>
    <xf numFmtId="0" fontId="53" fillId="0" borderId="11" xfId="657" applyFont="1" applyFill="1" applyBorder="1" applyAlignment="1" applyProtection="1">
      <alignment horizontal="left" vertical="center" wrapText="1"/>
    </xf>
    <xf numFmtId="0" fontId="53" fillId="0" borderId="10" xfId="657" applyFont="1" applyFill="1" applyBorder="1" applyAlignment="1" applyProtection="1">
      <alignment horizontal="left" vertical="center" wrapText="1"/>
    </xf>
    <xf numFmtId="0" fontId="53" fillId="0" borderId="11" xfId="657" applyFont="1" applyFill="1" applyBorder="1" applyAlignment="1" applyProtection="1">
      <alignment horizontal="left" vertical="center"/>
    </xf>
    <xf numFmtId="0" fontId="42" fillId="42" borderId="93" xfId="0" applyFont="1" applyFill="1" applyBorder="1" applyAlignment="1" applyProtection="1">
      <alignment vertical="center" wrapText="1"/>
      <protection locked="0"/>
    </xf>
    <xf numFmtId="0" fontId="42" fillId="42" borderId="95" xfId="0" applyFont="1" applyFill="1" applyBorder="1" applyAlignment="1" applyProtection="1">
      <alignment vertical="center" wrapText="1"/>
      <protection locked="0"/>
    </xf>
    <xf numFmtId="0" fontId="42" fillId="42" borderId="38" xfId="0" applyFont="1" applyFill="1" applyBorder="1" applyAlignment="1" applyProtection="1">
      <alignment vertical="center" wrapText="1"/>
      <protection locked="0"/>
    </xf>
    <xf numFmtId="0" fontId="42" fillId="42" borderId="58" xfId="0" applyFont="1" applyFill="1" applyBorder="1" applyAlignment="1" applyProtection="1">
      <alignment vertical="center" wrapText="1"/>
      <protection locked="0"/>
    </xf>
    <xf numFmtId="0" fontId="42" fillId="31" borderId="92" xfId="657" applyFont="1" applyFill="1" applyBorder="1" applyAlignment="1" applyProtection="1">
      <alignment horizontal="left" wrapText="1"/>
    </xf>
    <xf numFmtId="0" fontId="42" fillId="40" borderId="96" xfId="182" applyFont="1" applyFill="1" applyBorder="1" applyAlignment="1" applyProtection="1">
      <alignment horizontal="left" vertical="top" wrapText="1"/>
    </xf>
    <xf numFmtId="0" fontId="42" fillId="33" borderId="91" xfId="657" applyFont="1" applyFill="1" applyBorder="1" applyAlignment="1" applyProtection="1">
      <alignment horizontal="center" vertical="center" wrapText="1"/>
    </xf>
    <xf numFmtId="0" fontId="42" fillId="36" borderId="96" xfId="182" applyFont="1" applyFill="1" applyBorder="1" applyAlignment="1" applyProtection="1">
      <alignment horizontal="left" vertical="top" wrapText="1"/>
    </xf>
    <xf numFmtId="0" fontId="42" fillId="33" borderId="92" xfId="657" applyFont="1" applyFill="1" applyBorder="1" applyAlignment="1" applyProtection="1">
      <alignment horizontal="center" vertical="center" wrapText="1"/>
    </xf>
    <xf numFmtId="182" fontId="42" fillId="33" borderId="56" xfId="88" applyNumberFormat="1" applyFont="1" applyFill="1" applyBorder="1" applyAlignment="1" applyProtection="1">
      <alignment horizontal="center" vertical="center" wrapText="1"/>
    </xf>
    <xf numFmtId="182" fontId="42" fillId="33" borderId="56" xfId="0" applyNumberFormat="1" applyFont="1" applyFill="1" applyBorder="1" applyAlignment="1" applyProtection="1">
      <alignment horizontal="center" vertical="center" wrapText="1"/>
    </xf>
    <xf numFmtId="184" fontId="42" fillId="33" borderId="10" xfId="0" applyNumberFormat="1" applyFont="1" applyFill="1" applyBorder="1" applyAlignment="1" applyProtection="1">
      <alignment horizontal="center" vertical="center" wrapText="1"/>
    </xf>
    <xf numFmtId="181" fontId="42" fillId="33" borderId="10" xfId="0" applyNumberFormat="1" applyFont="1" applyFill="1" applyBorder="1" applyAlignment="1" applyProtection="1">
      <alignment horizontal="center" vertical="center" wrapText="1"/>
    </xf>
    <xf numFmtId="170" fontId="42" fillId="33" borderId="61" xfId="0" applyNumberFormat="1" applyFont="1" applyFill="1" applyBorder="1" applyAlignment="1" applyProtection="1">
      <alignment horizontal="center" vertical="center" wrapText="1"/>
      <protection locked="0"/>
    </xf>
    <xf numFmtId="0" fontId="42" fillId="42" borderId="108" xfId="0" applyFont="1" applyFill="1" applyBorder="1" applyAlignment="1" applyProtection="1">
      <alignment horizontal="center" vertical="center" wrapText="1"/>
      <protection locked="0"/>
    </xf>
    <xf numFmtId="3" fontId="42" fillId="42" borderId="109" xfId="88" applyNumberFormat="1" applyFont="1" applyFill="1" applyBorder="1" applyAlignment="1" applyProtection="1">
      <alignment horizontal="center" vertical="center" wrapText="1"/>
      <protection locked="0"/>
    </xf>
    <xf numFmtId="0" fontId="42" fillId="42" borderId="101" xfId="0" applyFont="1" applyFill="1" applyBorder="1" applyAlignment="1" applyProtection="1">
      <alignment vertical="center" wrapText="1"/>
      <protection locked="0"/>
    </xf>
    <xf numFmtId="3" fontId="42" fillId="42" borderId="106" xfId="88" applyNumberFormat="1" applyFont="1" applyFill="1" applyBorder="1" applyAlignment="1" applyProtection="1">
      <alignment horizontal="center" vertical="center" wrapText="1"/>
      <protection locked="0"/>
    </xf>
    <xf numFmtId="0" fontId="42" fillId="42" borderId="107" xfId="0" applyFont="1" applyFill="1" applyBorder="1" applyAlignment="1" applyProtection="1">
      <alignment vertical="center" wrapText="1"/>
      <protection locked="0"/>
    </xf>
    <xf numFmtId="3" fontId="42" fillId="42" borderId="111" xfId="88" applyNumberFormat="1" applyFont="1" applyFill="1" applyBorder="1" applyAlignment="1" applyProtection="1">
      <alignment horizontal="center" vertical="center" wrapText="1"/>
      <protection locked="0"/>
    </xf>
    <xf numFmtId="3" fontId="42" fillId="42" borderId="102" xfId="88" applyNumberFormat="1" applyFont="1" applyFill="1" applyBorder="1" applyAlignment="1" applyProtection="1">
      <alignment horizontal="center" vertical="center" wrapText="1"/>
      <protection locked="0"/>
    </xf>
    <xf numFmtId="3" fontId="42" fillId="42" borderId="107" xfId="88" applyNumberFormat="1" applyFont="1" applyFill="1" applyBorder="1" applyAlignment="1" applyProtection="1">
      <alignment horizontal="center" vertical="center" wrapText="1"/>
      <protection locked="0"/>
    </xf>
    <xf numFmtId="0" fontId="42" fillId="42" borderId="0" xfId="0" applyFont="1" applyFill="1" applyBorder="1" applyAlignment="1" applyProtection="1">
      <alignment vertical="center" wrapText="1"/>
      <protection locked="0"/>
    </xf>
    <xf numFmtId="3" fontId="42" fillId="42" borderId="100" xfId="88" applyNumberFormat="1" applyFont="1" applyFill="1" applyBorder="1" applyAlignment="1" applyProtection="1">
      <alignment horizontal="center" vertical="center" wrapText="1"/>
      <protection locked="0"/>
    </xf>
    <xf numFmtId="0" fontId="42" fillId="42" borderId="105" xfId="0" applyFont="1" applyFill="1" applyBorder="1" applyAlignment="1" applyProtection="1">
      <alignment vertical="center" wrapText="1"/>
      <protection locked="0"/>
    </xf>
    <xf numFmtId="0" fontId="42" fillId="40" borderId="108" xfId="182" applyFont="1" applyFill="1" applyBorder="1" applyAlignment="1" applyProtection="1">
      <alignment horizontal="left" vertical="top" wrapText="1"/>
    </xf>
    <xf numFmtId="0" fontId="42" fillId="40" borderId="109" xfId="182" applyFont="1" applyFill="1" applyBorder="1" applyAlignment="1" applyProtection="1">
      <alignment horizontal="left" vertical="top" wrapText="1"/>
    </xf>
    <xf numFmtId="0" fontId="59" fillId="40" borderId="109" xfId="657" applyFont="1" applyFill="1" applyBorder="1" applyAlignment="1" applyProtection="1">
      <alignment horizontal="center" vertical="center" wrapText="1"/>
    </xf>
    <xf numFmtId="0" fontId="42" fillId="40" borderId="109" xfId="657" applyFont="1" applyFill="1" applyBorder="1" applyAlignment="1" applyProtection="1">
      <alignment horizontal="center" vertical="center" wrapText="1"/>
    </xf>
    <xf numFmtId="0" fontId="59" fillId="40" borderId="110" xfId="657" applyFont="1" applyFill="1" applyBorder="1" applyAlignment="1" applyProtection="1">
      <alignment horizontal="center" vertical="center" wrapText="1"/>
    </xf>
    <xf numFmtId="0" fontId="42" fillId="33" borderId="111" xfId="657" applyFont="1" applyFill="1" applyBorder="1" applyAlignment="1" applyProtection="1">
      <alignment horizontal="center" vertical="center" wrapText="1"/>
    </xf>
    <xf numFmtId="0" fontId="53" fillId="0" borderId="111" xfId="657" applyFont="1" applyFill="1" applyBorder="1" applyAlignment="1" applyProtection="1">
      <alignment horizontal="left" vertical="center" wrapText="1"/>
    </xf>
    <xf numFmtId="0" fontId="53" fillId="0" borderId="38" xfId="657" applyFont="1" applyFill="1" applyBorder="1" applyAlignment="1" applyProtection="1">
      <alignment horizontal="left" vertical="center" wrapText="1"/>
    </xf>
    <xf numFmtId="0" fontId="42" fillId="40" borderId="110" xfId="657" applyFont="1" applyFill="1" applyBorder="1" applyAlignment="1" applyProtection="1">
      <alignment horizontal="center" vertical="center" wrapText="1"/>
    </xf>
    <xf numFmtId="0" fontId="53" fillId="0" borderId="110" xfId="657" applyFont="1" applyFill="1" applyBorder="1" applyAlignment="1" applyProtection="1">
      <alignment vertical="center" wrapText="1"/>
    </xf>
    <xf numFmtId="0" fontId="42" fillId="35" borderId="90" xfId="0" applyNumberFormat="1" applyFont="1" applyFill="1" applyBorder="1" applyAlignment="1" applyProtection="1">
      <alignment horizontal="center" vertical="center" wrapText="1"/>
      <protection locked="0"/>
    </xf>
    <xf numFmtId="3" fontId="53" fillId="0" borderId="10" xfId="657" applyNumberFormat="1" applyFont="1" applyFill="1" applyBorder="1" applyProtection="1"/>
    <xf numFmtId="0" fontId="53" fillId="0" borderId="10" xfId="657" applyFont="1" applyFill="1" applyBorder="1" applyAlignment="1" applyProtection="1">
      <alignment wrapText="1"/>
    </xf>
    <xf numFmtId="0" fontId="53" fillId="29" borderId="0" xfId="657" applyFont="1" applyFill="1" applyBorder="1" applyAlignment="1" applyProtection="1">
      <alignment wrapText="1"/>
    </xf>
    <xf numFmtId="0" fontId="53" fillId="0" borderId="0" xfId="657" applyFont="1" applyFill="1" applyBorder="1" applyAlignment="1" applyProtection="1">
      <alignment wrapText="1"/>
      <protection locked="0"/>
    </xf>
    <xf numFmtId="0" fontId="53" fillId="0" borderId="104" xfId="657" applyFont="1" applyFill="1" applyBorder="1" applyAlignment="1" applyProtection="1">
      <alignment wrapText="1"/>
    </xf>
    <xf numFmtId="0" fontId="42" fillId="33" borderId="104" xfId="657" applyFont="1" applyFill="1" applyBorder="1" applyAlignment="1" applyProtection="1">
      <alignment horizontal="center" vertical="center" wrapText="1"/>
    </xf>
    <xf numFmtId="0" fontId="42" fillId="33" borderId="108" xfId="657" applyFont="1" applyFill="1" applyBorder="1" applyAlignment="1" applyProtection="1">
      <alignment horizontal="center" vertical="center" wrapText="1"/>
    </xf>
    <xf numFmtId="0" fontId="53" fillId="33" borderId="10" xfId="657" applyFont="1" applyFill="1" applyBorder="1" applyAlignment="1" applyProtection="1">
      <alignment vertical="center" wrapText="1"/>
    </xf>
    <xf numFmtId="183" fontId="42" fillId="35" borderId="38" xfId="0" applyNumberFormat="1" applyFont="1" applyFill="1" applyBorder="1" applyAlignment="1" applyProtection="1">
      <alignment horizontal="center" vertical="center" wrapText="1"/>
      <protection locked="0"/>
    </xf>
    <xf numFmtId="0" fontId="42" fillId="29" borderId="51" xfId="182" applyFont="1" applyFill="1" applyBorder="1" applyAlignment="1" applyProtection="1"/>
    <xf numFmtId="0" fontId="42" fillId="33" borderId="85" xfId="657" applyFont="1" applyFill="1" applyBorder="1" applyAlignment="1" applyProtection="1">
      <alignment horizontal="left" vertical="top" wrapText="1"/>
      <protection locked="0"/>
    </xf>
    <xf numFmtId="0" fontId="42" fillId="33" borderId="85" xfId="182" applyFont="1" applyFill="1" applyBorder="1" applyAlignment="1" applyProtection="1">
      <alignment horizontal="left" vertical="center" wrapText="1"/>
      <protection locked="0"/>
    </xf>
    <xf numFmtId="0" fontId="53" fillId="0" borderId="110" xfId="657" applyFont="1" applyFill="1" applyBorder="1" applyAlignment="1" applyProtection="1">
      <alignment horizontal="left" vertical="center" wrapText="1"/>
    </xf>
    <xf numFmtId="0" fontId="42" fillId="33" borderId="11" xfId="657" applyFont="1" applyFill="1" applyBorder="1" applyAlignment="1" applyProtection="1">
      <alignment horizontal="left" vertical="center" wrapText="1"/>
    </xf>
    <xf numFmtId="0" fontId="42" fillId="33" borderId="0" xfId="657" applyFont="1" applyFill="1" applyBorder="1" applyAlignment="1" applyProtection="1">
      <alignment horizontal="center" vertical="center"/>
    </xf>
    <xf numFmtId="3" fontId="42" fillId="33" borderId="85" xfId="182" applyNumberFormat="1" applyFont="1" applyFill="1" applyBorder="1" applyAlignment="1" applyProtection="1">
      <alignment horizontal="center" vertical="center" wrapText="1"/>
      <protection locked="0"/>
    </xf>
    <xf numFmtId="0" fontId="42" fillId="33" borderId="0" xfId="657" applyFont="1" applyFill="1" applyBorder="1" applyAlignment="1" applyProtection="1">
      <alignment horizontal="center" vertical="center" wrapText="1"/>
    </xf>
    <xf numFmtId="0" fontId="42" fillId="33" borderId="90" xfId="657" applyFont="1" applyFill="1" applyBorder="1" applyAlignment="1" applyProtection="1">
      <alignment horizontal="center" vertical="center" wrapText="1"/>
    </xf>
    <xf numFmtId="0" fontId="53" fillId="0" borderId="90" xfId="657" applyFont="1" applyFill="1" applyBorder="1" applyAlignment="1" applyProtection="1">
      <alignment horizontal="left" vertical="center" wrapText="1"/>
    </xf>
    <xf numFmtId="0" fontId="42" fillId="33" borderId="106" xfId="657" applyFont="1" applyFill="1" applyBorder="1" applyAlignment="1" applyProtection="1">
      <alignment horizontal="center" vertical="center" wrapText="1"/>
    </xf>
    <xf numFmtId="0" fontId="42" fillId="33" borderId="86" xfId="182" applyFont="1" applyFill="1" applyBorder="1" applyAlignment="1" applyProtection="1">
      <alignment horizontal="left" vertical="top" wrapText="1"/>
      <protection locked="0"/>
    </xf>
    <xf numFmtId="0" fontId="42" fillId="33" borderId="87" xfId="182" applyFont="1" applyFill="1" applyBorder="1" applyAlignment="1" applyProtection="1">
      <alignment horizontal="center" vertical="center" wrapText="1"/>
      <protection locked="0"/>
    </xf>
    <xf numFmtId="0" fontId="42" fillId="33" borderId="10" xfId="182" applyFont="1" applyFill="1" applyBorder="1" applyAlignment="1" applyProtection="1">
      <alignment horizontal="left" vertical="top" wrapText="1"/>
      <protection locked="0"/>
    </xf>
    <xf numFmtId="0" fontId="42" fillId="33" borderId="10" xfId="657" applyFont="1" applyFill="1" applyBorder="1" applyAlignment="1" applyProtection="1">
      <alignment horizontal="left" vertical="center" wrapText="1"/>
    </xf>
    <xf numFmtId="0" fontId="42" fillId="40" borderId="107" xfId="182" applyFont="1" applyFill="1" applyBorder="1" applyAlignment="1" applyProtection="1">
      <alignment horizontal="left" vertical="top" wrapText="1"/>
    </xf>
    <xf numFmtId="0" fontId="42" fillId="40" borderId="54" xfId="182" applyFont="1" applyFill="1" applyBorder="1" applyAlignment="1" applyProtection="1">
      <alignment horizontal="left" vertical="top" wrapText="1"/>
    </xf>
    <xf numFmtId="0" fontId="42" fillId="33" borderId="115" xfId="657" applyFont="1" applyFill="1" applyBorder="1" applyAlignment="1" applyProtection="1">
      <alignment horizontal="left" vertical="center" wrapText="1"/>
    </xf>
    <xf numFmtId="0" fontId="42" fillId="33" borderId="115" xfId="182" applyFont="1" applyFill="1" applyBorder="1" applyAlignment="1" applyProtection="1">
      <alignment horizontal="left" vertical="top" wrapText="1"/>
      <protection locked="0"/>
    </xf>
    <xf numFmtId="0" fontId="42" fillId="33" borderId="115" xfId="657" applyFont="1" applyFill="1" applyBorder="1" applyAlignment="1" applyProtection="1">
      <alignment horizontal="left" vertical="top" wrapText="1"/>
      <protection locked="0"/>
    </xf>
    <xf numFmtId="0" fontId="42" fillId="33" borderId="115" xfId="657" applyFont="1" applyFill="1" applyBorder="1" applyAlignment="1" applyProtection="1">
      <alignment horizontal="left" vertical="center" wrapText="1"/>
      <protection locked="0"/>
    </xf>
    <xf numFmtId="0" fontId="42" fillId="33" borderId="115" xfId="182" applyFont="1" applyFill="1" applyBorder="1" applyAlignment="1" applyProtection="1">
      <alignment horizontal="left" vertical="center" wrapText="1"/>
      <protection locked="0"/>
    </xf>
    <xf numFmtId="0" fontId="42" fillId="33" borderId="115" xfId="182" applyFont="1" applyFill="1" applyBorder="1" applyAlignment="1" applyProtection="1">
      <alignment vertical="center" wrapText="1"/>
      <protection locked="0"/>
    </xf>
    <xf numFmtId="0" fontId="42" fillId="33" borderId="10" xfId="657" applyFont="1" applyFill="1" applyBorder="1" applyAlignment="1" applyProtection="1">
      <alignment horizontal="left" vertical="center" wrapText="1"/>
      <protection locked="0"/>
    </xf>
    <xf numFmtId="0" fontId="53" fillId="0" borderId="51" xfId="657" applyFont="1" applyFill="1" applyBorder="1" applyProtection="1"/>
    <xf numFmtId="3" fontId="53" fillId="0" borderId="51" xfId="657" applyNumberFormat="1" applyFont="1" applyFill="1" applyBorder="1" applyProtection="1"/>
    <xf numFmtId="0" fontId="53" fillId="0" borderId="51" xfId="657" applyFont="1" applyFill="1" applyBorder="1" applyAlignment="1" applyProtection="1">
      <alignment wrapText="1"/>
    </xf>
    <xf numFmtId="0" fontId="53" fillId="0" borderId="51" xfId="657" applyFont="1" applyFill="1" applyBorder="1" applyAlignment="1" applyProtection="1">
      <alignment vertical="center" wrapText="1"/>
    </xf>
    <xf numFmtId="0" fontId="53" fillId="0" borderId="0" xfId="657" applyFont="1" applyFill="1" applyBorder="1" applyAlignment="1" applyProtection="1">
      <alignment vertical="center" wrapText="1"/>
    </xf>
    <xf numFmtId="3" fontId="53" fillId="0" borderId="10" xfId="657" applyNumberFormat="1" applyFont="1" applyFill="1" applyBorder="1" applyAlignment="1" applyProtection="1">
      <alignment vertical="center" wrapText="1"/>
    </xf>
    <xf numFmtId="3" fontId="53" fillId="0" borderId="110" xfId="657" applyNumberFormat="1" applyFont="1" applyFill="1" applyBorder="1" applyAlignment="1" applyProtection="1">
      <alignment vertical="center" wrapText="1"/>
    </xf>
    <xf numFmtId="0" fontId="42" fillId="33" borderId="0" xfId="182" applyFont="1" applyFill="1" applyBorder="1" applyAlignment="1" applyProtection="1">
      <alignment horizontal="left" vertical="center" wrapText="1"/>
      <protection locked="0"/>
    </xf>
    <xf numFmtId="0" fontId="42" fillId="33" borderId="86" xfId="182" applyFont="1" applyFill="1" applyBorder="1" applyAlignment="1" applyProtection="1">
      <alignment horizontal="left" vertical="center" wrapText="1"/>
      <protection locked="0"/>
    </xf>
    <xf numFmtId="0" fontId="42" fillId="33" borderId="10" xfId="182" applyFont="1" applyFill="1" applyBorder="1" applyAlignment="1" applyProtection="1">
      <alignment horizontal="left" vertical="center" wrapText="1"/>
      <protection locked="0"/>
    </xf>
    <xf numFmtId="0" fontId="42" fillId="33" borderId="10" xfId="656" applyFont="1" applyFill="1" applyBorder="1" applyAlignment="1" applyProtection="1">
      <alignment horizontal="left" vertical="center" wrapText="1"/>
      <protection locked="0"/>
    </xf>
    <xf numFmtId="0" fontId="42" fillId="0" borderId="10" xfId="657" applyFont="1" applyFill="1" applyBorder="1" applyAlignment="1" applyProtection="1">
      <alignment horizontal="center" vertical="center"/>
    </xf>
    <xf numFmtId="0" fontId="42" fillId="33" borderId="88" xfId="656" applyFont="1" applyFill="1" applyBorder="1" applyAlignment="1" applyProtection="1">
      <alignment horizontal="left" vertical="center" wrapText="1"/>
      <protection locked="0"/>
    </xf>
    <xf numFmtId="0" fontId="42" fillId="33" borderId="11" xfId="656" applyFont="1" applyFill="1" applyBorder="1" applyAlignment="1" applyProtection="1">
      <alignment horizontal="left" vertical="center" wrapText="1"/>
      <protection locked="0"/>
    </xf>
    <xf numFmtId="3" fontId="42" fillId="42" borderId="0" xfId="88" applyNumberFormat="1" applyFont="1" applyFill="1" applyBorder="1" applyAlignment="1" applyProtection="1">
      <alignment horizontal="center" vertical="center" wrapText="1"/>
      <protection locked="0"/>
    </xf>
    <xf numFmtId="0" fontId="42" fillId="42" borderId="91" xfId="0" applyFont="1" applyFill="1" applyBorder="1" applyAlignment="1" applyProtection="1">
      <alignment horizontal="center" vertical="center" wrapText="1"/>
      <protection locked="0"/>
    </xf>
    <xf numFmtId="0" fontId="6" fillId="0" borderId="0" xfId="0" applyFont="1"/>
    <xf numFmtId="44" fontId="42" fillId="33" borderId="18" xfId="660" applyFont="1" applyFill="1" applyBorder="1" applyProtection="1">
      <protection locked="0"/>
    </xf>
    <xf numFmtId="0" fontId="6" fillId="0" borderId="0" xfId="0" applyFont="1" applyAlignment="1">
      <alignment wrapText="1"/>
    </xf>
    <xf numFmtId="0" fontId="42" fillId="0" borderId="0" xfId="88" applyFont="1" applyFill="1" applyBorder="1" applyAlignment="1">
      <alignment horizontal="center" vertical="top" wrapText="1"/>
    </xf>
    <xf numFmtId="9" fontId="42" fillId="0" borderId="0" xfId="59" applyFont="1" applyFill="1" applyBorder="1" applyAlignment="1">
      <alignment horizontal="center" vertical="center" wrapText="1"/>
    </xf>
    <xf numFmtId="0" fontId="42" fillId="0" borderId="0" xfId="0" applyFont="1" applyAlignment="1"/>
    <xf numFmtId="1" fontId="42" fillId="0" borderId="10" xfId="88" applyNumberFormat="1" applyFont="1" applyFill="1" applyBorder="1" applyAlignment="1">
      <alignment horizontal="center" vertical="center" wrapText="1"/>
    </xf>
    <xf numFmtId="0" fontId="44" fillId="31" borderId="10" xfId="88" applyFont="1" applyFill="1" applyBorder="1" applyAlignment="1">
      <alignment horizontal="center" vertical="top" wrapText="1"/>
    </xf>
    <xf numFmtId="0" fontId="42" fillId="0" borderId="10" xfId="88" applyFont="1" applyFill="1" applyBorder="1" applyAlignment="1">
      <alignment horizontal="center" vertical="center" wrapText="1"/>
    </xf>
    <xf numFmtId="3" fontId="42" fillId="0" borderId="10" xfId="88" applyNumberFormat="1" applyFont="1" applyFill="1" applyBorder="1" applyAlignment="1">
      <alignment horizontal="center" vertical="center" wrapText="1"/>
    </xf>
    <xf numFmtId="3" fontId="42" fillId="35" borderId="10" xfId="0" applyNumberFormat="1" applyFont="1" applyFill="1" applyBorder="1" applyProtection="1">
      <protection locked="0"/>
    </xf>
    <xf numFmtId="0" fontId="53" fillId="0" borderId="100" xfId="657" applyFont="1" applyFill="1" applyBorder="1" applyAlignment="1" applyProtection="1">
      <alignment vertical="center" wrapText="1"/>
    </xf>
    <xf numFmtId="0" fontId="42" fillId="29" borderId="17" xfId="0" applyFont="1" applyFill="1" applyBorder="1" applyAlignment="1" applyProtection="1"/>
    <xf numFmtId="0" fontId="42" fillId="29" borderId="21" xfId="0" applyFont="1" applyFill="1" applyBorder="1" applyAlignment="1" applyProtection="1">
      <alignment wrapText="1"/>
    </xf>
    <xf numFmtId="0" fontId="53" fillId="31" borderId="10" xfId="44" applyFont="1" applyFill="1" applyBorder="1" applyAlignment="1" applyProtection="1">
      <alignment horizontal="center"/>
    </xf>
    <xf numFmtId="0" fontId="53" fillId="0" borderId="0" xfId="44" applyFont="1" applyProtection="1"/>
    <xf numFmtId="0" fontId="42" fillId="0" borderId="0" xfId="0" applyFont="1" applyProtection="1"/>
    <xf numFmtId="0" fontId="59" fillId="0" borderId="0" xfId="0" applyFont="1" applyAlignment="1" applyProtection="1">
      <alignment horizontal="left"/>
    </xf>
    <xf numFmtId="0" fontId="42" fillId="0" borderId="0" xfId="0" applyFont="1" applyAlignment="1" applyProtection="1">
      <alignment horizontal="center"/>
    </xf>
    <xf numFmtId="0" fontId="42" fillId="31" borderId="10" xfId="0" applyFont="1" applyFill="1" applyBorder="1" applyAlignment="1" applyProtection="1">
      <alignment horizontal="center"/>
    </xf>
    <xf numFmtId="0" fontId="42" fillId="35" borderId="0" xfId="0" applyFont="1" applyFill="1" applyProtection="1"/>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79" fillId="0" borderId="0" xfId="0" applyFont="1" applyFill="1" applyBorder="1" applyAlignment="1" applyProtection="1">
      <alignment horizontal="center"/>
    </xf>
    <xf numFmtId="0" fontId="42" fillId="0" borderId="0" xfId="0" applyFont="1" applyBorder="1" applyProtection="1"/>
    <xf numFmtId="0" fontId="42" fillId="31" borderId="10" xfId="0" applyFont="1" applyFill="1" applyBorder="1" applyAlignment="1" applyProtection="1">
      <alignment horizontal="center" vertical="center" wrapText="1"/>
    </xf>
    <xf numFmtId="0" fontId="42" fillId="35" borderId="10" xfId="0" applyFont="1" applyFill="1" applyBorder="1" applyAlignment="1" applyProtection="1">
      <alignment horizontal="left"/>
      <protection locked="0"/>
    </xf>
    <xf numFmtId="0" fontId="42" fillId="0" borderId="10" xfId="0" applyFont="1" applyBorder="1" applyAlignment="1" applyProtection="1">
      <alignment horizontal="center"/>
    </xf>
    <xf numFmtId="0" fontId="42" fillId="0" borderId="10" xfId="0" applyFont="1" applyBorder="1" applyAlignment="1" applyProtection="1">
      <alignment horizontal="center" vertical="center" wrapText="1"/>
    </xf>
    <xf numFmtId="2" fontId="42" fillId="48" borderId="10" xfId="0" applyNumberFormat="1" applyFont="1" applyFill="1" applyBorder="1" applyAlignment="1" applyProtection="1">
      <alignment horizontal="center" vertical="center" wrapText="1"/>
    </xf>
    <xf numFmtId="0" fontId="42" fillId="48" borderId="10" xfId="0" applyFont="1" applyFill="1" applyBorder="1" applyAlignment="1" applyProtection="1">
      <alignment horizontal="center" vertical="center"/>
    </xf>
    <xf numFmtId="1" fontId="42" fillId="0" borderId="10" xfId="0" applyNumberFormat="1" applyFont="1" applyBorder="1" applyAlignment="1" applyProtection="1">
      <alignment horizontal="center"/>
    </xf>
    <xf numFmtId="0" fontId="42" fillId="33" borderId="0" xfId="0" applyFont="1" applyFill="1" applyBorder="1" applyProtection="1">
      <protection locked="0"/>
    </xf>
    <xf numFmtId="0" fontId="42" fillId="35" borderId="0" xfId="0" applyFont="1" applyFill="1" applyAlignment="1" applyProtection="1">
      <alignment horizontal="left"/>
      <protection locked="0"/>
    </xf>
    <xf numFmtId="0" fontId="42" fillId="0" borderId="0" xfId="0" applyFont="1" applyAlignment="1" applyProtection="1">
      <alignment horizontal="left"/>
    </xf>
    <xf numFmtId="0" fontId="42" fillId="33" borderId="0" xfId="0" applyFont="1" applyFill="1" applyProtection="1"/>
    <xf numFmtId="0" fontId="42" fillId="0" borderId="0" xfId="0" applyFont="1" applyFill="1" applyProtection="1"/>
    <xf numFmtId="0" fontId="42" fillId="24" borderId="0" xfId="0" applyFont="1" applyFill="1" applyProtection="1"/>
    <xf numFmtId="0" fontId="42" fillId="39" borderId="0" xfId="0" applyFont="1" applyFill="1" applyProtection="1"/>
    <xf numFmtId="0" fontId="57" fillId="33" borderId="0" xfId="0" applyFont="1" applyFill="1" applyProtection="1"/>
    <xf numFmtId="0" fontId="44" fillId="31" borderId="121" xfId="0" applyFont="1" applyFill="1" applyBorder="1" applyAlignment="1" applyProtection="1">
      <alignment horizontal="center" wrapText="1"/>
    </xf>
    <xf numFmtId="0" fontId="42" fillId="35" borderId="10" xfId="0" applyFont="1" applyFill="1" applyBorder="1" applyProtection="1">
      <protection locked="0"/>
    </xf>
    <xf numFmtId="167" fontId="42" fillId="35" borderId="10" xfId="0" applyNumberFormat="1" applyFont="1" applyFill="1" applyBorder="1" applyProtection="1">
      <protection locked="0"/>
    </xf>
    <xf numFmtId="167" fontId="42" fillId="0" borderId="10" xfId="0" applyNumberFormat="1" applyFont="1" applyFill="1" applyBorder="1" applyProtection="1"/>
    <xf numFmtId="167" fontId="42" fillId="0" borderId="10" xfId="0" applyNumberFormat="1" applyFont="1" applyFill="1" applyBorder="1" applyAlignment="1" applyProtection="1">
      <alignment horizontal="center"/>
    </xf>
    <xf numFmtId="0" fontId="42" fillId="50" borderId="0" xfId="0" applyFont="1" applyFill="1" applyProtection="1"/>
    <xf numFmtId="0" fontId="42" fillId="0" borderId="27" xfId="0" applyFont="1" applyBorder="1" applyProtection="1"/>
    <xf numFmtId="0" fontId="42" fillId="0" borderId="26" xfId="0" applyFont="1" applyBorder="1" applyAlignment="1" applyProtection="1">
      <alignment horizontal="right"/>
    </xf>
    <xf numFmtId="0" fontId="44" fillId="0" borderId="14" xfId="0" applyFont="1" applyBorder="1" applyAlignment="1" applyProtection="1">
      <alignment horizontal="center"/>
    </xf>
    <xf numFmtId="0" fontId="42" fillId="0" borderId="25" xfId="0" applyFont="1" applyBorder="1" applyProtection="1"/>
    <xf numFmtId="0" fontId="42" fillId="0" borderId="0" xfId="0" applyFont="1" applyAlignment="1" applyProtection="1">
      <alignment horizontal="right"/>
    </xf>
    <xf numFmtId="0" fontId="57" fillId="0" borderId="0" xfId="0" applyFont="1" applyAlignment="1" applyProtection="1">
      <alignment horizontal="right"/>
    </xf>
    <xf numFmtId="0" fontId="67" fillId="0" borderId="10" xfId="0" applyFont="1" applyBorder="1"/>
    <xf numFmtId="0" fontId="0" fillId="0" borderId="0" xfId="0" applyFont="1" applyFill="1" applyBorder="1" applyProtection="1"/>
    <xf numFmtId="0" fontId="6" fillId="0" borderId="0" xfId="0" applyFont="1" applyProtection="1"/>
    <xf numFmtId="0" fontId="0" fillId="0" borderId="0" xfId="0" applyFill="1" applyBorder="1" applyProtection="1"/>
    <xf numFmtId="0" fontId="8" fillId="0" borderId="0" xfId="0" applyFont="1" applyFill="1" applyBorder="1" applyProtection="1"/>
    <xf numFmtId="0" fontId="0" fillId="0" borderId="0" xfId="0" applyProtection="1"/>
    <xf numFmtId="0" fontId="6" fillId="0" borderId="0" xfId="0" applyFont="1" applyFill="1" applyBorder="1" applyProtection="1"/>
    <xf numFmtId="1" fontId="39" fillId="27" borderId="0" xfId="54" applyNumberFormat="1" applyFont="1" applyFill="1" applyBorder="1" applyAlignment="1" applyProtection="1">
      <alignment horizontal="center"/>
    </xf>
    <xf numFmtId="0" fontId="0" fillId="0" borderId="0" xfId="0" applyFont="1"/>
    <xf numFmtId="0" fontId="6" fillId="25" borderId="10" xfId="0" applyFont="1" applyFill="1" applyBorder="1" applyProtection="1"/>
    <xf numFmtId="0" fontId="6" fillId="0" borderId="10" xfId="0" applyFont="1" applyFill="1" applyBorder="1" applyProtection="1"/>
    <xf numFmtId="1" fontId="6" fillId="0" borderId="10" xfId="0" applyNumberFormat="1" applyFont="1" applyFill="1" applyBorder="1" applyAlignment="1" applyProtection="1">
      <alignment wrapText="1"/>
    </xf>
    <xf numFmtId="0" fontId="0" fillId="0" borderId="10" xfId="0" applyFill="1" applyBorder="1" applyAlignment="1" applyProtection="1">
      <alignment horizontal="left" wrapText="1"/>
    </xf>
    <xf numFmtId="0" fontId="0" fillId="0" borderId="10" xfId="0" applyFill="1" applyBorder="1" applyAlignment="1" applyProtection="1">
      <alignment horizontal="left"/>
    </xf>
    <xf numFmtId="0" fontId="6" fillId="0" borderId="10" xfId="0" applyFont="1" applyFill="1" applyBorder="1" applyAlignment="1" applyProtection="1">
      <alignment wrapText="1"/>
    </xf>
    <xf numFmtId="0" fontId="6" fillId="0" borderId="10" xfId="0" applyFont="1" applyBorder="1" applyAlignment="1" applyProtection="1">
      <alignment horizontal="center" wrapText="1"/>
    </xf>
    <xf numFmtId="0" fontId="6" fillId="31" borderId="10" xfId="0" applyFont="1" applyFill="1" applyBorder="1" applyAlignment="1" applyProtection="1">
      <alignment horizontal="center" wrapText="1"/>
    </xf>
    <xf numFmtId="0" fontId="6" fillId="0" borderId="10" xfId="0" applyFont="1" applyBorder="1" applyAlignment="1" applyProtection="1">
      <alignment wrapText="1"/>
    </xf>
    <xf numFmtId="166" fontId="6" fillId="0" borderId="10" xfId="0" applyNumberFormat="1" applyFont="1" applyFill="1" applyBorder="1" applyAlignment="1" applyProtection="1">
      <alignment wrapText="1"/>
    </xf>
    <xf numFmtId="0" fontId="0" fillId="0" borderId="10" xfId="0" applyFill="1" applyBorder="1" applyAlignment="1" applyProtection="1">
      <alignment horizontal="right"/>
    </xf>
    <xf numFmtId="0" fontId="6" fillId="0" borderId="10" xfId="0" applyFont="1" applyFill="1" applyBorder="1" applyAlignment="1" applyProtection="1">
      <alignment horizontal="center"/>
    </xf>
    <xf numFmtId="0" fontId="0" fillId="0" borderId="10" xfId="0" applyBorder="1" applyAlignment="1" applyProtection="1">
      <alignment horizontal="center"/>
    </xf>
    <xf numFmtId="0" fontId="0" fillId="31" borderId="10" xfId="0" applyFill="1" applyBorder="1" applyAlignment="1" applyProtection="1">
      <alignment horizontal="center"/>
    </xf>
    <xf numFmtId="0" fontId="0" fillId="0" borderId="10" xfId="0" applyBorder="1" applyAlignment="1" applyProtection="1">
      <alignment horizontal="right"/>
    </xf>
    <xf numFmtId="0" fontId="6" fillId="0" borderId="10" xfId="0" applyFont="1" applyBorder="1" applyAlignment="1" applyProtection="1">
      <alignment horizontal="center"/>
    </xf>
    <xf numFmtId="0" fontId="6" fillId="31" borderId="10" xfId="0" applyFont="1" applyFill="1" applyBorder="1" applyAlignment="1" applyProtection="1">
      <alignment horizontal="center"/>
    </xf>
    <xf numFmtId="0" fontId="6" fillId="0" borderId="10" xfId="0" applyFont="1" applyFill="1" applyBorder="1" applyAlignment="1" applyProtection="1">
      <alignment horizontal="right"/>
    </xf>
    <xf numFmtId="2" fontId="0" fillId="0" borderId="10" xfId="0" applyNumberFormat="1" applyBorder="1" applyAlignment="1" applyProtection="1">
      <alignment horizontal="center"/>
    </xf>
    <xf numFmtId="2" fontId="6" fillId="0" borderId="10" xfId="0" applyNumberFormat="1" applyFont="1" applyBorder="1" applyAlignment="1" applyProtection="1">
      <alignment horizontal="center"/>
    </xf>
    <xf numFmtId="0" fontId="6" fillId="0" borderId="10" xfId="0" applyFont="1" applyBorder="1" applyAlignment="1" applyProtection="1">
      <alignment horizontal="right"/>
    </xf>
    <xf numFmtId="166" fontId="6" fillId="0" borderId="10" xfId="0" applyNumberFormat="1" applyFont="1" applyFill="1" applyBorder="1" applyProtection="1"/>
    <xf numFmtId="0" fontId="0" fillId="0" borderId="10" xfId="0" applyFill="1" applyBorder="1" applyProtection="1"/>
    <xf numFmtId="0" fontId="35" fillId="25" borderId="111" xfId="45" applyFont="1" applyFill="1" applyBorder="1" applyAlignment="1">
      <alignment horizontal="center"/>
    </xf>
    <xf numFmtId="0" fontId="34" fillId="25" borderId="11" xfId="45" applyFill="1" applyBorder="1" applyAlignment="1">
      <alignment horizontal="center"/>
    </xf>
    <xf numFmtId="0" fontId="34" fillId="25" borderId="131" xfId="45" applyFill="1" applyBorder="1" applyAlignment="1">
      <alignment horizontal="center"/>
    </xf>
    <xf numFmtId="0" fontId="35" fillId="25" borderId="114" xfId="45" applyFont="1" applyFill="1" applyBorder="1" applyAlignment="1">
      <alignment horizontal="center"/>
    </xf>
    <xf numFmtId="0" fontId="35" fillId="25" borderId="36" xfId="45" applyFont="1" applyFill="1" applyBorder="1" applyAlignment="1">
      <alignment horizontal="center"/>
    </xf>
    <xf numFmtId="0" fontId="34" fillId="25" borderId="37" xfId="45" applyFont="1" applyFill="1" applyBorder="1" applyAlignment="1">
      <alignment horizontal="left"/>
    </xf>
    <xf numFmtId="0" fontId="34" fillId="25" borderId="114" xfId="45" applyFill="1" applyBorder="1" applyAlignment="1">
      <alignment horizontal="center"/>
    </xf>
    <xf numFmtId="0" fontId="34" fillId="25" borderId="111" xfId="45" applyFill="1" applyBorder="1" applyAlignment="1">
      <alignment horizontal="center"/>
    </xf>
    <xf numFmtId="0" fontId="34" fillId="25" borderId="39" xfId="45" applyFont="1" applyFill="1" applyBorder="1" applyAlignment="1">
      <alignment horizontal="center"/>
    </xf>
    <xf numFmtId="0" fontId="34" fillId="25" borderId="132" xfId="45" applyFill="1" applyBorder="1"/>
    <xf numFmtId="0" fontId="34" fillId="25" borderId="133" xfId="45" applyFill="1" applyBorder="1" applyAlignment="1">
      <alignment horizontal="center"/>
    </xf>
    <xf numFmtId="0" fontId="34" fillId="25" borderId="134" xfId="45" applyFill="1" applyBorder="1" applyAlignment="1">
      <alignment horizontal="center"/>
    </xf>
    <xf numFmtId="0" fontId="34" fillId="25" borderId="135" xfId="45" applyFill="1" applyBorder="1" applyAlignment="1">
      <alignment horizontal="center"/>
    </xf>
    <xf numFmtId="0" fontId="34" fillId="25" borderId="136" xfId="45" applyFill="1" applyBorder="1"/>
    <xf numFmtId="0" fontId="34" fillId="25" borderId="137" xfId="45" applyFill="1" applyBorder="1" applyAlignment="1">
      <alignment horizontal="center"/>
    </xf>
    <xf numFmtId="0" fontId="34" fillId="25" borderId="138" xfId="45" applyFill="1" applyBorder="1" applyAlignment="1">
      <alignment horizontal="center"/>
    </xf>
    <xf numFmtId="0" fontId="34" fillId="25" borderId="139" xfId="45" applyFill="1" applyBorder="1" applyAlignment="1">
      <alignment horizontal="center"/>
    </xf>
    <xf numFmtId="0" fontId="86" fillId="0" borderId="0" xfId="0" applyFont="1" applyProtection="1"/>
    <xf numFmtId="0" fontId="42" fillId="33" borderId="0" xfId="0" applyFont="1" applyFill="1" applyAlignment="1" applyProtection="1">
      <protection locked="0"/>
    </xf>
    <xf numFmtId="0" fontId="86" fillId="33" borderId="0" xfId="0" applyFont="1" applyFill="1" applyProtection="1"/>
    <xf numFmtId="0" fontId="75" fillId="0" borderId="0" xfId="0" applyFont="1" applyProtection="1"/>
    <xf numFmtId="0" fontId="74" fillId="0" borderId="0" xfId="0" applyFont="1" applyProtection="1"/>
    <xf numFmtId="0" fontId="78" fillId="33" borderId="0" xfId="0" applyFont="1" applyFill="1" applyProtection="1"/>
    <xf numFmtId="0" fontId="42" fillId="31" borderId="10" xfId="0" applyFont="1" applyFill="1" applyBorder="1" applyProtection="1"/>
    <xf numFmtId="0" fontId="42" fillId="0" borderId="11" xfId="0" applyFont="1" applyFill="1" applyBorder="1" applyProtection="1"/>
    <xf numFmtId="0" fontId="79" fillId="0" borderId="0" xfId="0" applyFont="1" applyProtection="1"/>
    <xf numFmtId="166" fontId="42" fillId="0" borderId="10" xfId="0" applyNumberFormat="1" applyFont="1" applyBorder="1" applyAlignment="1" applyProtection="1">
      <alignment horizontal="center"/>
    </xf>
    <xf numFmtId="8" fontId="42" fillId="35" borderId="10" xfId="0" applyNumberFormat="1" applyFont="1" applyFill="1" applyBorder="1" applyAlignment="1" applyProtection="1">
      <alignment horizontal="center"/>
      <protection locked="0"/>
    </xf>
    <xf numFmtId="0" fontId="42" fillId="33" borderId="10" xfId="0" applyFont="1" applyFill="1" applyBorder="1" applyAlignment="1" applyProtection="1">
      <alignment horizontal="center"/>
      <protection locked="0"/>
    </xf>
    <xf numFmtId="0" fontId="43" fillId="0" borderId="0" xfId="0" applyFont="1" applyProtection="1">
      <protection locked="0"/>
    </xf>
    <xf numFmtId="0" fontId="42" fillId="0" borderId="0" xfId="0" applyFont="1" applyProtection="1">
      <protection locked="0"/>
    </xf>
    <xf numFmtId="0" fontId="42" fillId="0" borderId="10" xfId="0" applyFont="1" applyBorder="1" applyProtection="1">
      <protection locked="0"/>
    </xf>
    <xf numFmtId="0" fontId="57" fillId="0" borderId="0" xfId="0" applyFont="1" applyFill="1" applyBorder="1" applyAlignment="1" applyProtection="1">
      <alignment horizontal="center" vertical="center" wrapText="1"/>
      <protection locked="0"/>
    </xf>
    <xf numFmtId="0" fontId="57" fillId="0" borderId="0" xfId="0" applyFont="1" applyAlignment="1" applyProtection="1">
      <alignment horizontal="center"/>
      <protection locked="0"/>
    </xf>
    <xf numFmtId="0" fontId="44" fillId="0" borderId="0" xfId="0" applyFont="1" applyFill="1" applyBorder="1" applyAlignment="1" applyProtection="1">
      <alignment horizontal="center" vertical="center" wrapText="1"/>
      <protection locked="0"/>
    </xf>
    <xf numFmtId="0" fontId="42" fillId="0" borderId="0" xfId="0" applyFont="1" applyBorder="1" applyProtection="1">
      <protection locked="0"/>
    </xf>
    <xf numFmtId="0" fontId="42" fillId="0" borderId="10" xfId="0" applyFont="1" applyFill="1" applyBorder="1" applyProtection="1">
      <protection locked="0"/>
    </xf>
    <xf numFmtId="3" fontId="42" fillId="0" borderId="0" xfId="0" applyNumberFormat="1" applyFont="1" applyFill="1" applyBorder="1" applyAlignment="1" applyProtection="1">
      <alignment vertical="center"/>
      <protection locked="0"/>
    </xf>
    <xf numFmtId="3" fontId="44" fillId="0" borderId="0" xfId="0" applyNumberFormat="1" applyFont="1" applyFill="1" applyBorder="1" applyAlignment="1" applyProtection="1">
      <alignment wrapText="1"/>
      <protection locked="0"/>
    </xf>
    <xf numFmtId="14" fontId="42" fillId="35" borderId="10" xfId="0" applyNumberFormat="1" applyFont="1" applyFill="1" applyBorder="1" applyAlignment="1" applyProtection="1">
      <alignment horizontal="center" wrapText="1"/>
      <protection locked="0"/>
    </xf>
    <xf numFmtId="14" fontId="42" fillId="35" borderId="10" xfId="0" applyNumberFormat="1" applyFont="1" applyFill="1" applyBorder="1" applyAlignment="1" applyProtection="1">
      <alignment horizontal="center"/>
      <protection locked="0"/>
    </xf>
    <xf numFmtId="0" fontId="62" fillId="35" borderId="10" xfId="38" applyFont="1" applyFill="1" applyBorder="1" applyAlignment="1" applyProtection="1">
      <alignment horizontal="center" vertical="center" wrapText="1"/>
      <protection locked="0"/>
    </xf>
    <xf numFmtId="0" fontId="42" fillId="35" borderId="128" xfId="0" applyFont="1" applyFill="1" applyBorder="1" applyProtection="1">
      <protection locked="0"/>
    </xf>
    <xf numFmtId="0" fontId="42" fillId="35" borderId="130" xfId="0" applyFont="1" applyFill="1" applyBorder="1" applyProtection="1">
      <protection locked="0"/>
    </xf>
    <xf numFmtId="0" fontId="42" fillId="35" borderId="129" xfId="0" applyFont="1" applyFill="1" applyBorder="1" applyProtection="1">
      <protection locked="0"/>
    </xf>
    <xf numFmtId="0" fontId="42" fillId="35" borderId="51" xfId="0" applyFont="1" applyFill="1" applyBorder="1" applyProtection="1">
      <protection locked="0"/>
    </xf>
    <xf numFmtId="0" fontId="42" fillId="35" borderId="0" xfId="0" applyFont="1" applyFill="1" applyBorder="1" applyProtection="1">
      <protection locked="0"/>
    </xf>
    <xf numFmtId="0" fontId="42" fillId="35" borderId="101" xfId="0" applyFont="1" applyFill="1" applyBorder="1" applyProtection="1">
      <protection locked="0"/>
    </xf>
    <xf numFmtId="0" fontId="42" fillId="35" borderId="100" xfId="0" applyFont="1" applyFill="1" applyBorder="1" applyProtection="1">
      <protection locked="0"/>
    </xf>
    <xf numFmtId="0" fontId="42" fillId="35" borderId="53" xfId="0" applyFont="1" applyFill="1" applyBorder="1" applyProtection="1">
      <protection locked="0"/>
    </xf>
    <xf numFmtId="0" fontId="42" fillId="35" borderId="54" xfId="0" applyFont="1" applyFill="1" applyBorder="1" applyProtection="1">
      <protection locked="0"/>
    </xf>
    <xf numFmtId="0" fontId="42" fillId="35" borderId="55" xfId="0" applyFont="1" applyFill="1" applyBorder="1" applyProtection="1">
      <protection locked="0"/>
    </xf>
    <xf numFmtId="0" fontId="57" fillId="0" borderId="0" xfId="0" applyFont="1" applyFill="1" applyBorder="1" applyAlignment="1" applyProtection="1">
      <alignment horizontal="left" vertical="center"/>
    </xf>
    <xf numFmtId="3" fontId="57" fillId="0" borderId="0" xfId="0" applyNumberFormat="1" applyFont="1" applyFill="1" applyBorder="1" applyAlignment="1" applyProtection="1">
      <alignment vertical="center"/>
    </xf>
    <xf numFmtId="0" fontId="57" fillId="0" borderId="0" xfId="0" applyFont="1" applyFill="1" applyBorder="1" applyAlignment="1" applyProtection="1">
      <alignment horizontal="center" vertical="center" wrapText="1"/>
    </xf>
    <xf numFmtId="0" fontId="43" fillId="0" borderId="0" xfId="0" applyFont="1" applyProtection="1"/>
    <xf numFmtId="0" fontId="44" fillId="31" borderId="10" xfId="0" applyFont="1" applyFill="1" applyBorder="1" applyProtection="1"/>
    <xf numFmtId="0" fontId="42" fillId="0" borderId="10" xfId="0" applyFont="1" applyBorder="1" applyProtection="1"/>
    <xf numFmtId="0" fontId="42" fillId="0" borderId="10" xfId="0" applyFont="1" applyFill="1" applyBorder="1" applyProtection="1"/>
    <xf numFmtId="3" fontId="42" fillId="0" borderId="10" xfId="0" applyNumberFormat="1" applyFont="1" applyFill="1" applyBorder="1" applyAlignment="1" applyProtection="1">
      <alignment horizontal="center" wrapText="1"/>
    </xf>
    <xf numFmtId="0" fontId="42" fillId="33" borderId="10" xfId="0" applyFont="1" applyFill="1" applyBorder="1" applyProtection="1"/>
    <xf numFmtId="0" fontId="44" fillId="31" borderId="10" xfId="0" applyFont="1" applyFill="1" applyBorder="1" applyAlignment="1" applyProtection="1">
      <alignment horizontal="left"/>
    </xf>
    <xf numFmtId="0" fontId="42" fillId="0" borderId="10" xfId="0" applyFont="1" applyFill="1" applyBorder="1" applyAlignment="1" applyProtection="1">
      <alignment vertical="center" wrapText="1"/>
    </xf>
    <xf numFmtId="0" fontId="42" fillId="0" borderId="10" xfId="0" applyFont="1" applyFill="1" applyBorder="1" applyAlignment="1" applyProtection="1">
      <alignment wrapText="1"/>
    </xf>
    <xf numFmtId="0" fontId="44" fillId="31" borderId="10" xfId="0" applyFont="1" applyFill="1" applyBorder="1" applyAlignment="1" applyProtection="1">
      <alignment horizontal="center"/>
    </xf>
    <xf numFmtId="0" fontId="42" fillId="0" borderId="10" xfId="0" applyFont="1" applyFill="1" applyBorder="1" applyAlignment="1" applyProtection="1">
      <alignment horizontal="center" vertical="center" wrapText="1"/>
    </xf>
    <xf numFmtId="0" fontId="44" fillId="31" borderId="10" xfId="0" applyFont="1" applyFill="1" applyBorder="1" applyAlignment="1" applyProtection="1">
      <alignment horizontal="center" vertical="top" wrapText="1"/>
    </xf>
    <xf numFmtId="0" fontId="42" fillId="0" borderId="0" xfId="0" applyFont="1" applyAlignment="1" applyProtection="1">
      <alignment wrapText="1"/>
      <protection locked="0"/>
    </xf>
    <xf numFmtId="0" fontId="42" fillId="33" borderId="0" xfId="182" applyFont="1" applyFill="1" applyBorder="1" applyProtection="1">
      <protection locked="0"/>
    </xf>
    <xf numFmtId="0" fontId="42" fillId="0" borderId="0" xfId="0" applyFont="1" applyAlignment="1" applyProtection="1">
      <alignment horizontal="center" vertical="center" wrapText="1"/>
      <protection locked="0"/>
    </xf>
    <xf numFmtId="0" fontId="44" fillId="0" borderId="0" xfId="0" applyFont="1" applyFill="1" applyBorder="1" applyAlignment="1" applyProtection="1">
      <alignment horizontal="center" wrapText="1"/>
      <protection locked="0"/>
    </xf>
    <xf numFmtId="3" fontId="42" fillId="33" borderId="10" xfId="88" applyNumberFormat="1" applyFont="1" applyFill="1" applyBorder="1" applyAlignment="1" applyProtection="1">
      <alignment horizontal="center" vertical="center" wrapText="1"/>
      <protection locked="0"/>
    </xf>
    <xf numFmtId="3" fontId="42" fillId="35" borderId="10" xfId="88" applyNumberFormat="1" applyFont="1" applyFill="1" applyBorder="1" applyAlignment="1" applyProtection="1">
      <alignment horizontal="center" vertical="center" wrapText="1"/>
      <protection locked="0"/>
    </xf>
    <xf numFmtId="3" fontId="42" fillId="0" borderId="0" xfId="88" applyNumberFormat="1" applyFont="1" applyFill="1" applyBorder="1" applyAlignment="1" applyProtection="1">
      <alignment horizontal="center" vertical="center" wrapText="1"/>
      <protection locked="0"/>
    </xf>
    <xf numFmtId="188" fontId="42" fillId="35" borderId="10" xfId="88" applyNumberFormat="1" applyFont="1" applyFill="1" applyBorder="1" applyAlignment="1" applyProtection="1">
      <alignment horizontal="center" vertical="center" wrapText="1"/>
      <protection locked="0"/>
    </xf>
    <xf numFmtId="189" fontId="42" fillId="35" borderId="90" xfId="88" applyNumberFormat="1" applyFont="1" applyFill="1" applyBorder="1" applyAlignment="1" applyProtection="1">
      <alignment horizontal="center" vertical="center" wrapText="1"/>
      <protection locked="0"/>
    </xf>
    <xf numFmtId="188" fontId="42" fillId="35" borderId="90" xfId="88" applyNumberFormat="1" applyFont="1" applyFill="1" applyBorder="1" applyAlignment="1" applyProtection="1">
      <alignment horizontal="center" vertical="center" wrapText="1"/>
      <protection locked="0"/>
    </xf>
    <xf numFmtId="189" fontId="42" fillId="35" borderId="10" xfId="88" applyNumberFormat="1" applyFont="1" applyFill="1" applyBorder="1" applyAlignment="1" applyProtection="1">
      <alignment horizontal="center" vertical="center" wrapText="1"/>
      <protection locked="0"/>
    </xf>
    <xf numFmtId="3" fontId="42" fillId="35" borderId="90" xfId="88" applyNumberFormat="1" applyFont="1" applyFill="1" applyBorder="1" applyAlignment="1" applyProtection="1">
      <alignment horizontal="center" vertical="center" wrapText="1"/>
      <protection locked="0"/>
    </xf>
    <xf numFmtId="190" fontId="42" fillId="35" borderId="10" xfId="88" applyNumberFormat="1" applyFont="1" applyFill="1" applyBorder="1" applyAlignment="1" applyProtection="1">
      <alignment horizontal="center" vertical="center" wrapText="1"/>
      <protection locked="0"/>
    </xf>
    <xf numFmtId="190" fontId="42" fillId="35" borderId="90" xfId="88" applyNumberFormat="1" applyFont="1" applyFill="1" applyBorder="1" applyAlignment="1" applyProtection="1">
      <alignment horizontal="center" vertical="center" wrapText="1"/>
      <protection locked="0"/>
    </xf>
    <xf numFmtId="190" fontId="42" fillId="33" borderId="104" xfId="88" applyNumberFormat="1" applyFont="1" applyFill="1" applyBorder="1" applyAlignment="1" applyProtection="1">
      <alignment horizontal="center" vertical="center" wrapText="1"/>
      <protection locked="0"/>
    </xf>
    <xf numFmtId="190" fontId="42" fillId="33" borderId="105" xfId="88" applyNumberFormat="1" applyFont="1" applyFill="1" applyBorder="1" applyAlignment="1" applyProtection="1">
      <alignment horizontal="center" vertical="center" wrapText="1"/>
      <protection locked="0"/>
    </xf>
    <xf numFmtId="9" fontId="42" fillId="35" borderId="10" xfId="48" applyFont="1" applyFill="1" applyBorder="1" applyAlignment="1" applyProtection="1">
      <alignment horizontal="center" vertical="center" wrapText="1"/>
      <protection locked="0"/>
    </xf>
    <xf numFmtId="9" fontId="42" fillId="0" borderId="0" xfId="48" applyFont="1" applyFill="1" applyBorder="1" applyAlignment="1" applyProtection="1">
      <alignment horizontal="center" vertical="center" wrapText="1"/>
      <protection locked="0"/>
    </xf>
    <xf numFmtId="191" fontId="42" fillId="35" borderId="10" xfId="88" applyNumberFormat="1" applyFont="1" applyFill="1" applyBorder="1" applyAlignment="1" applyProtection="1">
      <alignment horizontal="center" vertical="center" wrapText="1"/>
      <protection locked="0"/>
    </xf>
    <xf numFmtId="0" fontId="42" fillId="35" borderId="90" xfId="0" applyFont="1" applyFill="1" applyBorder="1" applyAlignment="1" applyProtection="1">
      <alignment horizontal="center" vertical="center" wrapText="1"/>
      <protection locked="0"/>
    </xf>
    <xf numFmtId="0" fontId="42" fillId="0" borderId="0" xfId="0" applyFont="1" applyFill="1" applyBorder="1" applyAlignment="1" applyProtection="1">
      <alignment wrapText="1"/>
      <protection locked="0"/>
    </xf>
    <xf numFmtId="3" fontId="42" fillId="33" borderId="94" xfId="88" applyNumberFormat="1" applyFont="1" applyFill="1" applyBorder="1" applyAlignment="1" applyProtection="1">
      <alignment horizontal="center" vertical="center" wrapText="1"/>
      <protection locked="0"/>
    </xf>
    <xf numFmtId="0" fontId="42" fillId="0" borderId="0" xfId="0" applyFont="1" applyFill="1" applyAlignment="1" applyProtection="1">
      <alignment wrapText="1"/>
      <protection locked="0"/>
    </xf>
    <xf numFmtId="2" fontId="42" fillId="0" borderId="0" xfId="0" applyNumberFormat="1" applyFont="1" applyFill="1" applyBorder="1" applyAlignment="1" applyProtection="1">
      <alignment horizontal="center" wrapText="1"/>
      <protection locked="0"/>
    </xf>
    <xf numFmtId="0" fontId="42" fillId="35" borderId="11" xfId="657" applyFont="1" applyFill="1" applyBorder="1" applyAlignment="1" applyProtection="1">
      <alignment horizontal="center" vertical="center" wrapText="1"/>
      <protection locked="0"/>
    </xf>
    <xf numFmtId="0" fontId="42" fillId="35" borderId="104" xfId="657" applyFont="1" applyFill="1" applyBorder="1" applyAlignment="1" applyProtection="1">
      <alignment horizontal="center" vertical="center" wrapText="1"/>
      <protection locked="0"/>
    </xf>
    <xf numFmtId="0" fontId="42" fillId="35" borderId="104" xfId="0" applyNumberFormat="1" applyFont="1" applyFill="1" applyBorder="1" applyAlignment="1" applyProtection="1">
      <alignment horizontal="center" vertical="center" wrapText="1"/>
      <protection locked="0"/>
    </xf>
    <xf numFmtId="183" fontId="42" fillId="35" borderId="104" xfId="88" applyNumberFormat="1" applyFont="1" applyFill="1" applyBorder="1" applyAlignment="1" applyProtection="1">
      <alignment horizontal="center" vertical="center" wrapText="1"/>
      <protection locked="0"/>
    </xf>
    <xf numFmtId="1" fontId="42" fillId="0" borderId="0" xfId="0" applyNumberFormat="1" applyFont="1" applyFill="1" applyBorder="1" applyAlignment="1" applyProtection="1">
      <alignment horizontal="center" wrapText="1"/>
      <protection locked="0"/>
    </xf>
    <xf numFmtId="0" fontId="42" fillId="35" borderId="53" xfId="0" applyFont="1" applyFill="1" applyBorder="1" applyAlignment="1" applyProtection="1">
      <alignment horizontal="center" vertical="center" wrapText="1"/>
      <protection locked="0"/>
    </xf>
    <xf numFmtId="0" fontId="42" fillId="42" borderId="116" xfId="0" applyFont="1" applyFill="1" applyBorder="1" applyAlignment="1" applyProtection="1">
      <alignment horizontal="center" vertical="center" wrapText="1"/>
      <protection locked="0"/>
    </xf>
    <xf numFmtId="0" fontId="42" fillId="0" borderId="0" xfId="0" applyFont="1" applyAlignment="1" applyProtection="1">
      <alignment vertical="center" wrapText="1"/>
      <protection locked="0"/>
    </xf>
    <xf numFmtId="0" fontId="57" fillId="0" borderId="0" xfId="0" applyFont="1" applyAlignment="1" applyProtection="1">
      <alignment horizontal="center" vertical="center" wrapText="1"/>
      <protection locked="0"/>
    </xf>
    <xf numFmtId="3" fontId="42" fillId="35" borderId="104" xfId="88" applyNumberFormat="1" applyFont="1" applyFill="1" applyBorder="1" applyAlignment="1" applyProtection="1">
      <alignment horizontal="center" vertical="center" wrapText="1"/>
      <protection locked="0"/>
    </xf>
    <xf numFmtId="0" fontId="42" fillId="42" borderId="98" xfId="0" applyFont="1" applyFill="1" applyBorder="1" applyAlignment="1" applyProtection="1">
      <alignment horizontal="center" vertical="center" wrapText="1"/>
      <protection locked="0"/>
    </xf>
    <xf numFmtId="0" fontId="42" fillId="42" borderId="0" xfId="0" applyFont="1" applyFill="1" applyBorder="1" applyAlignment="1" applyProtection="1">
      <alignment horizontal="center" vertical="center" wrapText="1"/>
      <protection locked="0"/>
    </xf>
    <xf numFmtId="0" fontId="42" fillId="42" borderId="101" xfId="0" applyFont="1" applyFill="1" applyBorder="1" applyAlignment="1" applyProtection="1">
      <alignment horizontal="center" vertical="center" wrapText="1"/>
      <protection locked="0"/>
    </xf>
    <xf numFmtId="0" fontId="42" fillId="35" borderId="10" xfId="0" applyFont="1" applyFill="1" applyBorder="1" applyAlignment="1" applyProtection="1">
      <alignment wrapText="1"/>
      <protection locked="0"/>
    </xf>
    <xf numFmtId="0" fontId="42" fillId="35" borderId="10" xfId="88" applyNumberFormat="1" applyFont="1" applyFill="1" applyBorder="1" applyAlignment="1" applyProtection="1">
      <alignment horizontal="center" vertical="center" wrapText="1"/>
      <protection locked="0"/>
    </xf>
    <xf numFmtId="0" fontId="42" fillId="42" borderId="100" xfId="0" applyFont="1" applyFill="1" applyBorder="1" applyAlignment="1" applyProtection="1">
      <alignment horizontal="center" vertical="center" wrapText="1"/>
      <protection locked="0"/>
    </xf>
    <xf numFmtId="198" fontId="42" fillId="35" borderId="10" xfId="88" applyNumberFormat="1" applyFont="1" applyFill="1" applyBorder="1" applyAlignment="1" applyProtection="1">
      <alignment horizontal="center" vertical="center" wrapText="1"/>
      <protection locked="0"/>
    </xf>
    <xf numFmtId="0" fontId="42" fillId="42" borderId="102" xfId="0" applyFont="1" applyFill="1" applyBorder="1" applyAlignment="1" applyProtection="1">
      <alignment horizontal="center" vertical="center" wrapText="1"/>
      <protection locked="0"/>
    </xf>
    <xf numFmtId="0" fontId="42" fillId="42" borderId="103" xfId="0" applyFont="1" applyFill="1" applyBorder="1" applyAlignment="1" applyProtection="1">
      <alignment horizontal="center" vertical="center" wrapText="1"/>
      <protection locked="0"/>
    </xf>
    <xf numFmtId="3" fontId="42" fillId="35" borderId="103" xfId="88" applyNumberFormat="1" applyFont="1" applyFill="1" applyBorder="1" applyAlignment="1" applyProtection="1">
      <alignment horizontal="center" vertical="center" wrapText="1"/>
      <protection locked="0"/>
    </xf>
    <xf numFmtId="3" fontId="42" fillId="35" borderId="38" xfId="88" applyNumberFormat="1" applyFont="1" applyFill="1" applyBorder="1" applyAlignment="1" applyProtection="1">
      <alignment horizontal="center" vertical="center" wrapText="1"/>
      <protection locked="0"/>
    </xf>
    <xf numFmtId="0" fontId="42" fillId="42" borderId="97" xfId="0" applyFont="1" applyFill="1" applyBorder="1" applyAlignment="1" applyProtection="1">
      <alignment horizontal="center" vertical="center" wrapText="1"/>
      <protection locked="0"/>
    </xf>
    <xf numFmtId="0" fontId="42" fillId="42" borderId="99" xfId="0" applyFont="1" applyFill="1" applyBorder="1" applyAlignment="1" applyProtection="1">
      <alignment horizontal="center" vertical="center" wrapText="1"/>
      <protection locked="0"/>
    </xf>
    <xf numFmtId="3" fontId="42" fillId="35" borderId="13" xfId="88" applyNumberFormat="1" applyFont="1" applyFill="1" applyBorder="1" applyAlignment="1" applyProtection="1">
      <alignment horizontal="center" vertical="center" wrapText="1"/>
      <protection locked="0"/>
    </xf>
    <xf numFmtId="3" fontId="42" fillId="35" borderId="112" xfId="88" applyNumberFormat="1" applyFont="1" applyFill="1" applyBorder="1" applyAlignment="1" applyProtection="1">
      <alignment horizontal="center" vertical="center" wrapText="1"/>
      <protection locked="0"/>
    </xf>
    <xf numFmtId="0" fontId="57" fillId="0" borderId="0" xfId="0" applyFont="1" applyAlignment="1" applyProtection="1">
      <protection locked="0"/>
    </xf>
    <xf numFmtId="0" fontId="42" fillId="35" borderId="61" xfId="88" applyNumberFormat="1" applyFont="1" applyFill="1" applyBorder="1" applyAlignment="1" applyProtection="1">
      <alignment horizontal="center" vertical="center" wrapText="1"/>
      <protection locked="0"/>
    </xf>
    <xf numFmtId="3" fontId="42" fillId="35" borderId="68" xfId="88" applyNumberFormat="1" applyFont="1" applyFill="1" applyBorder="1" applyAlignment="1" applyProtection="1">
      <alignment horizontal="center" vertical="center" wrapText="1"/>
      <protection locked="0"/>
    </xf>
    <xf numFmtId="200" fontId="42" fillId="35" borderId="10" xfId="88" applyNumberFormat="1" applyFont="1" applyFill="1" applyBorder="1" applyAlignment="1" applyProtection="1">
      <alignment horizontal="center" vertical="center" wrapText="1"/>
      <protection locked="0"/>
    </xf>
    <xf numFmtId="0" fontId="42" fillId="42" borderId="53" xfId="0" applyFont="1" applyFill="1" applyBorder="1" applyAlignment="1" applyProtection="1">
      <alignment horizontal="center" vertical="center" wrapText="1"/>
      <protection locked="0"/>
    </xf>
    <xf numFmtId="3" fontId="42" fillId="35" borderId="101" xfId="88" applyNumberFormat="1" applyFont="1" applyFill="1" applyBorder="1" applyAlignment="1" applyProtection="1">
      <alignment horizontal="center" vertical="center" wrapText="1"/>
      <protection locked="0"/>
    </xf>
    <xf numFmtId="0" fontId="42" fillId="35" borderId="95" xfId="88" applyNumberFormat="1" applyFont="1" applyFill="1" applyBorder="1" applyAlignment="1" applyProtection="1">
      <alignment horizontal="center" vertical="center" wrapText="1"/>
      <protection locked="0"/>
    </xf>
    <xf numFmtId="3" fontId="42" fillId="35" borderId="95" xfId="88" applyNumberFormat="1" applyFont="1" applyFill="1" applyBorder="1" applyAlignment="1" applyProtection="1">
      <alignment horizontal="center" vertical="center" wrapText="1"/>
      <protection locked="0"/>
    </xf>
    <xf numFmtId="0" fontId="42" fillId="42" borderId="117" xfId="0" applyFont="1" applyFill="1" applyBorder="1" applyAlignment="1" applyProtection="1">
      <alignment horizontal="center" vertical="center" wrapText="1"/>
      <protection locked="0"/>
    </xf>
    <xf numFmtId="0" fontId="42" fillId="42" borderId="118" xfId="0" applyFont="1" applyFill="1" applyBorder="1" applyAlignment="1" applyProtection="1">
      <alignment horizontal="center" vertical="center" wrapText="1"/>
      <protection locked="0"/>
    </xf>
    <xf numFmtId="0" fontId="42" fillId="42" borderId="51" xfId="0" applyFont="1" applyFill="1" applyBorder="1" applyAlignment="1" applyProtection="1">
      <alignment horizontal="center" vertical="center" wrapText="1"/>
      <protection locked="0"/>
    </xf>
    <xf numFmtId="0" fontId="42" fillId="42" borderId="54" xfId="0" applyFont="1" applyFill="1" applyBorder="1" applyAlignment="1" applyProtection="1">
      <alignment horizontal="center" vertical="center" wrapText="1"/>
      <protection locked="0"/>
    </xf>
    <xf numFmtId="0" fontId="42" fillId="42" borderId="55" xfId="0" applyFont="1" applyFill="1" applyBorder="1" applyAlignment="1" applyProtection="1">
      <alignment horizontal="center" vertical="center" wrapText="1"/>
      <protection locked="0"/>
    </xf>
    <xf numFmtId="193" fontId="42" fillId="35" borderId="11" xfId="88" applyNumberFormat="1" applyFont="1" applyFill="1" applyBorder="1" applyAlignment="1" applyProtection="1">
      <alignment horizontal="center" vertical="center" wrapText="1"/>
      <protection locked="0"/>
    </xf>
    <xf numFmtId="0" fontId="42" fillId="46" borderId="116" xfId="0" applyFont="1" applyFill="1" applyBorder="1" applyAlignment="1" applyProtection="1">
      <alignment wrapText="1"/>
      <protection locked="0"/>
    </xf>
    <xf numFmtId="0" fontId="42" fillId="46" borderId="117" xfId="0" applyFont="1" applyFill="1" applyBorder="1" applyAlignment="1" applyProtection="1">
      <alignment wrapText="1"/>
      <protection locked="0"/>
    </xf>
    <xf numFmtId="0" fontId="42" fillId="46" borderId="118" xfId="0" applyFont="1" applyFill="1" applyBorder="1" applyAlignment="1" applyProtection="1">
      <alignment wrapText="1"/>
      <protection locked="0"/>
    </xf>
    <xf numFmtId="0" fontId="42" fillId="46" borderId="51" xfId="0" applyFont="1" applyFill="1" applyBorder="1" applyAlignment="1" applyProtection="1">
      <alignment wrapText="1"/>
      <protection locked="0"/>
    </xf>
    <xf numFmtId="0" fontId="42" fillId="46" borderId="0" xfId="0" applyFont="1" applyFill="1" applyBorder="1" applyAlignment="1" applyProtection="1">
      <alignment wrapText="1"/>
      <protection locked="0"/>
    </xf>
    <xf numFmtId="0" fontId="42" fillId="46" borderId="101" xfId="0" applyFont="1" applyFill="1" applyBorder="1" applyAlignment="1" applyProtection="1">
      <alignment wrapText="1"/>
      <protection locked="0"/>
    </xf>
    <xf numFmtId="3" fontId="42" fillId="35" borderId="11" xfId="88" applyNumberFormat="1" applyFont="1" applyFill="1" applyBorder="1" applyAlignment="1" applyProtection="1">
      <alignment horizontal="center" vertical="center" wrapText="1"/>
      <protection locked="0"/>
    </xf>
    <xf numFmtId="0" fontId="42" fillId="35" borderId="12" xfId="0" applyFont="1" applyFill="1" applyBorder="1" applyAlignment="1" applyProtection="1">
      <alignment horizontal="center" vertical="center" wrapText="1"/>
      <protection locked="0"/>
    </xf>
    <xf numFmtId="3" fontId="42" fillId="35" borderId="12" xfId="88" applyNumberFormat="1" applyFont="1" applyFill="1" applyBorder="1" applyAlignment="1" applyProtection="1">
      <alignment horizontal="center" vertical="center" wrapText="1"/>
      <protection locked="0"/>
    </xf>
    <xf numFmtId="0" fontId="42" fillId="46" borderId="100" xfId="0" applyFont="1" applyFill="1" applyBorder="1" applyAlignment="1" applyProtection="1">
      <alignment wrapText="1"/>
      <protection locked="0"/>
    </xf>
    <xf numFmtId="0" fontId="42" fillId="45" borderId="10" xfId="0" applyFont="1" applyFill="1" applyBorder="1" applyAlignment="1" applyProtection="1">
      <alignment horizontal="center" wrapText="1"/>
      <protection locked="0"/>
    </xf>
    <xf numFmtId="192" fontId="42" fillId="35" borderId="11" xfId="88" applyNumberFormat="1" applyFont="1" applyFill="1" applyBorder="1" applyAlignment="1" applyProtection="1">
      <alignment horizontal="center" vertical="center" wrapText="1"/>
      <protection locked="0"/>
    </xf>
    <xf numFmtId="0" fontId="42" fillId="43" borderId="51" xfId="0" applyFont="1" applyFill="1" applyBorder="1" applyAlignment="1" applyProtection="1">
      <alignment wrapText="1"/>
      <protection locked="0"/>
    </xf>
    <xf numFmtId="0" fontId="42" fillId="43" borderId="0" xfId="0" applyFont="1" applyFill="1" applyBorder="1" applyAlignment="1" applyProtection="1">
      <alignment wrapText="1"/>
      <protection locked="0"/>
    </xf>
    <xf numFmtId="0" fontId="42" fillId="43" borderId="101" xfId="0" applyFont="1" applyFill="1" applyBorder="1" applyAlignment="1" applyProtection="1">
      <alignment wrapText="1"/>
      <protection locked="0"/>
    </xf>
    <xf numFmtId="3" fontId="42" fillId="35" borderId="72" xfId="88" applyNumberFormat="1" applyFont="1" applyFill="1" applyBorder="1" applyAlignment="1" applyProtection="1">
      <alignment horizontal="center" vertical="center" wrapText="1"/>
      <protection locked="0"/>
    </xf>
    <xf numFmtId="167" fontId="42" fillId="35" borderId="74" xfId="88" applyNumberFormat="1" applyFont="1" applyFill="1" applyBorder="1" applyAlignment="1" applyProtection="1">
      <alignment horizontal="center" vertical="center" wrapText="1"/>
      <protection locked="0"/>
    </xf>
    <xf numFmtId="0" fontId="42" fillId="35" borderId="38" xfId="0" applyFont="1" applyFill="1" applyBorder="1" applyAlignment="1" applyProtection="1">
      <alignment horizontal="center" vertical="center" wrapText="1"/>
      <protection locked="0"/>
    </xf>
    <xf numFmtId="167" fontId="42" fillId="35" borderId="11" xfId="88" applyNumberFormat="1" applyFont="1" applyFill="1" applyBorder="1" applyAlignment="1" applyProtection="1">
      <alignment horizontal="center" vertical="center" wrapText="1"/>
      <protection locked="0"/>
    </xf>
    <xf numFmtId="199" fontId="42" fillId="35" borderId="11" xfId="88" applyNumberFormat="1" applyFont="1" applyFill="1" applyBorder="1" applyAlignment="1" applyProtection="1">
      <alignment horizontal="center" vertical="center" wrapText="1"/>
      <protection locked="0"/>
    </xf>
    <xf numFmtId="0" fontId="42" fillId="43" borderId="51" xfId="0" applyFont="1" applyFill="1" applyBorder="1" applyAlignment="1" applyProtection="1">
      <alignment horizontal="center" vertical="center" wrapText="1"/>
      <protection locked="0"/>
    </xf>
    <xf numFmtId="0" fontId="42" fillId="43" borderId="0" xfId="0" applyFont="1" applyFill="1" applyBorder="1" applyAlignment="1" applyProtection="1">
      <alignment horizontal="center" vertical="center" wrapText="1"/>
      <protection locked="0"/>
    </xf>
    <xf numFmtId="0" fontId="42" fillId="43" borderId="101" xfId="0" applyFont="1" applyFill="1" applyBorder="1" applyAlignment="1" applyProtection="1">
      <alignment horizontal="center" vertical="center" wrapText="1"/>
      <protection locked="0"/>
    </xf>
    <xf numFmtId="0" fontId="42" fillId="44" borderId="0" xfId="0" applyFont="1" applyFill="1" applyBorder="1" applyAlignment="1" applyProtection="1">
      <alignment horizontal="center" vertical="center" wrapText="1"/>
      <protection locked="0"/>
    </xf>
    <xf numFmtId="0" fontId="42" fillId="43" borderId="100" xfId="0" applyFont="1" applyFill="1" applyBorder="1" applyAlignment="1" applyProtection="1">
      <alignment horizontal="center" vertical="center" wrapText="1"/>
      <protection locked="0"/>
    </xf>
    <xf numFmtId="194" fontId="42" fillId="35" borderId="70" xfId="88" applyNumberFormat="1" applyFont="1" applyFill="1" applyBorder="1" applyAlignment="1" applyProtection="1">
      <alignment horizontal="center" vertical="center" wrapText="1"/>
      <protection locked="0"/>
    </xf>
    <xf numFmtId="187" fontId="42" fillId="35" borderId="70" xfId="88" applyNumberFormat="1" applyFont="1" applyFill="1" applyBorder="1" applyAlignment="1" applyProtection="1">
      <alignment horizontal="center" vertical="center" wrapText="1"/>
      <protection locked="0"/>
    </xf>
    <xf numFmtId="186" fontId="42" fillId="35" borderId="70" xfId="88" applyNumberFormat="1" applyFont="1" applyFill="1" applyBorder="1" applyAlignment="1" applyProtection="1">
      <alignment horizontal="center" vertical="center" wrapText="1"/>
      <protection locked="0"/>
    </xf>
    <xf numFmtId="186" fontId="42" fillId="35" borderId="68" xfId="88" applyNumberFormat="1" applyFont="1" applyFill="1" applyBorder="1" applyAlignment="1" applyProtection="1">
      <alignment horizontal="center" vertical="center" wrapText="1"/>
      <protection locked="0"/>
    </xf>
    <xf numFmtId="3" fontId="42" fillId="35" borderId="70" xfId="88" applyNumberFormat="1" applyFont="1" applyFill="1" applyBorder="1" applyAlignment="1" applyProtection="1">
      <alignment horizontal="center" vertical="center" wrapText="1"/>
      <protection locked="0"/>
    </xf>
    <xf numFmtId="185" fontId="42" fillId="35" borderId="89" xfId="88" applyNumberFormat="1" applyFont="1" applyFill="1" applyBorder="1" applyAlignment="1" applyProtection="1">
      <alignment horizontal="center" vertical="center" wrapText="1"/>
      <protection locked="0"/>
    </xf>
    <xf numFmtId="0" fontId="42" fillId="45" borderId="10" xfId="0" applyFont="1" applyFill="1" applyBorder="1" applyAlignment="1" applyProtection="1">
      <alignment horizontal="center" vertical="center" wrapText="1"/>
      <protection locked="0"/>
    </xf>
    <xf numFmtId="3" fontId="42" fillId="35" borderId="110" xfId="88" applyNumberFormat="1" applyFont="1" applyFill="1" applyBorder="1" applyAlignment="1" applyProtection="1">
      <alignment horizontal="center" vertical="center" wrapText="1"/>
      <protection locked="0"/>
    </xf>
    <xf numFmtId="165" fontId="42" fillId="35" borderId="104" xfId="48" applyNumberFormat="1" applyFont="1" applyFill="1" applyBorder="1" applyAlignment="1" applyProtection="1">
      <alignment horizontal="center" vertical="center" wrapText="1"/>
      <protection locked="0"/>
    </xf>
    <xf numFmtId="165" fontId="42" fillId="35" borderId="110" xfId="48" applyNumberFormat="1" applyFont="1" applyFill="1" applyBorder="1" applyAlignment="1" applyProtection="1">
      <alignment horizontal="center" vertical="center" wrapText="1"/>
      <protection locked="0"/>
    </xf>
    <xf numFmtId="197" fontId="42" fillId="35" borderId="61" xfId="88" applyNumberFormat="1" applyFont="1" applyFill="1" applyBorder="1" applyAlignment="1" applyProtection="1">
      <alignment horizontal="center" vertical="center" wrapText="1"/>
      <protection locked="0"/>
    </xf>
    <xf numFmtId="195" fontId="42" fillId="35" borderId="10" xfId="88" applyNumberFormat="1" applyFont="1" applyFill="1" applyBorder="1" applyAlignment="1" applyProtection="1">
      <alignment horizontal="center" vertical="center" wrapText="1"/>
      <protection locked="0"/>
    </xf>
    <xf numFmtId="196" fontId="42" fillId="35" borderId="10" xfId="88" applyNumberFormat="1" applyFont="1" applyFill="1" applyBorder="1" applyAlignment="1" applyProtection="1">
      <alignment horizontal="center" vertical="center" wrapText="1"/>
      <protection locked="0"/>
    </xf>
    <xf numFmtId="195" fontId="42" fillId="35" borderId="10" xfId="0" applyNumberFormat="1" applyFont="1" applyFill="1" applyBorder="1" applyAlignment="1" applyProtection="1">
      <alignment horizontal="center" vertical="center" wrapText="1"/>
      <protection locked="0"/>
    </xf>
    <xf numFmtId="203" fontId="42" fillId="35" borderId="10" xfId="88" applyNumberFormat="1" applyFont="1" applyFill="1" applyBorder="1" applyAlignment="1" applyProtection="1">
      <alignment horizontal="center" vertical="center" wrapText="1"/>
      <protection locked="0"/>
    </xf>
    <xf numFmtId="3" fontId="42" fillId="35" borderId="91" xfId="88" applyNumberFormat="1" applyFont="1" applyFill="1" applyBorder="1" applyAlignment="1" applyProtection="1">
      <alignment horizontal="center" vertical="center" wrapText="1"/>
      <protection locked="0"/>
    </xf>
    <xf numFmtId="165" fontId="42" fillId="35" borderId="10" xfId="48" applyNumberFormat="1" applyFont="1" applyFill="1" applyBorder="1" applyAlignment="1" applyProtection="1">
      <alignment horizontal="center" vertical="center" wrapText="1"/>
      <protection locked="0"/>
    </xf>
    <xf numFmtId="202" fontId="42" fillId="35" borderId="10" xfId="88" applyNumberFormat="1" applyFont="1" applyFill="1" applyBorder="1" applyAlignment="1" applyProtection="1">
      <alignment horizontal="center" vertical="center" wrapText="1"/>
      <protection locked="0"/>
    </xf>
    <xf numFmtId="204" fontId="42" fillId="35" borderId="10" xfId="88" applyNumberFormat="1" applyFont="1" applyFill="1" applyBorder="1" applyAlignment="1" applyProtection="1">
      <alignment horizontal="center" vertical="center" wrapText="1"/>
      <protection locked="0"/>
    </xf>
    <xf numFmtId="205" fontId="42" fillId="35" borderId="10" xfId="88" applyNumberFormat="1" applyFont="1" applyFill="1" applyBorder="1" applyAlignment="1" applyProtection="1">
      <alignment horizontal="center" vertical="center" wrapText="1"/>
      <protection locked="0"/>
    </xf>
    <xf numFmtId="167" fontId="42" fillId="35" borderId="10" xfId="88" applyNumberFormat="1" applyFont="1" applyFill="1" applyBorder="1" applyAlignment="1" applyProtection="1">
      <alignment horizontal="center" vertical="center" wrapText="1"/>
      <protection locked="0"/>
    </xf>
    <xf numFmtId="203" fontId="42" fillId="35" borderId="91" xfId="88" applyNumberFormat="1" applyFont="1" applyFill="1" applyBorder="1" applyAlignment="1" applyProtection="1">
      <alignment horizontal="center" vertical="center" wrapText="1"/>
      <protection locked="0"/>
    </xf>
    <xf numFmtId="203" fontId="72" fillId="35" borderId="91" xfId="88" applyNumberFormat="1" applyFont="1" applyFill="1" applyBorder="1" applyAlignment="1" applyProtection="1">
      <alignment horizontal="center" vertical="center" wrapText="1"/>
      <protection locked="0"/>
    </xf>
    <xf numFmtId="167" fontId="42" fillId="33" borderId="10" xfId="88" applyNumberFormat="1" applyFont="1" applyFill="1" applyBorder="1" applyAlignment="1" applyProtection="1">
      <alignment horizontal="center" vertical="center" wrapText="1"/>
      <protection locked="0"/>
    </xf>
    <xf numFmtId="203" fontId="42" fillId="35" borderId="10" xfId="48" applyNumberFormat="1" applyFont="1" applyFill="1" applyBorder="1" applyAlignment="1" applyProtection="1">
      <alignment horizontal="center" vertical="center" wrapText="1"/>
      <protection locked="0"/>
    </xf>
    <xf numFmtId="201" fontId="42" fillId="35" borderId="10" xfId="88" applyNumberFormat="1" applyFont="1" applyFill="1" applyBorder="1" applyAlignment="1" applyProtection="1">
      <alignment horizontal="center" vertical="center" wrapText="1"/>
      <protection locked="0"/>
    </xf>
    <xf numFmtId="207" fontId="42" fillId="35" borderId="10" xfId="88" applyNumberFormat="1" applyFont="1" applyFill="1" applyBorder="1" applyAlignment="1" applyProtection="1">
      <alignment horizontal="center" vertical="center" wrapText="1"/>
      <protection locked="0"/>
    </xf>
    <xf numFmtId="0" fontId="42" fillId="42" borderId="111" xfId="0" applyFont="1" applyFill="1" applyBorder="1" applyAlignment="1" applyProtection="1">
      <alignment horizontal="center" vertical="center" wrapText="1"/>
      <protection locked="0"/>
    </xf>
    <xf numFmtId="0" fontId="42" fillId="0" borderId="0" xfId="0" applyFont="1" applyAlignment="1" applyProtection="1">
      <alignment wrapText="1"/>
    </xf>
    <xf numFmtId="0" fontId="43" fillId="0" borderId="0" xfId="0" applyFont="1" applyAlignment="1" applyProtection="1">
      <alignment wrapText="1"/>
    </xf>
    <xf numFmtId="0" fontId="43" fillId="0" borderId="0" xfId="0" applyFont="1" applyAlignment="1" applyProtection="1">
      <alignment horizontal="center" vertical="center" wrapText="1"/>
    </xf>
    <xf numFmtId="0" fontId="60" fillId="33" borderId="0" xfId="182" applyFont="1" applyFill="1" applyBorder="1" applyAlignment="1" applyProtection="1">
      <alignment vertical="top"/>
    </xf>
    <xf numFmtId="0" fontId="42" fillId="33" borderId="0" xfId="182" applyFont="1" applyFill="1" applyBorder="1" applyProtection="1"/>
    <xf numFmtId="0" fontId="42" fillId="0" borderId="0" xfId="182" applyFont="1" applyBorder="1" applyProtection="1"/>
    <xf numFmtId="0" fontId="42" fillId="0" borderId="0" xfId="0" applyFont="1" applyAlignment="1" applyProtection="1">
      <alignment horizontal="center" vertical="center" wrapText="1"/>
    </xf>
    <xf numFmtId="0" fontId="44" fillId="31" borderId="10" xfId="0" applyFont="1" applyFill="1" applyBorder="1" applyAlignment="1" applyProtection="1">
      <alignment wrapText="1"/>
    </xf>
    <xf numFmtId="0" fontId="42" fillId="0" borderId="38" xfId="0" applyFont="1" applyBorder="1" applyAlignment="1" applyProtection="1">
      <alignment vertical="center" wrapText="1"/>
    </xf>
    <xf numFmtId="0" fontId="42" fillId="0" borderId="10" xfId="0" applyFont="1" applyBorder="1" applyAlignment="1" applyProtection="1">
      <alignment vertical="center" wrapText="1"/>
    </xf>
    <xf numFmtId="0" fontId="42" fillId="0" borderId="90" xfId="0" applyFont="1" applyBorder="1" applyAlignment="1" applyProtection="1">
      <alignment vertical="center" wrapText="1"/>
    </xf>
    <xf numFmtId="0" fontId="44" fillId="31" borderId="10" xfId="0" applyFont="1" applyFill="1" applyBorder="1" applyAlignment="1" applyProtection="1">
      <alignment horizontal="center" vertical="center" wrapText="1"/>
    </xf>
    <xf numFmtId="0" fontId="44" fillId="31" borderId="90" xfId="0" applyFont="1" applyFill="1" applyBorder="1" applyAlignment="1" applyProtection="1">
      <alignment horizontal="center" wrapText="1"/>
    </xf>
    <xf numFmtId="0" fontId="44" fillId="31" borderId="10" xfId="0" applyFont="1" applyFill="1" applyBorder="1" applyAlignment="1" applyProtection="1">
      <alignment horizontal="center" wrapText="1"/>
    </xf>
    <xf numFmtId="0" fontId="42" fillId="0" borderId="104" xfId="0" applyFont="1" applyBorder="1" applyAlignment="1" applyProtection="1">
      <alignment vertical="center" wrapText="1"/>
    </xf>
    <xf numFmtId="0" fontId="44" fillId="31" borderId="90" xfId="0" applyFont="1" applyFill="1" applyBorder="1" applyAlignment="1" applyProtection="1">
      <alignment horizontal="center" vertical="center" wrapText="1"/>
    </xf>
    <xf numFmtId="181" fontId="42" fillId="33" borderId="10" xfId="0" applyNumberFormat="1" applyFont="1" applyFill="1" applyBorder="1" applyAlignment="1" applyProtection="1">
      <alignment vertical="center" wrapText="1"/>
    </xf>
    <xf numFmtId="0" fontId="44" fillId="31" borderId="93" xfId="0" applyFont="1" applyFill="1" applyBorder="1" applyAlignment="1" applyProtection="1">
      <alignment horizontal="center" wrapText="1"/>
    </xf>
    <xf numFmtId="181" fontId="42" fillId="33" borderId="56" xfId="0" applyNumberFormat="1" applyFont="1" applyFill="1" applyBorder="1" applyAlignment="1" applyProtection="1">
      <alignment horizontal="center" vertical="center" wrapText="1"/>
    </xf>
    <xf numFmtId="184" fontId="42" fillId="33" borderId="91" xfId="0" applyNumberFormat="1" applyFont="1" applyFill="1" applyBorder="1" applyAlignment="1" applyProtection="1">
      <alignment horizontal="center" vertical="center" wrapText="1"/>
    </xf>
    <xf numFmtId="183" fontId="42" fillId="33" borderId="53" xfId="0" applyNumberFormat="1" applyFont="1" applyFill="1" applyBorder="1" applyAlignment="1" applyProtection="1">
      <alignment horizontal="center" vertical="center" wrapText="1"/>
    </xf>
    <xf numFmtId="0" fontId="42" fillId="0" borderId="38" xfId="0" applyFont="1" applyBorder="1" applyAlignment="1" applyProtection="1">
      <alignment wrapText="1"/>
    </xf>
    <xf numFmtId="0" fontId="42" fillId="0" borderId="10" xfId="0" applyFont="1" applyBorder="1" applyAlignment="1" applyProtection="1">
      <alignment wrapText="1"/>
    </xf>
    <xf numFmtId="3" fontId="42" fillId="33" borderId="10" xfId="88" applyNumberFormat="1" applyFont="1" applyFill="1" applyBorder="1" applyAlignment="1" applyProtection="1">
      <alignment horizontal="center" vertical="center" wrapText="1"/>
    </xf>
    <xf numFmtId="0" fontId="44" fillId="31" borderId="10" xfId="0" applyFont="1" applyFill="1" applyBorder="1" applyAlignment="1" applyProtection="1">
      <alignment horizontal="left" wrapText="1"/>
    </xf>
    <xf numFmtId="0" fontId="42" fillId="0" borderId="90" xfId="0" applyFont="1" applyBorder="1" applyAlignment="1" applyProtection="1">
      <alignment wrapText="1"/>
    </xf>
    <xf numFmtId="0" fontId="42" fillId="0" borderId="104" xfId="0" applyFont="1" applyBorder="1" applyAlignment="1" applyProtection="1">
      <alignment wrapText="1"/>
    </xf>
    <xf numFmtId="0" fontId="42" fillId="33" borderId="10" xfId="0" applyFont="1" applyFill="1" applyBorder="1" applyAlignment="1" applyProtection="1">
      <alignment wrapText="1"/>
    </xf>
    <xf numFmtId="0" fontId="42" fillId="0" borderId="10" xfId="0" applyFont="1" applyBorder="1" applyAlignment="1" applyProtection="1">
      <alignment horizontal="left" wrapText="1"/>
    </xf>
    <xf numFmtId="0" fontId="42" fillId="43" borderId="95" xfId="0" applyFont="1" applyFill="1" applyBorder="1" applyAlignment="1" applyProtection="1">
      <alignment horizontal="center" vertical="center" wrapText="1"/>
    </xf>
    <xf numFmtId="0" fontId="42" fillId="42" borderId="90" xfId="0" applyFont="1" applyFill="1" applyBorder="1" applyAlignment="1" applyProtection="1">
      <alignment horizontal="center" vertical="center" wrapText="1"/>
    </xf>
    <xf numFmtId="0" fontId="78" fillId="0" borderId="0" xfId="0" applyFont="1" applyProtection="1">
      <protection locked="0"/>
    </xf>
    <xf numFmtId="0" fontId="42" fillId="35" borderId="104" xfId="0" applyFont="1" applyFill="1" applyBorder="1" applyAlignment="1" applyProtection="1">
      <alignment horizontal="center"/>
      <protection locked="0"/>
    </xf>
    <xf numFmtId="0" fontId="42" fillId="33" borderId="27" xfId="0" applyFont="1" applyFill="1" applyBorder="1" applyProtection="1">
      <protection locked="0"/>
    </xf>
    <xf numFmtId="2" fontId="42" fillId="35" borderId="45" xfId="0" applyNumberFormat="1" applyFont="1" applyFill="1" applyBorder="1" applyProtection="1">
      <protection locked="0"/>
    </xf>
    <xf numFmtId="0" fontId="42" fillId="33" borderId="14" xfId="0" applyFont="1" applyFill="1" applyBorder="1" applyProtection="1">
      <protection locked="0"/>
    </xf>
    <xf numFmtId="0" fontId="42" fillId="33" borderId="25" xfId="0" applyFont="1" applyFill="1" applyBorder="1" applyProtection="1">
      <protection locked="0"/>
    </xf>
    <xf numFmtId="0" fontId="42" fillId="33" borderId="19" xfId="0" applyFont="1" applyFill="1" applyBorder="1" applyProtection="1">
      <protection locked="0"/>
    </xf>
    <xf numFmtId="0" fontId="42" fillId="33" borderId="26" xfId="0" applyFont="1" applyFill="1" applyBorder="1" applyProtection="1">
      <protection locked="0"/>
    </xf>
    <xf numFmtId="0" fontId="42" fillId="33" borderId="17" xfId="0" applyFont="1" applyFill="1" applyBorder="1" applyProtection="1">
      <protection locked="0"/>
    </xf>
    <xf numFmtId="0" fontId="42" fillId="33" borderId="31" xfId="0" applyFont="1" applyFill="1" applyBorder="1" applyProtection="1">
      <protection locked="0"/>
    </xf>
    <xf numFmtId="0" fontId="42" fillId="33" borderId="21" xfId="0" applyFont="1" applyFill="1" applyBorder="1" applyProtection="1">
      <protection locked="0"/>
    </xf>
    <xf numFmtId="0" fontId="42" fillId="31" borderId="75" xfId="0" applyFont="1" applyFill="1" applyBorder="1" applyAlignment="1" applyProtection="1">
      <alignment horizontal="center" vertical="top" wrapText="1"/>
    </xf>
    <xf numFmtId="0" fontId="42" fillId="0" borderId="35" xfId="0" applyFont="1" applyFill="1" applyBorder="1" applyAlignment="1" applyProtection="1">
      <alignment horizontal="center" vertical="top" wrapText="1"/>
    </xf>
    <xf numFmtId="0" fontId="53" fillId="0" borderId="26" xfId="0" applyFont="1" applyFill="1" applyBorder="1" applyAlignment="1" applyProtection="1">
      <alignment horizontal="left"/>
    </xf>
    <xf numFmtId="0" fontId="53" fillId="0" borderId="0" xfId="0" applyFont="1" applyFill="1" applyBorder="1" applyAlignment="1" applyProtection="1">
      <alignment horizontal="left"/>
    </xf>
    <xf numFmtId="0" fontId="53" fillId="0" borderId="101" xfId="0" applyFont="1" applyFill="1" applyBorder="1" applyAlignment="1" applyProtection="1">
      <alignment horizontal="left"/>
    </xf>
    <xf numFmtId="3" fontId="42" fillId="0" borderId="35" xfId="0" applyNumberFormat="1" applyFont="1" applyFill="1" applyBorder="1" applyAlignment="1" applyProtection="1">
      <alignment horizontal="center"/>
    </xf>
    <xf numFmtId="0" fontId="42" fillId="33" borderId="10" xfId="0" applyFont="1" applyFill="1" applyBorder="1" applyAlignment="1" applyProtection="1">
      <alignment horizontal="center"/>
    </xf>
    <xf numFmtId="1" fontId="42" fillId="33" borderId="10" xfId="0" applyNumberFormat="1" applyFont="1" applyFill="1" applyBorder="1" applyAlignment="1" applyProtection="1">
      <alignment horizontal="center"/>
    </xf>
    <xf numFmtId="1" fontId="42" fillId="33" borderId="45" xfId="0" applyNumberFormat="1" applyFont="1" applyFill="1" applyBorder="1" applyAlignment="1" applyProtection="1">
      <alignment horizontal="center"/>
    </xf>
    <xf numFmtId="0" fontId="42" fillId="31" borderId="35" xfId="0" applyFont="1" applyFill="1" applyBorder="1" applyAlignment="1" applyProtection="1">
      <alignment horizontal="center" vertical="center" wrapText="1"/>
    </xf>
    <xf numFmtId="0" fontId="42" fillId="0" borderId="26" xfId="0" applyFont="1" applyFill="1" applyBorder="1" applyAlignment="1" applyProtection="1">
      <alignment horizontal="left" vertical="top" wrapText="1"/>
    </xf>
    <xf numFmtId="0" fontId="42" fillId="0" borderId="0" xfId="0" applyFont="1" applyFill="1" applyBorder="1" applyAlignment="1" applyProtection="1">
      <alignment horizontal="left" vertical="top" wrapText="1"/>
    </xf>
    <xf numFmtId="167" fontId="42" fillId="0" borderId="10" xfId="0" applyNumberFormat="1" applyFont="1" applyBorder="1" applyAlignment="1" applyProtection="1">
      <alignment horizontal="center"/>
    </xf>
    <xf numFmtId="0" fontId="42" fillId="0" borderId="104" xfId="0" applyFont="1" applyBorder="1" applyAlignment="1" applyProtection="1">
      <alignment horizontal="center"/>
    </xf>
    <xf numFmtId="0" fontId="42" fillId="0" borderId="56" xfId="0" applyFont="1" applyFill="1" applyBorder="1" applyAlignment="1" applyProtection="1">
      <alignment horizontal="center" vertical="top" wrapText="1"/>
    </xf>
    <xf numFmtId="0" fontId="42" fillId="0" borderId="58" xfId="0" applyFont="1" applyFill="1" applyBorder="1" applyAlignment="1" applyProtection="1">
      <alignment horizontal="center" vertical="top" wrapText="1"/>
    </xf>
    <xf numFmtId="0" fontId="42" fillId="0" borderId="55" xfId="0" applyFont="1" applyFill="1" applyBorder="1" applyAlignment="1" applyProtection="1">
      <alignment horizontal="center" vertical="top" wrapText="1"/>
    </xf>
    <xf numFmtId="0" fontId="42" fillId="0" borderId="38" xfId="0" applyFont="1" applyFill="1" applyBorder="1" applyAlignment="1" applyProtection="1">
      <alignment horizontal="center" vertical="top" wrapText="1"/>
    </xf>
    <xf numFmtId="0" fontId="42" fillId="0" borderId="49" xfId="0" applyFont="1" applyFill="1" applyBorder="1" applyAlignment="1" applyProtection="1">
      <alignment horizontal="center" vertical="top" wrapText="1"/>
    </xf>
    <xf numFmtId="0" fontId="42" fillId="31" borderId="34" xfId="0" applyFont="1" applyFill="1" applyBorder="1" applyProtection="1"/>
    <xf numFmtId="0" fontId="42" fillId="31" borderId="40" xfId="0" applyFont="1" applyFill="1" applyBorder="1" applyProtection="1"/>
    <xf numFmtId="0" fontId="42" fillId="31" borderId="47" xfId="0" applyFont="1" applyFill="1" applyBorder="1" applyProtection="1"/>
    <xf numFmtId="0" fontId="42" fillId="0" borderId="35" xfId="0" applyFont="1" applyFill="1" applyBorder="1" applyProtection="1"/>
    <xf numFmtId="2" fontId="42" fillId="0" borderId="10" xfId="0" applyNumberFormat="1" applyFont="1" applyFill="1" applyBorder="1" applyProtection="1"/>
    <xf numFmtId="0" fontId="42" fillId="0" borderId="36" xfId="0" applyFont="1" applyBorder="1" applyProtection="1"/>
    <xf numFmtId="0" fontId="42" fillId="0" borderId="41" xfId="0" applyFont="1" applyBorder="1" applyProtection="1"/>
    <xf numFmtId="0" fontId="42" fillId="0" borderId="48" xfId="0" applyFont="1" applyBorder="1" applyProtection="1"/>
    <xf numFmtId="0" fontId="44" fillId="31" borderId="34" xfId="0" applyFont="1" applyFill="1" applyBorder="1" applyProtection="1"/>
    <xf numFmtId="0" fontId="44" fillId="31" borderId="35" xfId="0" applyFont="1" applyFill="1" applyBorder="1" applyAlignment="1" applyProtection="1">
      <alignment horizontal="center"/>
    </xf>
    <xf numFmtId="0" fontId="44" fillId="31" borderId="40" xfId="0" applyFont="1" applyFill="1" applyBorder="1" applyProtection="1"/>
    <xf numFmtId="0" fontId="44" fillId="31" borderId="56" xfId="0" applyFont="1" applyFill="1" applyBorder="1" applyAlignment="1" applyProtection="1">
      <alignment horizontal="center"/>
    </xf>
    <xf numFmtId="0" fontId="42" fillId="0" borderId="40" xfId="0" applyFont="1" applyBorder="1" applyProtection="1"/>
    <xf numFmtId="3" fontId="42" fillId="0" borderId="10" xfId="0" applyNumberFormat="1" applyFont="1" applyFill="1" applyBorder="1" applyProtection="1"/>
    <xf numFmtId="170" fontId="42" fillId="0" borderId="10" xfId="0" applyNumberFormat="1" applyFont="1" applyBorder="1" applyProtection="1"/>
    <xf numFmtId="0" fontId="64" fillId="31" borderId="13" xfId="0" applyFont="1" applyFill="1" applyBorder="1" applyAlignment="1" applyProtection="1">
      <alignment horizontal="center"/>
    </xf>
    <xf numFmtId="9" fontId="42" fillId="0" borderId="10" xfId="0" applyNumberFormat="1" applyFont="1" applyBorder="1" applyProtection="1"/>
    <xf numFmtId="0" fontId="64" fillId="31" borderId="120" xfId="0" applyFont="1" applyFill="1" applyBorder="1" applyAlignment="1" applyProtection="1">
      <alignment horizontal="center"/>
    </xf>
    <xf numFmtId="0" fontId="52" fillId="0" borderId="40" xfId="0" applyFont="1" applyFill="1" applyBorder="1" applyProtection="1"/>
    <xf numFmtId="0" fontId="64" fillId="31" borderId="10" xfId="0" applyFont="1" applyFill="1" applyBorder="1" applyAlignment="1" applyProtection="1">
      <alignment horizontal="center"/>
    </xf>
    <xf numFmtId="3" fontId="42" fillId="33" borderId="10" xfId="0" applyNumberFormat="1" applyFont="1" applyFill="1" applyBorder="1" applyProtection="1"/>
    <xf numFmtId="0" fontId="52" fillId="0" borderId="47" xfId="0" applyFont="1" applyFill="1" applyBorder="1" applyProtection="1"/>
    <xf numFmtId="0" fontId="64" fillId="31" borderId="45" xfId="0" applyFont="1" applyFill="1" applyBorder="1" applyAlignment="1" applyProtection="1">
      <alignment horizontal="center"/>
    </xf>
    <xf numFmtId="9" fontId="42" fillId="0" borderId="37" xfId="48" applyNumberFormat="1" applyFont="1" applyBorder="1" applyProtection="1"/>
    <xf numFmtId="9" fontId="42" fillId="0" borderId="42" xfId="48" applyNumberFormat="1" applyFont="1" applyBorder="1" applyProtection="1"/>
    <xf numFmtId="9" fontId="42" fillId="0" borderId="23" xfId="48" applyNumberFormat="1" applyFont="1" applyBorder="1" applyProtection="1"/>
    <xf numFmtId="0" fontId="64" fillId="31" borderId="22" xfId="0" applyFont="1" applyFill="1" applyBorder="1" applyProtection="1"/>
    <xf numFmtId="0" fontId="44" fillId="31" borderId="32" xfId="0" applyFont="1" applyFill="1" applyBorder="1" applyAlignment="1" applyProtection="1">
      <alignment horizontal="center"/>
    </xf>
    <xf numFmtId="0" fontId="44" fillId="31" borderId="33" xfId="0" applyFont="1" applyFill="1" applyBorder="1" applyAlignment="1" applyProtection="1">
      <alignment horizontal="center"/>
    </xf>
    <xf numFmtId="0" fontId="64" fillId="31" borderId="37" xfId="0" applyFont="1" applyFill="1" applyBorder="1" applyProtection="1"/>
    <xf numFmtId="0" fontId="44" fillId="31" borderId="38" xfId="0" applyFont="1" applyFill="1" applyBorder="1" applyAlignment="1" applyProtection="1">
      <alignment horizontal="center"/>
    </xf>
    <xf numFmtId="0" fontId="44" fillId="31" borderId="39" xfId="0" applyFont="1" applyFill="1" applyBorder="1" applyAlignment="1" applyProtection="1">
      <alignment horizontal="center"/>
    </xf>
    <xf numFmtId="0" fontId="42" fillId="0" borderId="37" xfId="0" applyFont="1" applyBorder="1" applyProtection="1"/>
    <xf numFmtId="3" fontId="42" fillId="0" borderId="37" xfId="0" applyNumberFormat="1" applyFont="1" applyFill="1" applyBorder="1" applyProtection="1"/>
    <xf numFmtId="3" fontId="42" fillId="0" borderId="39" xfId="0" applyNumberFormat="1" applyFont="1" applyFill="1" applyBorder="1" applyProtection="1"/>
    <xf numFmtId="3" fontId="42" fillId="0" borderId="40" xfId="0" applyNumberFormat="1" applyFont="1" applyFill="1" applyBorder="1" applyProtection="1"/>
    <xf numFmtId="3" fontId="42" fillId="0" borderId="41" xfId="0" applyNumberFormat="1" applyFont="1" applyFill="1" applyBorder="1" applyProtection="1"/>
    <xf numFmtId="0" fontId="42" fillId="0" borderId="125" xfId="0" applyFont="1" applyBorder="1" applyProtection="1"/>
    <xf numFmtId="3" fontId="42" fillId="0" borderId="47" xfId="0" applyNumberFormat="1" applyFont="1" applyFill="1" applyBorder="1" applyProtection="1"/>
    <xf numFmtId="3" fontId="42" fillId="0" borderId="48" xfId="0" applyNumberFormat="1" applyFont="1" applyFill="1" applyBorder="1" applyProtection="1"/>
    <xf numFmtId="0" fontId="44" fillId="0" borderId="0" xfId="0" applyFont="1" applyProtection="1">
      <protection locked="0"/>
    </xf>
    <xf numFmtId="0" fontId="44" fillId="33" borderId="0" xfId="56" applyFont="1" applyFill="1" applyProtection="1">
      <protection locked="0"/>
    </xf>
    <xf numFmtId="0" fontId="42" fillId="33" borderId="0" xfId="56" applyFont="1" applyFill="1" applyProtection="1">
      <protection locked="0"/>
    </xf>
    <xf numFmtId="0" fontId="42" fillId="0" borderId="0" xfId="56" applyFont="1" applyProtection="1">
      <protection locked="0"/>
    </xf>
    <xf numFmtId="0" fontId="59" fillId="33" borderId="0" xfId="182" applyFont="1" applyFill="1" applyBorder="1" applyProtection="1">
      <protection locked="0"/>
    </xf>
    <xf numFmtId="0" fontId="53" fillId="0" borderId="0" xfId="56" applyFont="1" applyFill="1" applyBorder="1" applyProtection="1">
      <protection locked="0"/>
    </xf>
    <xf numFmtId="0" fontId="0" fillId="0" borderId="0" xfId="0" applyProtection="1">
      <protection locked="0"/>
    </xf>
    <xf numFmtId="0" fontId="43" fillId="0" borderId="0" xfId="0" applyFont="1" applyAlignment="1" applyProtection="1"/>
    <xf numFmtId="0" fontId="42" fillId="0" borderId="0" xfId="0" applyFont="1" applyAlignment="1" applyProtection="1"/>
    <xf numFmtId="0" fontId="44" fillId="0" borderId="0" xfId="0" applyFont="1" applyProtection="1"/>
    <xf numFmtId="3" fontId="42" fillId="0" borderId="38" xfId="0" applyNumberFormat="1" applyFont="1" applyBorder="1" applyAlignment="1" applyProtection="1">
      <alignment horizontal="center"/>
    </xf>
    <xf numFmtId="0" fontId="42" fillId="0" borderId="0" xfId="0" applyFont="1" applyBorder="1" applyAlignment="1" applyProtection="1"/>
    <xf numFmtId="0" fontId="42" fillId="33" borderId="26" xfId="182" applyFont="1" applyFill="1" applyBorder="1" applyProtection="1"/>
    <xf numFmtId="0" fontId="59" fillId="33" borderId="0" xfId="56" applyFont="1" applyFill="1" applyBorder="1" applyProtection="1"/>
    <xf numFmtId="0" fontId="59" fillId="33" borderId="0" xfId="182" applyFont="1" applyFill="1" applyBorder="1" applyProtection="1"/>
    <xf numFmtId="0" fontId="53" fillId="0" borderId="0" xfId="182" applyFont="1" applyFill="1" applyBorder="1" applyProtection="1"/>
    <xf numFmtId="0" fontId="42" fillId="0" borderId="26" xfId="182" applyFont="1" applyFill="1" applyBorder="1" applyAlignment="1" applyProtection="1"/>
    <xf numFmtId="0" fontId="42" fillId="0" borderId="17" xfId="182" applyFont="1" applyBorder="1" applyProtection="1"/>
    <xf numFmtId="0" fontId="42" fillId="0" borderId="31" xfId="182" applyFont="1" applyBorder="1" applyProtection="1"/>
    <xf numFmtId="0" fontId="53" fillId="0" borderId="0" xfId="44" applyFont="1" applyProtection="1">
      <protection locked="0"/>
    </xf>
    <xf numFmtId="0" fontId="55" fillId="0" borderId="0" xfId="44" applyFont="1" applyProtection="1">
      <protection locked="0"/>
    </xf>
    <xf numFmtId="0" fontId="53" fillId="0" borderId="0" xfId="44" applyFont="1" applyFill="1" applyProtection="1">
      <protection locked="0"/>
    </xf>
    <xf numFmtId="0" fontId="54" fillId="0" borderId="0" xfId="44" applyFont="1" applyFill="1" applyAlignment="1" applyProtection="1">
      <alignment horizontal="center"/>
      <protection locked="0"/>
    </xf>
    <xf numFmtId="171" fontId="53" fillId="0" borderId="0" xfId="28" applyNumberFormat="1" applyFont="1" applyFill="1" applyProtection="1">
      <protection locked="0"/>
    </xf>
    <xf numFmtId="0" fontId="58" fillId="0" borderId="0" xfId="44" applyFont="1" applyProtection="1">
      <protection locked="0"/>
    </xf>
    <xf numFmtId="0" fontId="42" fillId="31" borderId="14" xfId="0" applyFont="1" applyFill="1" applyBorder="1" applyAlignment="1" applyProtection="1">
      <alignment horizontal="center"/>
      <protection locked="0"/>
    </xf>
    <xf numFmtId="0" fontId="42" fillId="31" borderId="15" xfId="0" applyFont="1" applyFill="1" applyBorder="1" applyAlignment="1" applyProtection="1">
      <alignment horizontal="center"/>
      <protection locked="0"/>
    </xf>
    <xf numFmtId="0" fontId="53" fillId="31" borderId="0" xfId="44" applyFont="1" applyFill="1" applyAlignment="1" applyProtection="1">
      <alignment horizontal="center"/>
      <protection locked="0"/>
    </xf>
    <xf numFmtId="0" fontId="54" fillId="0" borderId="0" xfId="44" applyFont="1" applyProtection="1">
      <protection locked="0"/>
    </xf>
    <xf numFmtId="0" fontId="53" fillId="0" borderId="0" xfId="44" applyFont="1" applyAlignment="1" applyProtection="1">
      <alignment horizontal="center"/>
      <protection locked="0"/>
    </xf>
    <xf numFmtId="0" fontId="53" fillId="31" borderId="22" xfId="44" applyFont="1" applyFill="1" applyBorder="1" applyAlignment="1" applyProtection="1">
      <alignment horizontal="center"/>
      <protection locked="0"/>
    </xf>
    <xf numFmtId="0" fontId="53" fillId="31" borderId="32" xfId="44" applyFont="1" applyFill="1" applyBorder="1" applyAlignment="1" applyProtection="1">
      <alignment horizontal="center"/>
      <protection locked="0"/>
    </xf>
    <xf numFmtId="0" fontId="53" fillId="31" borderId="33" xfId="44" applyFont="1" applyFill="1" applyBorder="1" applyAlignment="1" applyProtection="1">
      <alignment horizontal="center"/>
      <protection locked="0"/>
    </xf>
    <xf numFmtId="0" fontId="53" fillId="31" borderId="42" xfId="44" applyFont="1" applyFill="1" applyBorder="1" applyAlignment="1" applyProtection="1">
      <alignment horizontal="center"/>
      <protection locked="0"/>
    </xf>
    <xf numFmtId="0" fontId="53" fillId="31" borderId="58" xfId="44" applyFont="1" applyFill="1" applyBorder="1" applyAlignment="1" applyProtection="1">
      <alignment horizontal="center"/>
      <protection locked="0"/>
    </xf>
    <xf numFmtId="0" fontId="53" fillId="31" borderId="43" xfId="44" applyFont="1" applyFill="1" applyBorder="1" applyAlignment="1" applyProtection="1">
      <alignment horizontal="center"/>
      <protection locked="0"/>
    </xf>
    <xf numFmtId="0" fontId="53" fillId="31" borderId="44" xfId="44" applyFont="1" applyFill="1" applyBorder="1" applyAlignment="1" applyProtection="1">
      <alignment horizontal="center"/>
      <protection locked="0"/>
    </xf>
    <xf numFmtId="0" fontId="53" fillId="31" borderId="49" xfId="44" applyFont="1" applyFill="1" applyBorder="1" applyAlignment="1" applyProtection="1">
      <alignment horizontal="center"/>
      <protection locked="0"/>
    </xf>
    <xf numFmtId="0" fontId="53" fillId="31" borderId="46" xfId="44" applyFont="1" applyFill="1" applyBorder="1" applyAlignment="1" applyProtection="1">
      <alignment horizontal="center"/>
      <protection locked="0"/>
    </xf>
    <xf numFmtId="0" fontId="42" fillId="35" borderId="26" xfId="0" applyFont="1" applyFill="1" applyBorder="1" applyAlignment="1" applyProtection="1">
      <alignment horizontal="center"/>
      <protection locked="0"/>
    </xf>
    <xf numFmtId="0" fontId="42" fillId="35" borderId="0" xfId="0" applyFont="1" applyFill="1" applyBorder="1" applyAlignment="1" applyProtection="1">
      <alignment horizontal="center"/>
      <protection locked="0"/>
    </xf>
    <xf numFmtId="6" fontId="42" fillId="35" borderId="0" xfId="0" applyNumberFormat="1" applyFont="1" applyFill="1" applyBorder="1" applyAlignment="1" applyProtection="1">
      <alignment horizontal="center"/>
      <protection locked="0"/>
    </xf>
    <xf numFmtId="0" fontId="42" fillId="35" borderId="27" xfId="0" applyFont="1" applyFill="1" applyBorder="1" applyAlignment="1" applyProtection="1">
      <alignment horizontal="center"/>
      <protection locked="0"/>
    </xf>
    <xf numFmtId="0" fontId="42" fillId="35" borderId="25" xfId="0" applyFont="1" applyFill="1" applyBorder="1" applyAlignment="1" applyProtection="1">
      <alignment horizontal="center"/>
      <protection locked="0"/>
    </xf>
    <xf numFmtId="0" fontId="42" fillId="35" borderId="19" xfId="0" applyFont="1" applyFill="1" applyBorder="1" applyAlignment="1" applyProtection="1">
      <alignment horizontal="center"/>
      <protection locked="0"/>
    </xf>
    <xf numFmtId="0" fontId="42" fillId="35" borderId="17" xfId="0" applyFont="1" applyFill="1" applyBorder="1" applyAlignment="1" applyProtection="1">
      <alignment horizontal="center"/>
      <protection locked="0"/>
    </xf>
    <xf numFmtId="0" fontId="42" fillId="35" borderId="31" xfId="0" applyFont="1" applyFill="1" applyBorder="1" applyAlignment="1" applyProtection="1">
      <alignment horizontal="center"/>
      <protection locked="0"/>
    </xf>
    <xf numFmtId="6" fontId="42" fillId="35" borderId="31" xfId="0" applyNumberFormat="1" applyFont="1" applyFill="1" applyBorder="1" applyAlignment="1" applyProtection="1">
      <alignment horizontal="center"/>
      <protection locked="0"/>
    </xf>
    <xf numFmtId="0" fontId="42" fillId="35" borderId="21" xfId="0" applyFont="1" applyFill="1" applyBorder="1" applyAlignment="1" applyProtection="1">
      <alignment horizontal="center"/>
      <protection locked="0"/>
    </xf>
    <xf numFmtId="0" fontId="42" fillId="33" borderId="75" xfId="44" applyFont="1" applyFill="1" applyBorder="1" applyAlignment="1" applyProtection="1">
      <alignment horizontal="center"/>
      <protection locked="0"/>
    </xf>
    <xf numFmtId="1" fontId="42" fillId="33" borderId="75" xfId="44" applyNumberFormat="1" applyFont="1" applyFill="1" applyBorder="1" applyAlignment="1" applyProtection="1">
      <alignment horizontal="center"/>
      <protection locked="0"/>
    </xf>
    <xf numFmtId="0" fontId="42" fillId="33" borderId="67" xfId="44" applyFont="1" applyFill="1" applyBorder="1" applyAlignment="1" applyProtection="1">
      <alignment horizontal="center"/>
      <protection locked="0"/>
    </xf>
    <xf numFmtId="0" fontId="42" fillId="0" borderId="0" xfId="44" applyFont="1" applyFill="1" applyProtection="1">
      <protection locked="0"/>
    </xf>
    <xf numFmtId="168" fontId="53" fillId="0" borderId="0" xfId="44" applyNumberFormat="1" applyFont="1" applyFill="1" applyProtection="1">
      <protection locked="0"/>
    </xf>
    <xf numFmtId="0" fontId="42" fillId="35" borderId="16" xfId="0" applyFont="1" applyFill="1" applyBorder="1" applyProtection="1">
      <protection locked="0"/>
    </xf>
    <xf numFmtId="0" fontId="42" fillId="35" borderId="28" xfId="0" applyFont="1" applyFill="1" applyBorder="1" applyProtection="1">
      <protection locked="0"/>
    </xf>
    <xf numFmtId="6" fontId="42" fillId="35" borderId="28" xfId="0" applyNumberFormat="1" applyFont="1" applyFill="1" applyBorder="1" applyProtection="1">
      <protection locked="0"/>
    </xf>
    <xf numFmtId="0" fontId="42" fillId="35" borderId="20" xfId="0" applyFont="1" applyFill="1" applyBorder="1" applyProtection="1">
      <protection locked="0"/>
    </xf>
    <xf numFmtId="0" fontId="42" fillId="35" borderId="28" xfId="0" applyFont="1" applyFill="1" applyBorder="1" applyAlignment="1" applyProtection="1">
      <alignment horizontal="center"/>
      <protection locked="0"/>
    </xf>
    <xf numFmtId="0" fontId="42" fillId="35" borderId="20" xfId="0" applyFont="1" applyFill="1" applyBorder="1" applyAlignment="1" applyProtection="1">
      <alignment horizontal="center"/>
      <protection locked="0"/>
    </xf>
    <xf numFmtId="6" fontId="53" fillId="0" borderId="0" xfId="44" applyNumberFormat="1" applyFont="1" applyProtection="1">
      <protection locked="0"/>
    </xf>
    <xf numFmtId="0" fontId="42" fillId="35" borderId="14" xfId="0" applyFont="1" applyFill="1" applyBorder="1" applyProtection="1">
      <protection locked="0"/>
    </xf>
    <xf numFmtId="0" fontId="42" fillId="35" borderId="25" xfId="0" applyFont="1" applyFill="1" applyBorder="1" applyProtection="1">
      <protection locked="0"/>
    </xf>
    <xf numFmtId="6" fontId="42" fillId="35" borderId="25" xfId="0" applyNumberFormat="1" applyFont="1" applyFill="1" applyBorder="1" applyProtection="1">
      <protection locked="0"/>
    </xf>
    <xf numFmtId="0" fontId="42" fillId="35" borderId="19" xfId="0" applyFont="1" applyFill="1" applyBorder="1" applyProtection="1">
      <protection locked="0"/>
    </xf>
    <xf numFmtId="0" fontId="42" fillId="35" borderId="26" xfId="0" applyFont="1" applyFill="1" applyBorder="1" applyProtection="1">
      <protection locked="0"/>
    </xf>
    <xf numFmtId="6" fontId="42" fillId="35" borderId="0" xfId="0" applyNumberFormat="1" applyFont="1" applyFill="1" applyBorder="1" applyProtection="1">
      <protection locked="0"/>
    </xf>
    <xf numFmtId="0" fontId="42" fillId="35" borderId="27" xfId="0" applyFont="1" applyFill="1" applyBorder="1" applyProtection="1">
      <protection locked="0"/>
    </xf>
    <xf numFmtId="0" fontId="53" fillId="35" borderId="26" xfId="44" applyFont="1" applyFill="1" applyBorder="1" applyProtection="1">
      <protection locked="0"/>
    </xf>
    <xf numFmtId="0" fontId="53" fillId="35" borderId="0" xfId="44" applyFont="1" applyFill="1" applyBorder="1" applyProtection="1">
      <protection locked="0"/>
    </xf>
    <xf numFmtId="0" fontId="53" fillId="35" borderId="27" xfId="44" applyFont="1" applyFill="1" applyBorder="1" applyProtection="1">
      <protection locked="0"/>
    </xf>
    <xf numFmtId="0" fontId="53" fillId="35" borderId="31" xfId="44" applyFont="1" applyFill="1" applyBorder="1" applyAlignment="1" applyProtection="1">
      <alignment horizontal="center"/>
      <protection locked="0"/>
    </xf>
    <xf numFmtId="0" fontId="53" fillId="35" borderId="21" xfId="44" applyFont="1" applyFill="1" applyBorder="1" applyAlignment="1" applyProtection="1">
      <alignment horizontal="center"/>
      <protection locked="0"/>
    </xf>
    <xf numFmtId="0" fontId="53" fillId="35" borderId="17" xfId="44" applyFont="1" applyFill="1" applyBorder="1" applyProtection="1">
      <protection locked="0"/>
    </xf>
    <xf numFmtId="0" fontId="53" fillId="35" borderId="31" xfId="44" applyFont="1" applyFill="1" applyBorder="1" applyProtection="1">
      <protection locked="0"/>
    </xf>
    <xf numFmtId="0" fontId="53" fillId="35" borderId="21" xfId="44" applyFont="1" applyFill="1" applyBorder="1" applyProtection="1">
      <protection locked="0"/>
    </xf>
    <xf numFmtId="0" fontId="55" fillId="0" borderId="0" xfId="44" applyFont="1" applyProtection="1"/>
    <xf numFmtId="0" fontId="54" fillId="0" borderId="0" xfId="44" applyFont="1" applyAlignment="1" applyProtection="1">
      <alignment horizontal="right"/>
    </xf>
    <xf numFmtId="0" fontId="56" fillId="0" borderId="0" xfId="44" applyFont="1" applyAlignment="1" applyProtection="1">
      <alignment horizontal="right"/>
    </xf>
    <xf numFmtId="0" fontId="56" fillId="0" borderId="0" xfId="44" applyFont="1" applyProtection="1"/>
    <xf numFmtId="0" fontId="58" fillId="0" borderId="0" xfId="44" applyFont="1" applyAlignment="1" applyProtection="1">
      <alignment horizontal="right"/>
    </xf>
    <xf numFmtId="0" fontId="58" fillId="0" borderId="0" xfId="44" applyFont="1" applyProtection="1"/>
    <xf numFmtId="0" fontId="53" fillId="31" borderId="22" xfId="44" applyFont="1" applyFill="1" applyBorder="1" applyAlignment="1" applyProtection="1">
      <alignment horizontal="center"/>
    </xf>
    <xf numFmtId="0" fontId="53" fillId="31" borderId="32" xfId="44" applyFont="1" applyFill="1" applyBorder="1" applyAlignment="1" applyProtection="1">
      <alignment horizontal="center"/>
    </xf>
    <xf numFmtId="0" fontId="53" fillId="31" borderId="33" xfId="44" applyFont="1" applyFill="1" applyBorder="1" applyAlignment="1" applyProtection="1">
      <alignment horizontal="center"/>
    </xf>
    <xf numFmtId="0" fontId="53" fillId="31" borderId="42" xfId="44" applyFont="1" applyFill="1" applyBorder="1" applyAlignment="1" applyProtection="1">
      <alignment horizontal="center"/>
    </xf>
    <xf numFmtId="0" fontId="53" fillId="31" borderId="58" xfId="44" applyFont="1" applyFill="1" applyBorder="1" applyAlignment="1" applyProtection="1">
      <alignment horizontal="center"/>
    </xf>
    <xf numFmtId="0" fontId="53" fillId="31" borderId="43" xfId="44" applyFont="1" applyFill="1" applyBorder="1" applyAlignment="1" applyProtection="1">
      <alignment horizontal="center"/>
    </xf>
    <xf numFmtId="0" fontId="53" fillId="31" borderId="44" xfId="44" applyFont="1" applyFill="1" applyBorder="1" applyAlignment="1" applyProtection="1">
      <alignment horizontal="center"/>
    </xf>
    <xf numFmtId="0" fontId="53" fillId="31" borderId="49" xfId="44" applyFont="1" applyFill="1" applyBorder="1" applyAlignment="1" applyProtection="1">
      <alignment horizontal="center"/>
    </xf>
    <xf numFmtId="0" fontId="53" fillId="31" borderId="46" xfId="44" applyFont="1" applyFill="1" applyBorder="1" applyAlignment="1" applyProtection="1">
      <alignment horizontal="center"/>
    </xf>
    <xf numFmtId="0" fontId="42" fillId="31" borderId="14" xfId="0" applyFont="1" applyFill="1" applyBorder="1" applyAlignment="1" applyProtection="1">
      <alignment horizontal="center"/>
    </xf>
    <xf numFmtId="0" fontId="42" fillId="31" borderId="15" xfId="0" applyFont="1" applyFill="1" applyBorder="1" applyAlignment="1" applyProtection="1">
      <alignment horizontal="center"/>
    </xf>
    <xf numFmtId="0" fontId="53" fillId="31" borderId="0" xfId="44" applyFont="1" applyFill="1" applyAlignment="1" applyProtection="1">
      <alignment horizontal="center"/>
    </xf>
    <xf numFmtId="0" fontId="53" fillId="0" borderId="0" xfId="44" applyFont="1" applyFill="1" applyProtection="1"/>
    <xf numFmtId="0" fontId="42" fillId="33" borderId="75" xfId="44" applyFont="1" applyFill="1" applyBorder="1" applyAlignment="1" applyProtection="1">
      <alignment horizontal="center"/>
    </xf>
    <xf numFmtId="1" fontId="42" fillId="33" borderId="75" xfId="44" applyNumberFormat="1" applyFont="1" applyFill="1" applyBorder="1" applyAlignment="1" applyProtection="1">
      <alignment horizontal="center"/>
    </xf>
    <xf numFmtId="166" fontId="42" fillId="33" borderId="75" xfId="44" applyNumberFormat="1" applyFont="1" applyFill="1" applyBorder="1" applyAlignment="1" applyProtection="1">
      <alignment horizontal="center"/>
    </xf>
    <xf numFmtId="0" fontId="42" fillId="33" borderId="67" xfId="44" applyFont="1" applyFill="1" applyBorder="1" applyAlignment="1" applyProtection="1">
      <alignment horizontal="center"/>
    </xf>
    <xf numFmtId="0" fontId="12" fillId="0" borderId="0" xfId="44" applyFont="1" applyProtection="1">
      <protection locked="0"/>
    </xf>
    <xf numFmtId="0" fontId="12" fillId="33" borderId="0" xfId="44" applyFont="1" applyFill="1" applyProtection="1">
      <protection locked="0"/>
    </xf>
    <xf numFmtId="0" fontId="12" fillId="0" borderId="0" xfId="44" applyFont="1" applyFill="1" applyProtection="1">
      <protection locked="0"/>
    </xf>
    <xf numFmtId="2" fontId="53" fillId="35" borderId="10" xfId="44" applyNumberFormat="1" applyFont="1" applyFill="1" applyBorder="1" applyAlignment="1" applyProtection="1">
      <alignment horizontal="center"/>
      <protection locked="0"/>
    </xf>
    <xf numFmtId="2" fontId="53" fillId="0" borderId="38" xfId="44" applyNumberFormat="1" applyFont="1" applyFill="1" applyBorder="1" applyAlignment="1" applyProtection="1">
      <alignment horizontal="center"/>
      <protection locked="0"/>
    </xf>
    <xf numFmtId="0" fontId="53" fillId="0" borderId="0" xfId="44" applyFont="1" applyBorder="1" applyProtection="1">
      <protection locked="0"/>
    </xf>
    <xf numFmtId="0" fontId="12" fillId="0" borderId="0" xfId="44" applyFont="1" applyBorder="1" applyProtection="1">
      <protection locked="0"/>
    </xf>
    <xf numFmtId="0" fontId="12" fillId="0" borderId="0" xfId="44" applyFont="1" applyFill="1" applyBorder="1" applyProtection="1">
      <protection locked="0"/>
    </xf>
    <xf numFmtId="0" fontId="53" fillId="33" borderId="0" xfId="44" applyFont="1" applyFill="1" applyProtection="1"/>
    <xf numFmtId="0" fontId="53" fillId="31" borderId="10" xfId="44" applyFont="1" applyFill="1" applyBorder="1" applyProtection="1"/>
    <xf numFmtId="0" fontId="53" fillId="0" borderId="91" xfId="44" applyFont="1" applyFill="1" applyBorder="1" applyProtection="1"/>
    <xf numFmtId="0" fontId="53" fillId="0" borderId="10" xfId="44" applyFont="1" applyFill="1" applyBorder="1" applyProtection="1"/>
    <xf numFmtId="2" fontId="53" fillId="48" borderId="10" xfId="44" applyNumberFormat="1" applyFont="1" applyFill="1" applyBorder="1" applyAlignment="1" applyProtection="1">
      <alignment horizontal="center"/>
    </xf>
    <xf numFmtId="0" fontId="44" fillId="0" borderId="0" xfId="44" applyFont="1" applyProtection="1"/>
    <xf numFmtId="0" fontId="34" fillId="0" borderId="0" xfId="45" applyProtection="1">
      <protection locked="0"/>
    </xf>
    <xf numFmtId="0" fontId="12" fillId="0" borderId="0" xfId="45" applyFont="1" applyBorder="1" applyProtection="1">
      <protection locked="0"/>
    </xf>
    <xf numFmtId="0" fontId="82" fillId="0" borderId="0" xfId="45" applyFont="1" applyProtection="1">
      <protection locked="0"/>
    </xf>
    <xf numFmtId="0" fontId="75" fillId="0" borderId="0" xfId="661" applyFont="1" applyFill="1" applyProtection="1">
      <protection locked="0"/>
    </xf>
    <xf numFmtId="0" fontId="82" fillId="0" borderId="0" xfId="45" applyFont="1" applyFill="1" applyProtection="1">
      <protection locked="0"/>
    </xf>
    <xf numFmtId="0" fontId="53" fillId="0" borderId="0" xfId="45" applyFont="1" applyFill="1" applyAlignment="1" applyProtection="1">
      <alignment horizontal="center" vertical="top" wrapText="1"/>
      <protection locked="0"/>
    </xf>
    <xf numFmtId="0" fontId="42" fillId="0" borderId="0" xfId="661" applyFont="1" applyFill="1" applyAlignment="1" applyProtection="1">
      <alignment horizontal="left" wrapText="1"/>
      <protection locked="0"/>
    </xf>
    <xf numFmtId="0" fontId="42" fillId="29" borderId="0" xfId="661" applyFont="1" applyFill="1" applyBorder="1" applyAlignment="1" applyProtection="1">
      <alignment horizontal="left" vertical="center"/>
      <protection locked="0"/>
    </xf>
    <xf numFmtId="0" fontId="6" fillId="29" borderId="0" xfId="661" applyFill="1" applyBorder="1" applyAlignment="1" applyProtection="1">
      <alignment horizontal="left" vertical="center"/>
      <protection locked="0"/>
    </xf>
    <xf numFmtId="0" fontId="53" fillId="0" borderId="0" xfId="45" applyFont="1" applyProtection="1">
      <protection locked="0"/>
    </xf>
    <xf numFmtId="0" fontId="53" fillId="0" borderId="0" xfId="45" applyFont="1" applyFill="1" applyProtection="1">
      <protection locked="0"/>
    </xf>
    <xf numFmtId="0" fontId="34" fillId="0" borderId="0" xfId="45" applyFill="1" applyProtection="1">
      <protection locked="0"/>
    </xf>
    <xf numFmtId="0" fontId="54" fillId="0" borderId="0" xfId="45" applyFont="1" applyFill="1" applyBorder="1" applyProtection="1">
      <protection locked="0"/>
    </xf>
    <xf numFmtId="3" fontId="34" fillId="0" borderId="0" xfId="45" applyNumberFormat="1" applyFill="1" applyBorder="1" applyAlignment="1" applyProtection="1">
      <alignment horizontal="center"/>
      <protection locked="0"/>
    </xf>
    <xf numFmtId="0" fontId="53" fillId="0" borderId="0" xfId="45" applyFont="1" applyFill="1" applyBorder="1" applyAlignment="1" applyProtection="1">
      <alignment horizontal="center"/>
      <protection locked="0"/>
    </xf>
    <xf numFmtId="0" fontId="53" fillId="35" borderId="10" xfId="45" applyFont="1" applyFill="1" applyBorder="1" applyAlignment="1" applyProtection="1">
      <alignment horizontal="center"/>
      <protection locked="0"/>
    </xf>
    <xf numFmtId="0" fontId="53" fillId="0" borderId="0" xfId="45" applyFont="1" applyFill="1" applyBorder="1" applyAlignment="1" applyProtection="1">
      <alignment horizontal="left"/>
      <protection locked="0"/>
    </xf>
    <xf numFmtId="0" fontId="53" fillId="33" borderId="0" xfId="45" applyFont="1" applyFill="1" applyProtection="1">
      <protection locked="0"/>
    </xf>
    <xf numFmtId="0" fontId="54" fillId="0" borderId="0" xfId="45" applyFont="1" applyBorder="1" applyProtection="1"/>
    <xf numFmtId="0" fontId="53" fillId="0" borderId="0" xfId="45" applyFont="1" applyBorder="1" applyProtection="1"/>
    <xf numFmtId="0" fontId="42" fillId="0" borderId="0" xfId="45" applyFont="1" applyFill="1" applyAlignment="1" applyProtection="1">
      <alignment horizontal="left" vertical="top"/>
    </xf>
    <xf numFmtId="0" fontId="81" fillId="0" borderId="0" xfId="45" applyFont="1" applyFill="1" applyAlignment="1" applyProtection="1">
      <alignment horizontal="center" vertical="top" wrapText="1"/>
    </xf>
    <xf numFmtId="0" fontId="53" fillId="0" borderId="0" xfId="45" applyFont="1" applyFill="1" applyAlignment="1" applyProtection="1">
      <alignment horizontal="center" vertical="top" wrapText="1"/>
    </xf>
    <xf numFmtId="0" fontId="54" fillId="31" borderId="91" xfId="45" applyFont="1" applyFill="1" applyBorder="1" applyProtection="1"/>
    <xf numFmtId="211" fontId="53" fillId="29" borderId="10" xfId="659" applyNumberFormat="1" applyFont="1" applyFill="1" applyBorder="1" applyAlignment="1" applyProtection="1">
      <alignment horizontal="center"/>
    </xf>
    <xf numFmtId="3" fontId="53" fillId="0" borderId="10" xfId="45" applyNumberFormat="1" applyFont="1" applyFill="1" applyBorder="1" applyAlignment="1" applyProtection="1">
      <alignment horizontal="center"/>
    </xf>
    <xf numFmtId="0" fontId="54" fillId="31" borderId="10" xfId="45" applyFont="1" applyFill="1" applyBorder="1" applyProtection="1"/>
    <xf numFmtId="0" fontId="53" fillId="33" borderId="10" xfId="45" applyFont="1" applyFill="1" applyBorder="1" applyAlignment="1" applyProtection="1">
      <alignment horizontal="left"/>
    </xf>
    <xf numFmtId="0" fontId="53" fillId="33" borderId="91" xfId="45" applyFont="1" applyFill="1" applyBorder="1" applyAlignment="1" applyProtection="1">
      <alignment horizontal="left"/>
    </xf>
    <xf numFmtId="0" fontId="54" fillId="33" borderId="10" xfId="45" applyFont="1" applyFill="1" applyBorder="1" applyAlignment="1" applyProtection="1">
      <alignment horizontal="left"/>
    </xf>
    <xf numFmtId="0" fontId="54" fillId="31" borderId="10" xfId="661" applyFont="1" applyFill="1" applyBorder="1" applyAlignment="1" applyProtection="1">
      <alignment horizontal="center"/>
    </xf>
    <xf numFmtId="0" fontId="54" fillId="31" borderId="120" xfId="45" applyFont="1" applyFill="1" applyBorder="1" applyAlignment="1" applyProtection="1">
      <alignment horizontal="center"/>
    </xf>
    <xf numFmtId="166" fontId="42" fillId="29" borderId="10" xfId="661" applyNumberFormat="1" applyFont="1" applyFill="1" applyBorder="1" applyAlignment="1" applyProtection="1">
      <alignment horizontal="center"/>
    </xf>
    <xf numFmtId="37" fontId="53" fillId="29" borderId="120" xfId="28" applyNumberFormat="1" applyFont="1" applyFill="1" applyBorder="1" applyAlignment="1" applyProtection="1">
      <alignment horizontal="center"/>
    </xf>
    <xf numFmtId="166" fontId="42" fillId="29" borderId="120" xfId="661" applyNumberFormat="1" applyFont="1" applyFill="1" applyBorder="1" applyAlignment="1" applyProtection="1">
      <alignment horizontal="center"/>
    </xf>
    <xf numFmtId="37" fontId="54" fillId="29" borderId="10" xfId="28" applyNumberFormat="1" applyFont="1" applyFill="1" applyBorder="1" applyAlignment="1" applyProtection="1">
      <alignment horizontal="center"/>
    </xf>
    <xf numFmtId="0" fontId="54" fillId="31" borderId="10" xfId="45" applyFont="1" applyFill="1" applyBorder="1" applyAlignment="1" applyProtection="1">
      <alignment horizontal="center"/>
    </xf>
    <xf numFmtId="0" fontId="53" fillId="33" borderId="10" xfId="45" applyFont="1" applyFill="1" applyBorder="1" applyAlignment="1" applyProtection="1">
      <alignment horizontal="center"/>
    </xf>
    <xf numFmtId="0" fontId="54" fillId="31" borderId="121" xfId="45" applyFont="1" applyFill="1" applyBorder="1" applyAlignment="1" applyProtection="1">
      <alignment horizontal="center"/>
    </xf>
    <xf numFmtId="0" fontId="53" fillId="33" borderId="119" xfId="45" applyFont="1" applyFill="1" applyBorder="1" applyAlignment="1" applyProtection="1">
      <alignment horizontal="left"/>
    </xf>
    <xf numFmtId="0" fontId="54" fillId="33" borderId="10" xfId="45" applyFont="1" applyFill="1" applyBorder="1" applyProtection="1"/>
    <xf numFmtId="0" fontId="34" fillId="0" borderId="0" xfId="45" applyProtection="1"/>
    <xf numFmtId="0" fontId="53" fillId="33" borderId="10" xfId="45" applyFont="1" applyFill="1" applyBorder="1" applyProtection="1"/>
    <xf numFmtId="37" fontId="53" fillId="29" borderId="10" xfId="28" applyNumberFormat="1" applyFont="1" applyFill="1" applyBorder="1" applyAlignment="1" applyProtection="1">
      <alignment horizontal="center"/>
    </xf>
    <xf numFmtId="7" fontId="53" fillId="29" borderId="10" xfId="659" applyNumberFormat="1" applyFont="1" applyFill="1" applyBorder="1" applyAlignment="1" applyProtection="1">
      <alignment horizontal="center"/>
    </xf>
    <xf numFmtId="37" fontId="54" fillId="29" borderId="10" xfId="662" applyNumberFormat="1" applyFont="1" applyFill="1" applyBorder="1" applyAlignment="1" applyProtection="1">
      <alignment horizontal="center"/>
    </xf>
    <xf numFmtId="7" fontId="54" fillId="29" borderId="10" xfId="659" applyNumberFormat="1" applyFont="1" applyFill="1" applyBorder="1" applyAlignment="1" applyProtection="1">
      <alignment horizontal="center"/>
    </xf>
    <xf numFmtId="0" fontId="42" fillId="35" borderId="0" xfId="0" applyFont="1" applyFill="1" applyProtection="1">
      <protection locked="0"/>
    </xf>
    <xf numFmtId="0" fontId="42" fillId="33" borderId="0" xfId="0" applyFont="1" applyFill="1" applyProtection="1">
      <protection locked="0"/>
    </xf>
    <xf numFmtId="0" fontId="42" fillId="0" borderId="0" xfId="0" applyFont="1" applyAlignment="1" applyProtection="1">
      <alignment horizontal="center"/>
      <protection locked="0"/>
    </xf>
    <xf numFmtId="0" fontId="42" fillId="48" borderId="0" xfId="0" applyFont="1" applyFill="1" applyProtection="1">
      <protection locked="0"/>
    </xf>
    <xf numFmtId="0" fontId="44" fillId="33" borderId="0" xfId="0" applyFont="1" applyFill="1" applyAlignment="1" applyProtection="1">
      <alignment wrapText="1"/>
      <protection locked="0"/>
    </xf>
    <xf numFmtId="0" fontId="57" fillId="0" borderId="0" xfId="0" applyFont="1" applyProtection="1">
      <protection locked="0"/>
    </xf>
    <xf numFmtId="0" fontId="42" fillId="0" borderId="120" xfId="0" applyFont="1" applyBorder="1" applyProtection="1">
      <protection locked="0"/>
    </xf>
    <xf numFmtId="0" fontId="59" fillId="0" borderId="0" xfId="0" applyFont="1" applyProtection="1">
      <protection locked="0"/>
    </xf>
    <xf numFmtId="2" fontId="42" fillId="0" borderId="0" xfId="0" applyNumberFormat="1" applyFont="1" applyFill="1" applyBorder="1" applyProtection="1">
      <protection locked="0"/>
    </xf>
    <xf numFmtId="2" fontId="42" fillId="0" borderId="0" xfId="0" applyNumberFormat="1" applyFont="1" applyBorder="1" applyProtection="1">
      <protection locked="0"/>
    </xf>
    <xf numFmtId="2" fontId="42" fillId="0" borderId="0" xfId="0" applyNumberFormat="1" applyFont="1" applyProtection="1">
      <protection locked="0"/>
    </xf>
    <xf numFmtId="171" fontId="42" fillId="0" borderId="0" xfId="28" applyNumberFormat="1" applyFont="1" applyProtection="1">
      <protection locked="0"/>
    </xf>
    <xf numFmtId="0" fontId="42" fillId="0" borderId="25" xfId="0" applyFont="1" applyBorder="1" applyProtection="1">
      <protection locked="0"/>
    </xf>
    <xf numFmtId="0" fontId="42" fillId="0" borderId="19" xfId="0" applyFont="1" applyBorder="1" applyProtection="1">
      <protection locked="0"/>
    </xf>
    <xf numFmtId="0" fontId="42" fillId="0" borderId="26" xfId="0" applyFont="1" applyBorder="1" applyProtection="1">
      <protection locked="0"/>
    </xf>
    <xf numFmtId="0" fontId="42" fillId="0" borderId="27" xfId="0" applyFont="1" applyBorder="1" applyProtection="1">
      <protection locked="0"/>
    </xf>
    <xf numFmtId="0" fontId="0" fillId="0" borderId="0" xfId="0" applyBorder="1" applyProtection="1">
      <protection locked="0"/>
    </xf>
    <xf numFmtId="0" fontId="42" fillId="0" borderId="0" xfId="0" applyFont="1" applyFill="1" applyProtection="1">
      <protection locked="0"/>
    </xf>
    <xf numFmtId="0" fontId="42" fillId="0" borderId="17" xfId="0" applyFont="1" applyBorder="1" applyProtection="1">
      <protection locked="0"/>
    </xf>
    <xf numFmtId="0" fontId="42" fillId="0" borderId="31" xfId="0" applyFont="1" applyBorder="1" applyProtection="1">
      <protection locked="0"/>
    </xf>
    <xf numFmtId="0" fontId="42" fillId="0" borderId="21" xfId="0" applyFont="1" applyBorder="1" applyProtection="1">
      <protection locked="0"/>
    </xf>
    <xf numFmtId="9" fontId="42" fillId="35" borderId="10" xfId="48" applyFont="1" applyFill="1" applyBorder="1" applyAlignment="1" applyProtection="1">
      <alignment horizontal="center"/>
      <protection locked="0"/>
    </xf>
    <xf numFmtId="0" fontId="42" fillId="48" borderId="0" xfId="0" applyFont="1" applyFill="1" applyProtection="1"/>
    <xf numFmtId="0" fontId="42" fillId="0" borderId="91" xfId="0" applyFont="1" applyBorder="1" applyProtection="1"/>
    <xf numFmtId="0" fontId="53" fillId="31" borderId="121" xfId="0" applyFont="1" applyFill="1" applyBorder="1" applyAlignment="1" applyProtection="1">
      <alignment horizontal="center"/>
    </xf>
    <xf numFmtId="166" fontId="42" fillId="0" borderId="10" xfId="0" applyNumberFormat="1" applyFont="1" applyBorder="1" applyProtection="1"/>
    <xf numFmtId="166" fontId="42" fillId="0" borderId="10" xfId="0" applyNumberFormat="1" applyFont="1" applyFill="1" applyBorder="1" applyProtection="1"/>
    <xf numFmtId="1" fontId="42" fillId="0" borderId="38" xfId="0" applyNumberFormat="1" applyFont="1" applyBorder="1" applyProtection="1"/>
    <xf numFmtId="2" fontId="42" fillId="0" borderId="10" xfId="0" applyNumberFormat="1" applyFont="1" applyBorder="1" applyProtection="1"/>
    <xf numFmtId="0" fontId="42" fillId="35" borderId="10" xfId="0" applyFont="1" applyFill="1" applyBorder="1" applyAlignment="1" applyProtection="1">
      <alignment horizontal="center"/>
    </xf>
    <xf numFmtId="2" fontId="42" fillId="48" borderId="10" xfId="0" applyNumberFormat="1" applyFont="1" applyFill="1" applyBorder="1" applyAlignment="1" applyProtection="1">
      <alignment horizontal="center"/>
    </xf>
    <xf numFmtId="0" fontId="42" fillId="0" borderId="120" xfId="0" applyFont="1" applyBorder="1" applyProtection="1"/>
    <xf numFmtId="1" fontId="42" fillId="0" borderId="10" xfId="0" applyNumberFormat="1" applyFont="1" applyBorder="1" applyProtection="1"/>
    <xf numFmtId="2" fontId="42" fillId="48" borderId="10" xfId="0" applyNumberFormat="1" applyFont="1" applyFill="1" applyBorder="1" applyProtection="1"/>
    <xf numFmtId="43" fontId="44" fillId="31" borderId="10" xfId="0" applyNumberFormat="1" applyFont="1" applyFill="1" applyBorder="1" applyProtection="1"/>
    <xf numFmtId="171" fontId="42" fillId="0" borderId="10" xfId="28" applyNumberFormat="1" applyFont="1" applyBorder="1" applyProtection="1"/>
    <xf numFmtId="1" fontId="42" fillId="0" borderId="0" xfId="0" applyNumberFormat="1" applyFont="1" applyProtection="1"/>
    <xf numFmtId="0" fontId="42" fillId="0" borderId="10" xfId="0" applyFont="1" applyFill="1" applyBorder="1" applyAlignment="1" applyProtection="1">
      <alignment horizontal="center"/>
    </xf>
    <xf numFmtId="3" fontId="42" fillId="0" borderId="10" xfId="0" applyNumberFormat="1" applyFont="1" applyFill="1" applyBorder="1" applyAlignment="1" applyProtection="1">
      <alignment horizontal="center"/>
    </xf>
    <xf numFmtId="168" fontId="42" fillId="48" borderId="10" xfId="0" applyNumberFormat="1" applyFont="1" applyFill="1" applyBorder="1" applyAlignment="1" applyProtection="1">
      <alignment horizontal="center"/>
    </xf>
    <xf numFmtId="166" fontId="42" fillId="48" borderId="10" xfId="0" applyNumberFormat="1" applyFont="1" applyFill="1" applyBorder="1" applyAlignment="1" applyProtection="1">
      <alignment horizontal="center"/>
    </xf>
    <xf numFmtId="0" fontId="44" fillId="0" borderId="14" xfId="0" applyFont="1" applyBorder="1" applyProtection="1"/>
    <xf numFmtId="0" fontId="42" fillId="0" borderId="19" xfId="0" applyFont="1" applyBorder="1" applyProtection="1"/>
    <xf numFmtId="0" fontId="42" fillId="48" borderId="26" xfId="0" applyFont="1" applyFill="1" applyBorder="1" applyProtection="1"/>
    <xf numFmtId="0" fontId="42" fillId="31" borderId="91" xfId="0" applyFont="1" applyFill="1" applyBorder="1" applyAlignment="1" applyProtection="1"/>
    <xf numFmtId="0" fontId="42" fillId="31" borderId="120" xfId="0" applyFont="1" applyFill="1" applyBorder="1" applyAlignment="1" applyProtection="1"/>
    <xf numFmtId="43" fontId="42" fillId="0" borderId="10" xfId="0" applyNumberFormat="1" applyFont="1" applyBorder="1" applyProtection="1"/>
    <xf numFmtId="171" fontId="42" fillId="0" borderId="10" xfId="0" applyNumberFormat="1" applyFont="1" applyFill="1" applyBorder="1" applyProtection="1"/>
    <xf numFmtId="2" fontId="42" fillId="0" borderId="10" xfId="0" applyNumberFormat="1" applyFont="1" applyFill="1" applyBorder="1" applyAlignment="1" applyProtection="1">
      <alignment horizontal="center"/>
    </xf>
    <xf numFmtId="0" fontId="42" fillId="48" borderId="10" xfId="0" applyFont="1" applyFill="1" applyBorder="1" applyProtection="1">
      <protection locked="0"/>
    </xf>
    <xf numFmtId="0" fontId="42" fillId="0" borderId="0" xfId="0" applyFont="1" applyFill="1" applyAlignment="1" applyProtection="1">
      <alignment horizontal="right"/>
      <protection locked="0"/>
    </xf>
    <xf numFmtId="0" fontId="42" fillId="33" borderId="58" xfId="0" applyFont="1" applyFill="1" applyBorder="1" applyProtection="1">
      <protection locked="0"/>
    </xf>
    <xf numFmtId="0" fontId="42" fillId="0" borderId="0" xfId="0" applyFont="1" applyFill="1" applyBorder="1" applyProtection="1">
      <protection locked="0"/>
    </xf>
    <xf numFmtId="166" fontId="42" fillId="0" borderId="0" xfId="0" applyNumberFormat="1" applyFont="1" applyFill="1" applyProtection="1">
      <protection locked="0"/>
    </xf>
    <xf numFmtId="0" fontId="42" fillId="0" borderId="91" xfId="0" applyFont="1" applyFill="1" applyBorder="1" applyProtection="1">
      <protection locked="0"/>
    </xf>
    <xf numFmtId="0" fontId="42" fillId="33" borderId="100" xfId="0" applyFont="1" applyFill="1" applyBorder="1" applyProtection="1">
      <protection locked="0"/>
    </xf>
    <xf numFmtId="0" fontId="42" fillId="48" borderId="91" xfId="0" applyFont="1" applyFill="1" applyBorder="1" applyProtection="1">
      <protection locked="0"/>
    </xf>
    <xf numFmtId="0" fontId="42" fillId="0" borderId="0" xfId="0" applyFont="1" applyAlignment="1" applyProtection="1">
      <alignment horizontal="left"/>
      <protection locked="0"/>
    </xf>
    <xf numFmtId="0" fontId="42" fillId="0" borderId="0" xfId="0" applyFont="1" applyAlignment="1" applyProtection="1">
      <alignment wrapText="1" shrinkToFit="1"/>
      <protection locked="0"/>
    </xf>
    <xf numFmtId="0" fontId="69" fillId="0" borderId="0" xfId="38" applyFont="1" applyAlignment="1" applyProtection="1">
      <alignment horizontal="left"/>
      <protection locked="0"/>
    </xf>
    <xf numFmtId="0" fontId="42" fillId="0" borderId="0" xfId="0" quotePrefix="1" applyFont="1" applyProtection="1">
      <protection locked="0"/>
    </xf>
    <xf numFmtId="0" fontId="42" fillId="49" borderId="121" xfId="0" applyFont="1" applyFill="1" applyBorder="1" applyProtection="1"/>
    <xf numFmtId="0" fontId="42" fillId="0" borderId="91" xfId="0" applyFont="1" applyBorder="1" applyAlignment="1" applyProtection="1">
      <alignment vertical="top" wrapText="1"/>
    </xf>
    <xf numFmtId="0" fontId="42" fillId="33" borderId="10" xfId="0" applyFont="1" applyFill="1" applyBorder="1" applyAlignment="1" applyProtection="1">
      <alignment vertical="top" wrapText="1"/>
    </xf>
    <xf numFmtId="1" fontId="42" fillId="0" borderId="10" xfId="0" applyNumberFormat="1" applyFont="1" applyFill="1" applyBorder="1" applyAlignment="1" applyProtection="1">
      <alignment vertical="top" wrapText="1"/>
    </xf>
    <xf numFmtId="0" fontId="42" fillId="0" borderId="10" xfId="0" applyFont="1" applyBorder="1" applyAlignment="1" applyProtection="1">
      <alignment vertical="top" wrapText="1"/>
    </xf>
    <xf numFmtId="0" fontId="42" fillId="0" borderId="38" xfId="0" applyFont="1" applyBorder="1" applyAlignment="1" applyProtection="1">
      <alignment vertical="top" wrapText="1"/>
    </xf>
    <xf numFmtId="1" fontId="42" fillId="0" borderId="38" xfId="0" applyNumberFormat="1" applyFont="1" applyBorder="1" applyAlignment="1" applyProtection="1">
      <alignment vertical="top" wrapText="1"/>
    </xf>
    <xf numFmtId="0" fontId="42" fillId="48" borderId="10" xfId="0" applyFont="1" applyFill="1" applyBorder="1" applyAlignment="1" applyProtection="1">
      <alignment vertical="top" wrapText="1"/>
    </xf>
    <xf numFmtId="168" fontId="42" fillId="48" borderId="10" xfId="0" applyNumberFormat="1" applyFont="1" applyFill="1" applyBorder="1" applyAlignment="1" applyProtection="1">
      <alignment vertical="top" wrapText="1"/>
    </xf>
    <xf numFmtId="0" fontId="42" fillId="0" borderId="10" xfId="0" applyFont="1" applyFill="1" applyBorder="1" applyAlignment="1" applyProtection="1">
      <alignment vertical="top" wrapText="1"/>
    </xf>
    <xf numFmtId="1" fontId="42" fillId="0" borderId="10" xfId="0" applyNumberFormat="1" applyFont="1" applyBorder="1" applyAlignment="1" applyProtection="1">
      <alignment vertical="top" wrapText="1"/>
    </xf>
    <xf numFmtId="1" fontId="42" fillId="48" borderId="10" xfId="0" applyNumberFormat="1" applyFont="1" applyFill="1" applyBorder="1" applyAlignment="1" applyProtection="1">
      <alignment vertical="top" wrapText="1"/>
    </xf>
    <xf numFmtId="2" fontId="42" fillId="48" borderId="10" xfId="0" applyNumberFormat="1" applyFont="1" applyFill="1" applyBorder="1" applyAlignment="1" applyProtection="1">
      <alignment vertical="top" wrapText="1"/>
    </xf>
    <xf numFmtId="0" fontId="42" fillId="48" borderId="10" xfId="0" applyFont="1" applyFill="1" applyBorder="1" applyProtection="1"/>
    <xf numFmtId="166" fontId="42" fillId="48" borderId="10" xfId="0" applyNumberFormat="1" applyFont="1" applyFill="1" applyBorder="1" applyProtection="1"/>
    <xf numFmtId="0" fontId="42" fillId="0" borderId="121" xfId="0" applyFont="1" applyFill="1" applyBorder="1" applyProtection="1"/>
    <xf numFmtId="166" fontId="42" fillId="0" borderId="10" xfId="0" applyNumberFormat="1" applyFont="1" applyFill="1" applyBorder="1" applyAlignment="1" applyProtection="1">
      <alignment horizontal="center"/>
    </xf>
    <xf numFmtId="0" fontId="42" fillId="0" borderId="0" xfId="0" applyFont="1" applyFill="1" applyBorder="1" applyProtection="1"/>
    <xf numFmtId="0" fontId="42" fillId="0" borderId="0" xfId="0" applyFont="1" applyFill="1" applyAlignment="1" applyProtection="1">
      <alignment horizontal="left"/>
    </xf>
    <xf numFmtId="0" fontId="42" fillId="49" borderId="10" xfId="0" applyFont="1" applyFill="1" applyBorder="1" applyProtection="1"/>
    <xf numFmtId="0" fontId="42" fillId="49" borderId="10" xfId="0" applyFont="1" applyFill="1" applyBorder="1" applyAlignment="1" applyProtection="1">
      <alignment wrapText="1"/>
    </xf>
    <xf numFmtId="0" fontId="42" fillId="0" borderId="0" xfId="0" applyFont="1" applyAlignment="1" applyProtection="1">
      <alignment vertical="top"/>
      <protection locked="0"/>
    </xf>
    <xf numFmtId="0" fontId="59" fillId="0" borderId="0" xfId="0" applyFont="1" applyFill="1" applyBorder="1" applyProtection="1">
      <protection locked="0"/>
    </xf>
    <xf numFmtId="0" fontId="42" fillId="29" borderId="0" xfId="0" applyFont="1" applyFill="1" applyProtection="1">
      <protection locked="0"/>
    </xf>
    <xf numFmtId="0" fontId="44" fillId="0" borderId="0" xfId="0" applyFont="1" applyFill="1" applyProtection="1"/>
    <xf numFmtId="0" fontId="42" fillId="0" borderId="0" xfId="0" applyFont="1" applyAlignment="1" applyProtection="1">
      <alignment vertical="top"/>
    </xf>
    <xf numFmtId="0" fontId="42" fillId="0" borderId="0" xfId="0" applyFont="1" applyFill="1" applyAlignment="1" applyProtection="1">
      <alignment horizontal="center"/>
    </xf>
    <xf numFmtId="0" fontId="44" fillId="0" borderId="10" xfId="0" applyFont="1" applyBorder="1" applyAlignment="1" applyProtection="1">
      <alignment horizontal="center"/>
    </xf>
    <xf numFmtId="2" fontId="42" fillId="0" borderId="0" xfId="0" applyNumberFormat="1" applyFont="1" applyAlignment="1" applyProtection="1">
      <alignment horizontal="center"/>
    </xf>
    <xf numFmtId="0" fontId="59" fillId="0" borderId="0" xfId="0" applyFont="1" applyAlignment="1" applyProtection="1">
      <alignment horizontal="left"/>
      <protection locked="0"/>
    </xf>
    <xf numFmtId="0" fontId="59" fillId="41" borderId="0" xfId="0" applyFont="1" applyFill="1" applyAlignment="1" applyProtection="1">
      <alignment horizontal="left"/>
      <protection locked="0"/>
    </xf>
    <xf numFmtId="0" fontId="59" fillId="41" borderId="0" xfId="0" applyFont="1" applyFill="1" applyProtection="1">
      <protection locked="0"/>
    </xf>
    <xf numFmtId="0" fontId="42" fillId="41" borderId="0" xfId="0" applyFont="1" applyFill="1" applyAlignment="1" applyProtection="1">
      <alignment horizontal="center"/>
      <protection locked="0"/>
    </xf>
    <xf numFmtId="9" fontId="78" fillId="0" borderId="0" xfId="48" applyFont="1" applyAlignment="1" applyProtection="1">
      <alignment horizontal="left"/>
      <protection locked="0"/>
    </xf>
    <xf numFmtId="0" fontId="79" fillId="0" borderId="0" xfId="0" applyFont="1" applyFill="1" applyBorder="1" applyAlignment="1" applyProtection="1">
      <alignment horizontal="center"/>
      <protection locked="0"/>
    </xf>
    <xf numFmtId="0" fontId="79" fillId="0" borderId="0" xfId="0" applyFont="1" applyFill="1" applyBorder="1" applyAlignment="1" applyProtection="1">
      <alignment horizontal="left"/>
      <protection locked="0"/>
    </xf>
    <xf numFmtId="0" fontId="79" fillId="0" borderId="0" xfId="0" applyFont="1" applyProtection="1">
      <protection locked="0"/>
    </xf>
    <xf numFmtId="0" fontId="42" fillId="41" borderId="0" xfId="0" applyFont="1" applyFill="1" applyProtection="1"/>
    <xf numFmtId="0" fontId="58" fillId="0" borderId="0" xfId="0" applyFont="1" applyProtection="1"/>
    <xf numFmtId="0" fontId="57" fillId="33" borderId="0" xfId="0" applyFont="1" applyFill="1" applyProtection="1">
      <protection locked="0"/>
    </xf>
    <xf numFmtId="166" fontId="42" fillId="0" borderId="0" xfId="0" applyNumberFormat="1" applyFont="1" applyProtection="1">
      <protection locked="0"/>
    </xf>
    <xf numFmtId="165" fontId="42" fillId="0" borderId="0" xfId="0" applyNumberFormat="1" applyFont="1" applyProtection="1">
      <protection locked="0"/>
    </xf>
    <xf numFmtId="0" fontId="44" fillId="0" borderId="100" xfId="0" applyFont="1" applyBorder="1" applyAlignment="1" applyProtection="1">
      <alignment horizontal="centerContinuous"/>
      <protection locked="0"/>
    </xf>
    <xf numFmtId="0" fontId="42" fillId="0" borderId="0" xfId="0" applyFont="1" applyBorder="1" applyAlignment="1" applyProtection="1">
      <alignment horizontal="centerContinuous"/>
      <protection locked="0"/>
    </xf>
    <xf numFmtId="0" fontId="58" fillId="0" borderId="0" xfId="0" applyFont="1" applyFill="1" applyBorder="1" applyProtection="1">
      <protection locked="0"/>
    </xf>
    <xf numFmtId="0" fontId="44" fillId="25" borderId="10" xfId="0" applyFont="1" applyFill="1" applyBorder="1" applyProtection="1">
      <protection locked="0"/>
    </xf>
    <xf numFmtId="0" fontId="42" fillId="25" borderId="10" xfId="0" applyFont="1" applyFill="1" applyBorder="1" applyProtection="1">
      <protection locked="0"/>
    </xf>
    <xf numFmtId="0" fontId="42" fillId="0" borderId="0" xfId="0" applyFont="1" applyFill="1" applyAlignment="1" applyProtection="1">
      <alignment vertical="top"/>
    </xf>
    <xf numFmtId="0" fontId="80" fillId="0" borderId="0" xfId="0" applyFont="1" applyBorder="1" applyAlignment="1" applyProtection="1">
      <alignment horizontal="left"/>
    </xf>
    <xf numFmtId="166" fontId="42" fillId="0" borderId="38" xfId="0" applyNumberFormat="1" applyFont="1" applyFill="1" applyBorder="1" applyAlignment="1" applyProtection="1">
      <alignment horizontal="right"/>
    </xf>
    <xf numFmtId="166" fontId="42" fillId="48" borderId="10" xfId="0" applyNumberFormat="1" applyFont="1" applyFill="1" applyBorder="1" applyAlignment="1" applyProtection="1">
      <alignment horizontal="right"/>
    </xf>
    <xf numFmtId="0" fontId="44" fillId="0" borderId="10" xfId="0" applyFont="1" applyFill="1" applyBorder="1" applyAlignment="1" applyProtection="1">
      <alignment horizontal="center" wrapText="1"/>
    </xf>
    <xf numFmtId="0" fontId="44" fillId="0" borderId="10" xfId="0" applyFont="1" applyFill="1" applyBorder="1" applyAlignment="1" applyProtection="1">
      <alignment wrapText="1"/>
    </xf>
    <xf numFmtId="0" fontId="61" fillId="0" borderId="10" xfId="0" applyFont="1" applyFill="1" applyBorder="1" applyAlignment="1" applyProtection="1">
      <alignment wrapText="1"/>
    </xf>
    <xf numFmtId="1" fontId="42" fillId="0" borderId="10" xfId="0" applyNumberFormat="1" applyFont="1" applyFill="1" applyBorder="1" applyProtection="1"/>
    <xf numFmtId="1" fontId="42" fillId="48" borderId="10" xfId="0" applyNumberFormat="1" applyFont="1" applyFill="1" applyBorder="1" applyProtection="1"/>
    <xf numFmtId="0" fontId="80" fillId="0" borderId="0" xfId="0" applyFont="1" applyProtection="1"/>
    <xf numFmtId="0" fontId="42" fillId="35" borderId="10" xfId="0" applyFont="1" applyFill="1" applyBorder="1" applyAlignment="1" applyProtection="1">
      <alignment horizontal="left" wrapText="1"/>
      <protection locked="0"/>
    </xf>
    <xf numFmtId="0" fontId="61" fillId="0" borderId="0" xfId="0" applyFont="1" applyProtection="1">
      <protection locked="0"/>
    </xf>
    <xf numFmtId="1" fontId="44" fillId="0" borderId="0" xfId="0" applyNumberFormat="1" applyFont="1" applyProtection="1">
      <protection locked="0"/>
    </xf>
    <xf numFmtId="1" fontId="44" fillId="0" borderId="0" xfId="0" applyNumberFormat="1" applyFont="1" applyAlignment="1" applyProtection="1">
      <alignment horizontal="left"/>
      <protection locked="0"/>
    </xf>
    <xf numFmtId="0" fontId="80" fillId="0" borderId="0" xfId="0" applyFont="1" applyProtection="1">
      <protection locked="0"/>
    </xf>
    <xf numFmtId="0" fontId="57" fillId="51" borderId="0" xfId="0" applyFont="1" applyFill="1" applyProtection="1">
      <protection locked="0"/>
    </xf>
    <xf numFmtId="0" fontId="57" fillId="0" borderId="0" xfId="0" applyFont="1" applyFill="1" applyProtection="1">
      <protection locked="0"/>
    </xf>
    <xf numFmtId="0" fontId="44" fillId="0" borderId="26" xfId="0" applyFont="1" applyBorder="1" applyAlignment="1" applyProtection="1">
      <alignment horizontal="right"/>
      <protection locked="0"/>
    </xf>
    <xf numFmtId="0" fontId="42" fillId="0" borderId="26" xfId="0" applyFont="1" applyBorder="1" applyAlignment="1" applyProtection="1">
      <alignment horizontal="right"/>
      <protection locked="0"/>
    </xf>
    <xf numFmtId="1" fontId="42" fillId="0" borderId="119" xfId="0" applyNumberFormat="1" applyFont="1" applyBorder="1" applyAlignment="1" applyProtection="1">
      <alignment horizontal="center"/>
      <protection locked="0"/>
    </xf>
    <xf numFmtId="0" fontId="78" fillId="0" borderId="27" xfId="0" applyFont="1" applyBorder="1" applyProtection="1">
      <protection locked="0"/>
    </xf>
    <xf numFmtId="0" fontId="60" fillId="0" borderId="0" xfId="0" applyFont="1" applyProtection="1">
      <protection locked="0"/>
    </xf>
    <xf numFmtId="0" fontId="42" fillId="0" borderId="0" xfId="0" quotePrefix="1" applyFont="1" applyProtection="1"/>
    <xf numFmtId="0" fontId="42" fillId="31" borderId="10" xfId="0" applyFont="1" applyFill="1" applyBorder="1" applyAlignment="1" applyProtection="1">
      <alignment wrapText="1"/>
    </xf>
    <xf numFmtId="0" fontId="42" fillId="31" borderId="10" xfId="0" applyFont="1" applyFill="1" applyBorder="1" applyAlignment="1" applyProtection="1"/>
    <xf numFmtId="0" fontId="78" fillId="0" borderId="27" xfId="0" applyFont="1" applyBorder="1" applyProtection="1"/>
    <xf numFmtId="0" fontId="78" fillId="0" borderId="31" xfId="0" applyFont="1" applyBorder="1" applyProtection="1"/>
    <xf numFmtId="0" fontId="42" fillId="31" borderId="121" xfId="0" applyFont="1" applyFill="1" applyBorder="1" applyProtection="1"/>
    <xf numFmtId="0" fontId="42" fillId="0" borderId="10" xfId="0" applyFont="1" applyFill="1" applyBorder="1" applyAlignment="1" applyProtection="1">
      <alignment vertical="center"/>
    </xf>
    <xf numFmtId="2" fontId="42" fillId="48" borderId="10" xfId="0" applyNumberFormat="1" applyFont="1" applyFill="1" applyBorder="1" applyAlignment="1" applyProtection="1">
      <alignment horizontal="right"/>
    </xf>
    <xf numFmtId="169" fontId="42" fillId="48" borderId="10" xfId="0" applyNumberFormat="1" applyFont="1" applyFill="1" applyBorder="1" applyAlignment="1" applyProtection="1">
      <alignment horizontal="right"/>
    </xf>
    <xf numFmtId="0" fontId="42" fillId="52" borderId="0" xfId="0" applyFont="1" applyFill="1" applyProtection="1">
      <protection locked="0"/>
    </xf>
    <xf numFmtId="0" fontId="42" fillId="44" borderId="0" xfId="0" applyFont="1" applyFill="1" applyProtection="1">
      <protection locked="0"/>
    </xf>
    <xf numFmtId="208" fontId="53" fillId="35" borderId="10" xfId="28" applyNumberFormat="1" applyFont="1" applyFill="1" applyBorder="1" applyProtection="1">
      <protection locked="0"/>
    </xf>
    <xf numFmtId="171" fontId="53" fillId="35" borderId="10" xfId="28" applyNumberFormat="1" applyFont="1" applyFill="1" applyBorder="1" applyProtection="1">
      <protection locked="0"/>
    </xf>
    <xf numFmtId="171" fontId="53" fillId="53" borderId="10" xfId="28" applyNumberFormat="1" applyFont="1" applyFill="1" applyBorder="1" applyProtection="1">
      <protection locked="0"/>
    </xf>
    <xf numFmtId="9" fontId="53" fillId="52" borderId="10" xfId="48" applyNumberFormat="1" applyFont="1" applyFill="1" applyBorder="1" applyProtection="1">
      <protection locked="0"/>
    </xf>
    <xf numFmtId="9" fontId="53" fillId="52" borderId="10" xfId="28" applyNumberFormat="1" applyFont="1" applyFill="1" applyBorder="1" applyProtection="1">
      <protection locked="0"/>
    </xf>
    <xf numFmtId="1" fontId="53" fillId="35" borderId="10" xfId="48" applyNumberFormat="1" applyFont="1" applyFill="1" applyBorder="1" applyProtection="1">
      <protection locked="0"/>
    </xf>
    <xf numFmtId="1" fontId="53" fillId="35" borderId="10" xfId="28" applyNumberFormat="1" applyFont="1" applyFill="1" applyBorder="1" applyProtection="1">
      <protection locked="0"/>
    </xf>
    <xf numFmtId="171" fontId="53" fillId="52" borderId="10" xfId="28" applyNumberFormat="1" applyFont="1" applyFill="1" applyBorder="1" applyProtection="1">
      <protection locked="0"/>
    </xf>
    <xf numFmtId="9" fontId="53" fillId="35" borderId="10" xfId="48" applyNumberFormat="1" applyFont="1" applyFill="1" applyBorder="1" applyProtection="1">
      <protection locked="0"/>
    </xf>
    <xf numFmtId="9" fontId="53" fillId="35" borderId="10" xfId="28" applyNumberFormat="1" applyFont="1" applyFill="1" applyBorder="1" applyProtection="1">
      <protection locked="0"/>
    </xf>
    <xf numFmtId="168" fontId="53" fillId="35" borderId="10" xfId="48" applyNumberFormat="1" applyFont="1" applyFill="1" applyBorder="1" applyProtection="1">
      <protection locked="0"/>
    </xf>
    <xf numFmtId="168" fontId="53" fillId="35" borderId="10" xfId="28" applyNumberFormat="1" applyFont="1" applyFill="1" applyBorder="1" applyProtection="1">
      <protection locked="0"/>
    </xf>
    <xf numFmtId="0" fontId="42" fillId="52" borderId="0" xfId="0" applyFont="1" applyFill="1" applyProtection="1"/>
    <xf numFmtId="0" fontId="54" fillId="31" borderId="10" xfId="0" applyFont="1" applyFill="1" applyBorder="1" applyProtection="1"/>
    <xf numFmtId="0" fontId="54" fillId="31" borderId="10" xfId="0" applyFont="1" applyFill="1" applyBorder="1" applyAlignment="1" applyProtection="1">
      <alignment horizontal="center" wrapText="1"/>
    </xf>
    <xf numFmtId="0" fontId="54" fillId="0" borderId="10" xfId="0" applyFont="1" applyBorder="1" applyProtection="1"/>
    <xf numFmtId="0" fontId="54" fillId="0" borderId="91" xfId="0" applyFont="1" applyBorder="1" applyProtection="1"/>
    <xf numFmtId="0" fontId="54" fillId="0" borderId="10" xfId="0" applyFont="1" applyFill="1" applyBorder="1" applyProtection="1"/>
    <xf numFmtId="2" fontId="42" fillId="0" borderId="91" xfId="0" applyNumberFormat="1" applyFont="1" applyFill="1" applyBorder="1" applyAlignment="1" applyProtection="1">
      <alignment horizontal="center"/>
    </xf>
    <xf numFmtId="171" fontId="53" fillId="0" borderId="10" xfId="28" applyNumberFormat="1" applyFont="1" applyFill="1" applyBorder="1" applyAlignment="1" applyProtection="1">
      <alignment horizontal="center"/>
    </xf>
    <xf numFmtId="209" fontId="53" fillId="24" borderId="10" xfId="28" applyNumberFormat="1" applyFont="1" applyFill="1" applyBorder="1" applyProtection="1"/>
    <xf numFmtId="172" fontId="53" fillId="24" borderId="10" xfId="28" applyNumberFormat="1" applyFont="1" applyFill="1" applyBorder="1" applyProtection="1"/>
    <xf numFmtId="210" fontId="53" fillId="24" borderId="10" xfId="28" applyNumberFormat="1" applyFont="1" applyFill="1" applyBorder="1" applyProtection="1"/>
    <xf numFmtId="0" fontId="56" fillId="0" borderId="10" xfId="0" applyFont="1" applyFill="1" applyBorder="1" applyAlignment="1" applyProtection="1">
      <alignment horizontal="center" wrapText="1"/>
    </xf>
    <xf numFmtId="208" fontId="53" fillId="0" borderId="121" xfId="28" applyNumberFormat="1" applyFont="1" applyFill="1" applyBorder="1" applyProtection="1"/>
    <xf numFmtId="208" fontId="53" fillId="0" borderId="116" xfId="28" applyNumberFormat="1" applyFont="1" applyFill="1" applyBorder="1" applyProtection="1"/>
    <xf numFmtId="168" fontId="53" fillId="24" borderId="10" xfId="28" applyNumberFormat="1" applyFont="1" applyFill="1" applyBorder="1" applyProtection="1"/>
    <xf numFmtId="0" fontId="33" fillId="0" borderId="0" xfId="0" applyFont="1" applyProtection="1"/>
    <xf numFmtId="0" fontId="32" fillId="0" borderId="0" xfId="0" applyFont="1" applyProtection="1"/>
    <xf numFmtId="0" fontId="88" fillId="0" borderId="0" xfId="0" applyFont="1" applyProtection="1"/>
    <xf numFmtId="0" fontId="32" fillId="0" borderId="0" xfId="0" applyFont="1" applyAlignment="1" applyProtection="1">
      <alignment wrapText="1"/>
    </xf>
    <xf numFmtId="0" fontId="87" fillId="0" borderId="0" xfId="689" applyFont="1" applyProtection="1"/>
    <xf numFmtId="173" fontId="42" fillId="33" borderId="10" xfId="0" applyNumberFormat="1" applyFont="1" applyFill="1" applyBorder="1" applyAlignment="1" applyProtection="1">
      <alignment horizontal="center"/>
    </xf>
    <xf numFmtId="180" fontId="42" fillId="33" borderId="10" xfId="0" applyNumberFormat="1" applyFont="1" applyFill="1" applyBorder="1" applyAlignment="1" applyProtection="1">
      <alignment horizontal="center"/>
    </xf>
    <xf numFmtId="212" fontId="42" fillId="35" borderId="10" xfId="0" applyNumberFormat="1" applyFont="1" applyFill="1" applyBorder="1" applyAlignment="1" applyProtection="1">
      <alignment horizontal="center" vertical="center" wrapText="1"/>
      <protection locked="0"/>
    </xf>
    <xf numFmtId="3" fontId="42" fillId="33" borderId="10" xfId="0" applyNumberFormat="1" applyFont="1" applyFill="1" applyBorder="1" applyAlignment="1" applyProtection="1">
      <alignment horizontal="center"/>
    </xf>
    <xf numFmtId="0" fontId="42" fillId="33" borderId="10" xfId="0" applyFont="1" applyFill="1" applyBorder="1" applyAlignment="1" applyProtection="1">
      <alignment horizontal="center"/>
    </xf>
    <xf numFmtId="0" fontId="42" fillId="0" borderId="0" xfId="0" applyFont="1" applyBorder="1" applyAlignment="1" applyProtection="1">
      <alignment horizontal="center"/>
    </xf>
    <xf numFmtId="0" fontId="42" fillId="48" borderId="11" xfId="0" applyFont="1" applyFill="1" applyBorder="1" applyAlignment="1" applyProtection="1">
      <alignment horizontal="center"/>
    </xf>
    <xf numFmtId="0" fontId="42" fillId="48" borderId="120" xfId="0" applyFont="1" applyFill="1" applyBorder="1" applyAlignment="1" applyProtection="1">
      <alignment horizontal="center"/>
    </xf>
    <xf numFmtId="0" fontId="42" fillId="35" borderId="10" xfId="0" applyFont="1" applyFill="1" applyBorder="1" applyAlignment="1" applyProtection="1">
      <alignment horizontal="center"/>
      <protection locked="0"/>
    </xf>
    <xf numFmtId="1" fontId="42" fillId="0" borderId="0" xfId="0" applyNumberFormat="1" applyFont="1" applyBorder="1" applyAlignment="1" applyProtection="1">
      <alignment horizontal="center"/>
    </xf>
    <xf numFmtId="0" fontId="42" fillId="0" borderId="0" xfId="0" applyFont="1" applyFill="1" applyBorder="1" applyAlignment="1" applyProtection="1">
      <alignment horizontal="center"/>
    </xf>
    <xf numFmtId="0" fontId="44" fillId="0" borderId="26" xfId="0" applyFont="1" applyBorder="1" applyAlignment="1" applyProtection="1">
      <alignment horizontal="right"/>
    </xf>
    <xf numFmtId="0" fontId="42" fillId="0" borderId="10" xfId="0" quotePrefix="1" applyFont="1" applyFill="1" applyBorder="1" applyProtection="1"/>
    <xf numFmtId="0" fontId="42" fillId="35" borderId="120" xfId="0" applyFont="1" applyFill="1" applyBorder="1" applyProtection="1">
      <protection locked="0"/>
    </xf>
    <xf numFmtId="1" fontId="42" fillId="48" borderId="114" xfId="0" applyNumberFormat="1" applyFont="1" applyFill="1" applyBorder="1" applyProtection="1"/>
    <xf numFmtId="0" fontId="42" fillId="48" borderId="114" xfId="0" applyFont="1" applyFill="1" applyBorder="1" applyProtection="1"/>
    <xf numFmtId="0" fontId="42" fillId="35" borderId="116" xfId="0" applyFont="1" applyFill="1" applyBorder="1" applyProtection="1">
      <protection locked="0"/>
    </xf>
    <xf numFmtId="0" fontId="42" fillId="35" borderId="117" xfId="0" applyFont="1" applyFill="1" applyBorder="1" applyProtection="1">
      <protection locked="0"/>
    </xf>
    <xf numFmtId="0" fontId="42" fillId="35" borderId="118" xfId="0" applyFont="1" applyFill="1" applyBorder="1" applyProtection="1">
      <protection locked="0"/>
    </xf>
    <xf numFmtId="0" fontId="42" fillId="35" borderId="111" xfId="0" applyFont="1" applyFill="1" applyBorder="1" applyProtection="1">
      <protection locked="0"/>
    </xf>
    <xf numFmtId="0" fontId="42" fillId="35" borderId="144" xfId="0" applyFont="1" applyFill="1" applyBorder="1" applyProtection="1">
      <protection locked="0"/>
    </xf>
    <xf numFmtId="0" fontId="42" fillId="35" borderId="145" xfId="0" applyFont="1" applyFill="1" applyBorder="1" applyProtection="1">
      <protection locked="0"/>
    </xf>
    <xf numFmtId="203" fontId="42" fillId="0" borderId="10" xfId="88" applyNumberFormat="1" applyFont="1" applyFill="1" applyBorder="1" applyAlignment="1" applyProtection="1">
      <alignment horizontal="center" vertical="center" wrapText="1"/>
      <protection locked="0"/>
    </xf>
    <xf numFmtId="203" fontId="42" fillId="35" borderId="11" xfId="88" applyNumberFormat="1" applyFont="1" applyFill="1" applyBorder="1" applyAlignment="1" applyProtection="1">
      <alignment horizontal="center" vertical="center" wrapText="1"/>
      <protection locked="0"/>
    </xf>
    <xf numFmtId="203" fontId="72" fillId="35" borderId="11" xfId="88" applyNumberFormat="1" applyFont="1" applyFill="1" applyBorder="1" applyAlignment="1" applyProtection="1">
      <alignment horizontal="center" vertical="center" wrapText="1"/>
      <protection locked="0"/>
    </xf>
    <xf numFmtId="215" fontId="42" fillId="35" borderId="10" xfId="48" applyNumberFormat="1" applyFont="1" applyFill="1" applyBorder="1" applyAlignment="1" applyProtection="1">
      <alignment horizontal="center" vertical="center" wrapText="1"/>
      <protection locked="0"/>
    </xf>
    <xf numFmtId="0" fontId="42" fillId="33" borderId="26" xfId="0" applyFont="1" applyFill="1" applyBorder="1" applyAlignment="1" applyProtection="1">
      <alignment horizontal="right"/>
    </xf>
    <xf numFmtId="0" fontId="44" fillId="33" borderId="26" xfId="0" applyFont="1" applyFill="1" applyBorder="1" applyAlignment="1" applyProtection="1">
      <alignment horizontal="right"/>
    </xf>
    <xf numFmtId="0" fontId="42" fillId="33" borderId="26" xfId="0" applyFont="1" applyFill="1" applyBorder="1" applyAlignment="1" applyProtection="1">
      <alignment horizontal="right"/>
      <protection locked="0"/>
    </xf>
    <xf numFmtId="0" fontId="78" fillId="0" borderId="117" xfId="0" applyFont="1" applyBorder="1" applyProtection="1"/>
    <xf numFmtId="212" fontId="42" fillId="0" borderId="10" xfId="0" applyNumberFormat="1" applyFont="1" applyBorder="1" applyAlignment="1" applyProtection="1">
      <alignment horizontal="center" vertical="center" wrapText="1"/>
      <protection locked="0"/>
    </xf>
    <xf numFmtId="0" fontId="42" fillId="33" borderId="11" xfId="0" applyFont="1" applyFill="1" applyBorder="1" applyAlignment="1" applyProtection="1">
      <alignment wrapText="1"/>
    </xf>
    <xf numFmtId="0" fontId="72" fillId="55" borderId="11" xfId="0" applyFont="1" applyFill="1" applyBorder="1" applyAlignment="1" applyProtection="1">
      <alignment wrapText="1"/>
    </xf>
    <xf numFmtId="0" fontId="44" fillId="31" borderId="179" xfId="0" applyFont="1" applyFill="1" applyBorder="1" applyAlignment="1" applyProtection="1">
      <alignment horizontal="center" vertical="center" wrapText="1"/>
    </xf>
    <xf numFmtId="0" fontId="42" fillId="42" borderId="174" xfId="0" applyFont="1" applyFill="1" applyBorder="1" applyAlignment="1" applyProtection="1">
      <alignment vertical="center" wrapText="1"/>
    </xf>
    <xf numFmtId="0" fontId="42" fillId="42" borderId="179" xfId="0" applyFont="1" applyFill="1" applyBorder="1" applyAlignment="1" applyProtection="1">
      <alignment vertical="center" wrapText="1"/>
    </xf>
    <xf numFmtId="0" fontId="42" fillId="42" borderId="38" xfId="0" applyFont="1" applyFill="1" applyBorder="1" applyAlignment="1" applyProtection="1">
      <alignment vertical="center" wrapText="1"/>
    </xf>
    <xf numFmtId="0" fontId="42" fillId="35" borderId="114" xfId="0" applyFont="1" applyFill="1" applyBorder="1" applyAlignment="1" applyProtection="1">
      <alignment horizontal="center" vertical="center" wrapText="1"/>
      <protection locked="0"/>
    </xf>
    <xf numFmtId="0" fontId="42" fillId="33" borderId="91" xfId="0" applyFont="1" applyFill="1" applyBorder="1" applyAlignment="1" applyProtection="1">
      <alignment wrapText="1"/>
    </xf>
    <xf numFmtId="0" fontId="42" fillId="42" borderId="10" xfId="0" applyFont="1" applyFill="1" applyBorder="1" applyAlignment="1" applyProtection="1">
      <alignment vertical="center" wrapText="1"/>
    </xf>
    <xf numFmtId="0" fontId="42" fillId="33" borderId="179" xfId="657" applyFont="1" applyFill="1" applyBorder="1" applyAlignment="1" applyProtection="1">
      <alignment horizontal="center" vertical="center" wrapText="1"/>
    </xf>
    <xf numFmtId="0" fontId="42" fillId="33" borderId="128" xfId="657" applyFont="1" applyFill="1" applyBorder="1" applyAlignment="1" applyProtection="1">
      <alignment horizontal="center" vertical="center" wrapText="1"/>
    </xf>
    <xf numFmtId="0" fontId="42" fillId="57" borderId="10" xfId="0" applyFont="1" applyFill="1" applyBorder="1" applyAlignment="1" applyProtection="1">
      <alignment horizontal="center" vertical="center" wrapText="1"/>
      <protection locked="0"/>
    </xf>
    <xf numFmtId="0" fontId="42" fillId="57" borderId="95" xfId="0" applyFont="1" applyFill="1" applyBorder="1" applyAlignment="1" applyProtection="1">
      <alignment horizontal="center" vertical="center" wrapText="1"/>
      <protection locked="0"/>
    </xf>
    <xf numFmtId="215" fontId="42" fillId="35" borderId="10" xfId="88" applyNumberFormat="1" applyFont="1" applyFill="1" applyBorder="1" applyAlignment="1" applyProtection="1">
      <alignment horizontal="center" vertical="center" wrapText="1"/>
      <protection locked="0"/>
    </xf>
    <xf numFmtId="214" fontId="42" fillId="35" borderId="10" xfId="88" applyNumberFormat="1" applyFont="1" applyFill="1" applyBorder="1" applyAlignment="1" applyProtection="1">
      <alignment horizontal="center" vertical="center" wrapText="1"/>
      <protection locked="0"/>
    </xf>
    <xf numFmtId="3" fontId="42" fillId="0" borderId="10" xfId="0" applyNumberFormat="1" applyFont="1" applyFill="1" applyBorder="1" applyProtection="1">
      <protection locked="0"/>
    </xf>
    <xf numFmtId="14" fontId="32" fillId="0" borderId="0" xfId="0" applyNumberFormat="1" applyFont="1" applyProtection="1"/>
    <xf numFmtId="0" fontId="42" fillId="0" borderId="10" xfId="0" applyFont="1" applyFill="1" applyBorder="1" applyAlignment="1" applyProtection="1">
      <alignment horizontal="center"/>
      <protection locked="0"/>
    </xf>
    <xf numFmtId="0" fontId="6" fillId="0" borderId="0" xfId="0" applyFont="1" applyAlignment="1">
      <alignment horizontal="center"/>
    </xf>
    <xf numFmtId="0" fontId="42" fillId="0" borderId="180" xfId="0" applyFont="1" applyBorder="1" applyAlignment="1" applyProtection="1">
      <alignment vertical="center" wrapText="1"/>
    </xf>
    <xf numFmtId="188" fontId="42" fillId="35" borderId="180" xfId="88" applyNumberFormat="1" applyFont="1" applyFill="1" applyBorder="1" applyAlignment="1" applyProtection="1">
      <alignment horizontal="center" vertical="center" wrapText="1"/>
      <protection locked="0"/>
    </xf>
    <xf numFmtId="9" fontId="42" fillId="31" borderId="160" xfId="0" applyNumberFormat="1" applyFont="1" applyFill="1" applyBorder="1" applyAlignment="1">
      <alignment horizontal="right" vertical="center"/>
    </xf>
    <xf numFmtId="164" fontId="42" fillId="0" borderId="48" xfId="0" applyNumberFormat="1" applyFont="1" applyBorder="1" applyAlignment="1">
      <alignment horizontal="right" vertical="center"/>
    </xf>
    <xf numFmtId="0" fontId="44" fillId="38" borderId="150" xfId="0" applyFont="1" applyFill="1" applyBorder="1" applyAlignment="1" applyProtection="1">
      <alignment horizontal="center" vertical="top"/>
    </xf>
    <xf numFmtId="170" fontId="42" fillId="33" borderId="181" xfId="0" applyNumberFormat="1" applyFont="1" applyFill="1" applyBorder="1" applyAlignment="1" applyProtection="1">
      <alignment horizontal="center" vertical="center" wrapText="1"/>
      <protection locked="0"/>
    </xf>
    <xf numFmtId="0" fontId="42" fillId="38" borderId="150" xfId="0" applyFont="1" applyFill="1" applyBorder="1" applyAlignment="1" applyProtection="1">
      <alignment vertical="center"/>
    </xf>
    <xf numFmtId="0" fontId="44" fillId="31" borderId="0" xfId="0" applyFont="1" applyFill="1" applyBorder="1" applyAlignment="1" applyProtection="1">
      <alignment horizontal="left"/>
    </xf>
    <xf numFmtId="0" fontId="44" fillId="31" borderId="118" xfId="0" applyFont="1" applyFill="1" applyBorder="1" applyAlignment="1" applyProtection="1">
      <alignment horizontal="center" vertical="center" wrapText="1"/>
    </xf>
    <xf numFmtId="0" fontId="44" fillId="31" borderId="121" xfId="0" applyFont="1" applyFill="1" applyBorder="1" applyAlignment="1" applyProtection="1">
      <alignment horizontal="center" vertical="center" wrapText="1"/>
    </xf>
    <xf numFmtId="0" fontId="42" fillId="38" borderId="148" xfId="0" applyFont="1" applyFill="1" applyBorder="1" applyAlignment="1" applyProtection="1">
      <alignment horizontal="center"/>
    </xf>
    <xf numFmtId="0" fontId="44" fillId="38" borderId="150" xfId="0" applyFont="1" applyFill="1" applyBorder="1" applyAlignment="1" applyProtection="1">
      <alignment horizontal="center" vertical="top" wrapText="1"/>
    </xf>
    <xf numFmtId="0" fontId="44" fillId="38" borderId="149" xfId="43" applyFont="1" applyFill="1" applyBorder="1" applyAlignment="1" applyProtection="1">
      <alignment horizontal="center" vertical="top"/>
    </xf>
    <xf numFmtId="170" fontId="42" fillId="35" borderId="181" xfId="0" applyNumberFormat="1" applyFont="1" applyFill="1" applyBorder="1" applyAlignment="1" applyProtection="1">
      <alignment horizontal="center" vertical="center" wrapText="1"/>
      <protection locked="0"/>
    </xf>
    <xf numFmtId="0" fontId="42" fillId="35" borderId="114" xfId="0" applyFont="1" applyFill="1" applyBorder="1" applyAlignment="1" applyProtection="1">
      <alignment horizontal="center" vertical="center"/>
      <protection locked="0"/>
    </xf>
    <xf numFmtId="170" fontId="42" fillId="35" borderId="182" xfId="0" applyNumberFormat="1" applyFont="1" applyFill="1" applyBorder="1" applyAlignment="1" applyProtection="1">
      <alignment horizontal="center" vertical="center" wrapText="1"/>
      <protection locked="0"/>
    </xf>
    <xf numFmtId="0" fontId="42" fillId="35" borderId="174" xfId="0" applyFont="1" applyFill="1" applyBorder="1" applyAlignment="1" applyProtection="1">
      <alignment horizontal="center" vertical="center"/>
      <protection locked="0"/>
    </xf>
    <xf numFmtId="3" fontId="42" fillId="35" borderId="186" xfId="0" applyNumberFormat="1" applyFont="1" applyFill="1" applyBorder="1" applyAlignment="1" applyProtection="1">
      <alignment horizontal="center" vertical="center"/>
      <protection locked="0"/>
    </xf>
    <xf numFmtId="0" fontId="42" fillId="38" borderId="148" xfId="0" applyFont="1" applyFill="1" applyBorder="1" applyAlignment="1" applyProtection="1">
      <alignment vertical="center"/>
    </xf>
    <xf numFmtId="0" fontId="42" fillId="38" borderId="149" xfId="0" applyFont="1" applyFill="1" applyBorder="1" applyAlignment="1" applyProtection="1">
      <alignment vertical="center"/>
    </xf>
    <xf numFmtId="0" fontId="44" fillId="0" borderId="27" xfId="0" applyFont="1" applyFill="1" applyBorder="1" applyAlignment="1" applyProtection="1">
      <alignment vertical="top"/>
      <protection locked="0"/>
    </xf>
    <xf numFmtId="170" fontId="42" fillId="0" borderId="27" xfId="0" applyNumberFormat="1" applyFont="1" applyFill="1" applyBorder="1" applyAlignment="1" applyProtection="1">
      <alignment horizontal="center" vertical="center"/>
      <protection locked="0"/>
    </xf>
    <xf numFmtId="0" fontId="53" fillId="0" borderId="31" xfId="182" applyFont="1" applyFill="1" applyBorder="1" applyProtection="1"/>
    <xf numFmtId="170" fontId="42" fillId="0" borderId="21" xfId="0" applyNumberFormat="1" applyFont="1" applyFill="1" applyBorder="1" applyAlignment="1" applyProtection="1">
      <alignment horizontal="center" vertical="center"/>
      <protection locked="0"/>
    </xf>
    <xf numFmtId="0" fontId="42" fillId="35" borderId="0" xfId="0" applyFont="1" applyFill="1" applyBorder="1" applyAlignment="1" applyProtection="1">
      <protection locked="0"/>
    </xf>
    <xf numFmtId="0" fontId="42" fillId="35" borderId="0" xfId="182" applyFont="1" applyFill="1" applyBorder="1" applyProtection="1">
      <protection locked="0"/>
    </xf>
    <xf numFmtId="0" fontId="44" fillId="35" borderId="0" xfId="0" applyFont="1" applyFill="1" applyBorder="1" applyAlignment="1" applyProtection="1">
      <alignment horizontal="right"/>
      <protection locked="0"/>
    </xf>
    <xf numFmtId="0" fontId="42" fillId="35" borderId="27" xfId="0" applyFont="1" applyFill="1" applyBorder="1" applyAlignment="1" applyProtection="1">
      <protection locked="0"/>
    </xf>
    <xf numFmtId="0" fontId="42" fillId="35" borderId="27" xfId="0" applyFont="1" applyFill="1" applyBorder="1" applyAlignment="1" applyProtection="1">
      <alignment horizontal="center" vertical="center" wrapText="1"/>
      <protection locked="0"/>
    </xf>
    <xf numFmtId="0" fontId="42" fillId="35" borderId="17" xfId="0" applyFont="1" applyFill="1" applyBorder="1" applyProtection="1">
      <protection locked="0"/>
    </xf>
    <xf numFmtId="0" fontId="42" fillId="35" borderId="31" xfId="0" applyFont="1" applyFill="1" applyBorder="1" applyProtection="1">
      <protection locked="0"/>
    </xf>
    <xf numFmtId="0" fontId="42" fillId="35" borderId="31" xfId="0" applyFont="1" applyFill="1" applyBorder="1" applyAlignment="1" applyProtection="1">
      <protection locked="0"/>
    </xf>
    <xf numFmtId="0" fontId="42" fillId="35" borderId="21" xfId="0" applyFont="1" applyFill="1" applyBorder="1" applyAlignment="1" applyProtection="1">
      <alignment horizontal="center" vertical="center" wrapText="1"/>
      <protection locked="0"/>
    </xf>
    <xf numFmtId="0" fontId="42" fillId="31" borderId="150" xfId="0" applyFont="1" applyFill="1" applyBorder="1" applyAlignment="1" applyProtection="1">
      <protection locked="0"/>
    </xf>
    <xf numFmtId="0" fontId="42" fillId="31" borderId="150" xfId="182" applyFont="1" applyFill="1" applyBorder="1" applyProtection="1">
      <protection locked="0"/>
    </xf>
    <xf numFmtId="170" fontId="42" fillId="31" borderId="149" xfId="0" applyNumberFormat="1" applyFont="1" applyFill="1" applyBorder="1" applyAlignment="1" applyProtection="1">
      <alignment horizontal="center"/>
      <protection locked="0"/>
    </xf>
    <xf numFmtId="0" fontId="42" fillId="31" borderId="150" xfId="182" applyFont="1" applyFill="1" applyBorder="1" applyProtection="1"/>
    <xf numFmtId="0" fontId="59" fillId="31" borderId="150" xfId="56" applyFont="1" applyFill="1" applyBorder="1" applyProtection="1"/>
    <xf numFmtId="0" fontId="59" fillId="31" borderId="150" xfId="182" applyFont="1" applyFill="1" applyBorder="1" applyProtection="1"/>
    <xf numFmtId="0" fontId="44" fillId="31" borderId="149" xfId="0" applyFont="1" applyFill="1" applyBorder="1" applyAlignment="1" applyProtection="1">
      <alignment vertical="top"/>
      <protection locked="0"/>
    </xf>
    <xf numFmtId="0" fontId="44" fillId="31" borderId="148" xfId="182" applyFont="1" applyFill="1" applyBorder="1" applyAlignment="1" applyProtection="1">
      <alignment vertical="top"/>
    </xf>
    <xf numFmtId="0" fontId="61" fillId="31" borderId="148" xfId="182" applyFont="1" applyFill="1" applyBorder="1" applyProtection="1"/>
    <xf numFmtId="0" fontId="53" fillId="31" borderId="150" xfId="182" applyFont="1" applyFill="1" applyBorder="1" applyProtection="1"/>
    <xf numFmtId="170" fontId="42" fillId="31" borderId="149" xfId="0" applyNumberFormat="1" applyFont="1" applyFill="1" applyBorder="1" applyAlignment="1" applyProtection="1">
      <alignment horizontal="center" vertical="center"/>
      <protection locked="0"/>
    </xf>
    <xf numFmtId="0" fontId="34" fillId="0" borderId="10" xfId="45" applyFill="1" applyBorder="1" applyProtection="1"/>
    <xf numFmtId="0" fontId="53" fillId="58" borderId="10" xfId="45" applyFont="1" applyFill="1" applyBorder="1" applyProtection="1">
      <protection locked="0"/>
    </xf>
    <xf numFmtId="0" fontId="53" fillId="58" borderId="121" xfId="45" applyFont="1" applyFill="1" applyBorder="1" applyAlignment="1" applyProtection="1">
      <alignment horizontal="center"/>
      <protection locked="0"/>
    </xf>
    <xf numFmtId="0" fontId="53" fillId="58" borderId="38" xfId="45" applyFont="1" applyFill="1" applyBorder="1" applyProtection="1">
      <protection locked="0"/>
    </xf>
    <xf numFmtId="0" fontId="53" fillId="35" borderId="18" xfId="45" applyFont="1" applyFill="1" applyBorder="1" applyAlignment="1" applyProtection="1">
      <alignment horizontal="center"/>
      <protection locked="0"/>
    </xf>
    <xf numFmtId="7" fontId="42" fillId="29" borderId="0" xfId="661" applyNumberFormat="1" applyFont="1" applyFill="1" applyBorder="1" applyAlignment="1" applyProtection="1">
      <alignment horizontal="left" vertical="center"/>
      <protection locked="0"/>
    </xf>
    <xf numFmtId="0" fontId="42" fillId="0" borderId="10" xfId="0" applyFont="1" applyFill="1" applyBorder="1" applyAlignment="1" applyProtection="1">
      <alignment horizontal="center" vertical="center"/>
    </xf>
    <xf numFmtId="9" fontId="42" fillId="0" borderId="10" xfId="48" applyFont="1" applyFill="1" applyBorder="1" applyAlignment="1" applyProtection="1">
      <alignment horizontal="center"/>
    </xf>
    <xf numFmtId="9" fontId="42" fillId="0" borderId="10" xfId="48" applyFont="1" applyBorder="1" applyAlignment="1" applyProtection="1">
      <alignment horizontal="center"/>
    </xf>
    <xf numFmtId="0" fontId="44" fillId="0" borderId="0" xfId="0" applyFont="1" applyBorder="1" applyAlignment="1" applyProtection="1">
      <alignment horizontal="centerContinuous"/>
      <protection locked="0"/>
    </xf>
    <xf numFmtId="0" fontId="42" fillId="31" borderId="10" xfId="0" applyFont="1" applyFill="1" applyBorder="1" applyAlignment="1" applyProtection="1">
      <alignment horizontal="center" vertical="center"/>
    </xf>
    <xf numFmtId="0" fontId="44" fillId="35" borderId="10" xfId="0" applyFont="1" applyFill="1" applyBorder="1" applyProtection="1">
      <protection locked="0"/>
    </xf>
    <xf numFmtId="208" fontId="53" fillId="35" borderId="47" xfId="28" applyNumberFormat="1" applyFont="1" applyFill="1" applyBorder="1" applyProtection="1">
      <protection locked="0"/>
    </xf>
    <xf numFmtId="43" fontId="42" fillId="0" borderId="45" xfId="0" applyNumberFormat="1" applyFont="1" applyBorder="1" applyProtection="1">
      <protection locked="0"/>
    </xf>
    <xf numFmtId="172" fontId="42" fillId="0" borderId="48" xfId="0" applyNumberFormat="1" applyFont="1" applyBorder="1" applyProtection="1">
      <protection locked="0"/>
    </xf>
    <xf numFmtId="208" fontId="53" fillId="35" borderId="45" xfId="28" applyNumberFormat="1" applyFont="1" applyFill="1" applyBorder="1" applyProtection="1">
      <protection locked="0"/>
    </xf>
    <xf numFmtId="0" fontId="42" fillId="31" borderId="34" xfId="0" applyFont="1" applyFill="1" applyBorder="1"/>
    <xf numFmtId="0" fontId="42" fillId="31" borderId="35" xfId="0" applyFont="1" applyFill="1" applyBorder="1"/>
    <xf numFmtId="0" fontId="42" fillId="31" borderId="36" xfId="0" applyFont="1" applyFill="1" applyBorder="1"/>
    <xf numFmtId="0" fontId="42" fillId="31" borderId="146" xfId="0" applyFont="1" applyFill="1" applyBorder="1"/>
    <xf numFmtId="0" fontId="42" fillId="31" borderId="147" xfId="0" applyFont="1" applyFill="1" applyBorder="1"/>
    <xf numFmtId="0" fontId="42" fillId="31" borderId="167" xfId="0" applyFont="1" applyFill="1" applyBorder="1"/>
    <xf numFmtId="172" fontId="42" fillId="0" borderId="0" xfId="0" applyNumberFormat="1" applyFont="1" applyBorder="1" applyProtection="1">
      <protection locked="0"/>
    </xf>
    <xf numFmtId="208" fontId="53" fillId="0" borderId="150" xfId="28" applyNumberFormat="1" applyFont="1" applyFill="1" applyBorder="1" applyProtection="1">
      <protection locked="0"/>
    </xf>
    <xf numFmtId="43" fontId="42" fillId="0" borderId="150" xfId="0" applyNumberFormat="1" applyFont="1" applyFill="1" applyBorder="1" applyProtection="1">
      <protection locked="0"/>
    </xf>
    <xf numFmtId="172" fontId="42" fillId="0" borderId="150" xfId="0" applyNumberFormat="1" applyFont="1" applyFill="1" applyBorder="1" applyProtection="1">
      <protection locked="0"/>
    </xf>
    <xf numFmtId="0" fontId="42" fillId="0" borderId="40" xfId="0" applyFont="1" applyBorder="1" applyAlignment="1" applyProtection="1">
      <alignment horizontal="right" vertical="center" wrapText="1"/>
    </xf>
    <xf numFmtId="0" fontId="42" fillId="0" borderId="40" xfId="0" applyFont="1" applyBorder="1" applyAlignment="1" applyProtection="1">
      <alignment horizontal="right" vertical="center"/>
    </xf>
    <xf numFmtId="0" fontId="42" fillId="0" borderId="26" xfId="0" applyFont="1" applyBorder="1" applyAlignment="1" applyProtection="1">
      <alignment horizontal="right" vertical="center"/>
    </xf>
    <xf numFmtId="0" fontId="42" fillId="0" borderId="47" xfId="0" applyFont="1" applyBorder="1" applyAlignment="1" applyProtection="1">
      <alignment horizontal="right" vertical="center" wrapText="1"/>
    </xf>
    <xf numFmtId="0" fontId="42" fillId="33" borderId="45" xfId="0" applyFont="1" applyFill="1" applyBorder="1" applyAlignment="1" applyProtection="1">
      <alignment horizontal="center"/>
      <protection locked="0"/>
    </xf>
    <xf numFmtId="0" fontId="42" fillId="35" borderId="163" xfId="0" applyFont="1" applyFill="1" applyBorder="1" applyAlignment="1" applyProtection="1">
      <alignment horizontal="center"/>
      <protection locked="0"/>
    </xf>
    <xf numFmtId="0" fontId="42" fillId="31" borderId="35" xfId="0" applyFont="1" applyFill="1" applyBorder="1" applyAlignment="1" applyProtection="1">
      <alignment horizontal="center" vertical="center"/>
    </xf>
    <xf numFmtId="0" fontId="42" fillId="31" borderId="36" xfId="0" applyFont="1" applyFill="1" applyBorder="1" applyAlignment="1" applyProtection="1">
      <alignment horizontal="center" vertical="center"/>
    </xf>
    <xf numFmtId="0" fontId="44" fillId="31" borderId="146" xfId="0" applyFont="1" applyFill="1" applyBorder="1" applyAlignment="1" applyProtection="1">
      <alignment horizontal="center" vertical="center"/>
    </xf>
    <xf numFmtId="0" fontId="42" fillId="35" borderId="38" xfId="0" applyFont="1" applyFill="1" applyBorder="1" applyAlignment="1" applyProtection="1">
      <alignment horizontal="center"/>
      <protection locked="0"/>
    </xf>
    <xf numFmtId="0" fontId="42" fillId="0" borderId="39" xfId="0" applyFont="1" applyFill="1" applyBorder="1" applyAlignment="1" applyProtection="1">
      <alignment horizontal="center"/>
      <protection locked="0"/>
    </xf>
    <xf numFmtId="0" fontId="42" fillId="0" borderId="180" xfId="0" applyFont="1" applyFill="1" applyBorder="1" applyProtection="1"/>
    <xf numFmtId="0" fontId="40" fillId="32" borderId="23" xfId="54" applyFont="1" applyFill="1" applyBorder="1" applyAlignment="1" applyProtection="1">
      <alignment horizontal="center" vertical="center" wrapText="1"/>
    </xf>
    <xf numFmtId="175" fontId="42" fillId="0" borderId="0" xfId="0" applyNumberFormat="1" applyFont="1" applyBorder="1" applyAlignment="1">
      <alignment horizontal="center" vertical="center"/>
    </xf>
    <xf numFmtId="176" fontId="42" fillId="0" borderId="0" xfId="0" applyNumberFormat="1" applyFont="1" applyBorder="1" applyAlignment="1">
      <alignment horizontal="center" vertical="center"/>
    </xf>
    <xf numFmtId="168" fontId="39" fillId="27" borderId="27" xfId="54" applyNumberFormat="1" applyFont="1" applyFill="1" applyBorder="1" applyAlignment="1" applyProtection="1">
      <alignment horizontal="center"/>
    </xf>
    <xf numFmtId="9" fontId="42" fillId="0" borderId="0" xfId="0" applyNumberFormat="1" applyFont="1" applyBorder="1" applyAlignment="1">
      <alignment horizontal="center" vertical="center"/>
    </xf>
    <xf numFmtId="165" fontId="42" fillId="0" borderId="0" xfId="0" applyNumberFormat="1" applyFont="1" applyBorder="1" applyAlignment="1">
      <alignment horizontal="center" vertical="center"/>
    </xf>
    <xf numFmtId="0" fontId="39" fillId="27" borderId="44" xfId="54" applyFont="1" applyFill="1" applyBorder="1" applyAlignment="1" applyProtection="1">
      <alignment vertical="top"/>
    </xf>
    <xf numFmtId="0" fontId="0" fillId="0" borderId="31" xfId="0" applyBorder="1"/>
    <xf numFmtId="0" fontId="0" fillId="0" borderId="21" xfId="0" applyBorder="1"/>
    <xf numFmtId="0" fontId="42" fillId="0" borderId="180" xfId="0" applyFont="1" applyBorder="1" applyProtection="1"/>
    <xf numFmtId="3" fontId="42" fillId="0" borderId="180" xfId="0" applyNumberFormat="1" applyFont="1" applyFill="1" applyBorder="1" applyAlignment="1" applyProtection="1">
      <alignment horizontal="center" vertical="center" wrapText="1"/>
    </xf>
    <xf numFmtId="0" fontId="42" fillId="35" borderId="180" xfId="0" applyFont="1" applyFill="1" applyBorder="1" applyAlignment="1" applyProtection="1">
      <alignment horizontal="center" vertical="center" wrapText="1"/>
      <protection locked="0"/>
    </xf>
    <xf numFmtId="3" fontId="42" fillId="35" borderId="180" xfId="88" applyNumberFormat="1" applyFont="1" applyFill="1" applyBorder="1" applyAlignment="1" applyProtection="1">
      <alignment horizontal="center" vertical="center" wrapText="1"/>
      <protection locked="0"/>
    </xf>
    <xf numFmtId="0" fontId="42" fillId="33" borderId="180" xfId="657" applyFont="1" applyFill="1" applyBorder="1" applyAlignment="1" applyProtection="1">
      <alignment horizontal="center" vertical="center" wrapText="1"/>
    </xf>
    <xf numFmtId="0" fontId="42" fillId="33" borderId="190" xfId="657" applyFont="1" applyFill="1" applyBorder="1" applyAlignment="1" applyProtection="1">
      <alignment horizontal="center" vertical="center" wrapText="1"/>
    </xf>
    <xf numFmtId="0" fontId="42" fillId="33" borderId="190" xfId="182" applyFont="1" applyFill="1" applyBorder="1" applyAlignment="1" applyProtection="1">
      <alignment horizontal="left" vertical="center" wrapText="1"/>
    </xf>
    <xf numFmtId="0" fontId="42" fillId="33" borderId="180" xfId="182" applyFont="1" applyFill="1" applyBorder="1" applyAlignment="1" applyProtection="1">
      <alignment horizontal="left" vertical="center" wrapText="1"/>
    </xf>
    <xf numFmtId="198" fontId="42" fillId="33" borderId="10" xfId="88" applyNumberFormat="1" applyFont="1" applyFill="1" applyBorder="1" applyAlignment="1" applyProtection="1">
      <alignment horizontal="center" vertical="center" wrapText="1"/>
      <protection locked="0"/>
    </xf>
    <xf numFmtId="3" fontId="42" fillId="33" borderId="104" xfId="88" applyNumberFormat="1" applyFont="1" applyFill="1" applyBorder="1" applyAlignment="1" applyProtection="1">
      <alignment horizontal="center" vertical="center" wrapText="1"/>
      <protection locked="0"/>
    </xf>
    <xf numFmtId="3" fontId="42" fillId="33" borderId="90" xfId="88" applyNumberFormat="1" applyFont="1" applyFill="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42" fillId="0" borderId="119" xfId="0" applyFont="1" applyBorder="1" applyAlignment="1" applyProtection="1">
      <alignment horizontal="center" vertical="center" wrapText="1"/>
      <protection locked="0"/>
    </xf>
    <xf numFmtId="185" fontId="42" fillId="33" borderId="89" xfId="88" applyNumberFormat="1" applyFont="1" applyFill="1" applyBorder="1" applyAlignment="1" applyProtection="1">
      <alignment horizontal="center" vertical="center" wrapText="1"/>
      <protection locked="0"/>
    </xf>
    <xf numFmtId="195" fontId="42" fillId="33" borderId="10" xfId="88" applyNumberFormat="1" applyFont="1" applyFill="1" applyBorder="1" applyAlignment="1" applyProtection="1">
      <alignment horizontal="center" vertical="center" wrapText="1"/>
      <protection locked="0"/>
    </xf>
    <xf numFmtId="196" fontId="42" fillId="33" borderId="10" xfId="88" applyNumberFormat="1" applyFont="1" applyFill="1" applyBorder="1" applyAlignment="1" applyProtection="1">
      <alignment horizontal="center" vertical="center" wrapText="1"/>
      <protection locked="0"/>
    </xf>
    <xf numFmtId="215" fontId="42" fillId="33" borderId="10" xfId="88" applyNumberFormat="1" applyFont="1" applyFill="1" applyBorder="1" applyAlignment="1" applyProtection="1">
      <alignment horizontal="center" vertical="center" wrapText="1"/>
      <protection locked="0"/>
    </xf>
    <xf numFmtId="215" fontId="72" fillId="0" borderId="10" xfId="689" applyNumberFormat="1" applyFont="1" applyFill="1" applyBorder="1" applyAlignment="1" applyProtection="1">
      <alignment horizontal="center" vertical="center" wrapText="1"/>
      <protection locked="0"/>
    </xf>
    <xf numFmtId="213" fontId="42" fillId="33" borderId="10" xfId="689" applyNumberFormat="1" applyFont="1" applyFill="1" applyBorder="1" applyAlignment="1" applyProtection="1">
      <alignment horizontal="center" vertical="center" wrapText="1"/>
      <protection locked="0"/>
    </xf>
    <xf numFmtId="213" fontId="42" fillId="0" borderId="10" xfId="689" applyNumberFormat="1" applyFont="1" applyFill="1" applyBorder="1" applyAlignment="1" applyProtection="1">
      <alignment horizontal="center" vertical="center" wrapText="1"/>
      <protection locked="0"/>
    </xf>
    <xf numFmtId="214" fontId="42" fillId="33" borderId="10" xfId="88" applyNumberFormat="1" applyFont="1" applyFill="1" applyBorder="1" applyAlignment="1" applyProtection="1">
      <alignment horizontal="center" vertical="center" wrapText="1"/>
      <protection locked="0"/>
    </xf>
    <xf numFmtId="0" fontId="42" fillId="33" borderId="10" xfId="88" applyNumberFormat="1" applyFont="1" applyFill="1" applyBorder="1" applyAlignment="1" applyProtection="1">
      <alignment horizontal="center" vertical="center" wrapText="1"/>
      <protection locked="0"/>
    </xf>
    <xf numFmtId="217" fontId="42" fillId="33" borderId="10" xfId="88" applyNumberFormat="1" applyFont="1" applyFill="1" applyBorder="1" applyAlignment="1" applyProtection="1">
      <alignment horizontal="center" vertical="center" wrapText="1"/>
      <protection locked="0"/>
    </xf>
    <xf numFmtId="216" fontId="42" fillId="0" borderId="10" xfId="88" applyNumberFormat="1" applyFont="1" applyFill="1" applyBorder="1" applyAlignment="1" applyProtection="1">
      <alignment horizontal="center" vertical="center" wrapText="1"/>
      <protection locked="0"/>
    </xf>
    <xf numFmtId="204" fontId="42" fillId="33" borderId="10" xfId="88" applyNumberFormat="1" applyFont="1" applyFill="1" applyBorder="1" applyAlignment="1" applyProtection="1">
      <alignment horizontal="center" vertical="center" wrapText="1"/>
      <protection locked="0"/>
    </xf>
    <xf numFmtId="165" fontId="42" fillId="33" borderId="10" xfId="48" applyNumberFormat="1" applyFont="1" applyFill="1" applyBorder="1" applyAlignment="1" applyProtection="1">
      <alignment horizontal="center" vertical="center" wrapText="1"/>
      <protection locked="0"/>
    </xf>
    <xf numFmtId="205" fontId="42" fillId="33" borderId="10" xfId="88" applyNumberFormat="1" applyFont="1" applyFill="1" applyBorder="1" applyAlignment="1" applyProtection="1">
      <alignment horizontal="center" vertical="center" wrapText="1"/>
      <protection locked="0"/>
    </xf>
    <xf numFmtId="167" fontId="42" fillId="33" borderId="10" xfId="689" applyNumberFormat="1" applyFont="1" applyFill="1" applyBorder="1" applyAlignment="1" applyProtection="1">
      <alignment horizontal="center" vertical="center" wrapText="1"/>
      <protection locked="0"/>
    </xf>
    <xf numFmtId="201" fontId="42" fillId="33" borderId="10" xfId="88" applyNumberFormat="1" applyFont="1" applyFill="1" applyBorder="1" applyAlignment="1" applyProtection="1">
      <alignment horizontal="center" vertical="center" wrapText="1"/>
      <protection locked="0"/>
    </xf>
    <xf numFmtId="218" fontId="42" fillId="35" borderId="10" xfId="88" applyNumberFormat="1" applyFont="1" applyFill="1" applyBorder="1" applyAlignment="1" applyProtection="1">
      <alignment horizontal="center" vertical="center" wrapText="1"/>
      <protection locked="0"/>
    </xf>
    <xf numFmtId="218" fontId="42" fillId="33" borderId="90" xfId="88" applyNumberFormat="1" applyFont="1" applyFill="1" applyBorder="1" applyAlignment="1" applyProtection="1">
      <alignment horizontal="center" vertical="center" wrapText="1"/>
      <protection locked="0"/>
    </xf>
    <xf numFmtId="218" fontId="42" fillId="0" borderId="10" xfId="88" applyNumberFormat="1" applyFont="1" applyFill="1" applyBorder="1" applyAlignment="1" applyProtection="1">
      <alignment horizontal="center" vertical="center" wrapText="1"/>
      <protection locked="0"/>
    </xf>
    <xf numFmtId="167" fontId="42" fillId="0" borderId="90" xfId="88" applyNumberFormat="1" applyFont="1" applyFill="1" applyBorder="1" applyAlignment="1" applyProtection="1">
      <alignment horizontal="center" vertical="center" wrapText="1"/>
      <protection locked="0"/>
    </xf>
    <xf numFmtId="205" fontId="42" fillId="35" borderId="10" xfId="0" applyNumberFormat="1" applyFont="1" applyFill="1" applyBorder="1" applyAlignment="1" applyProtection="1">
      <alignment horizontal="center" vertical="center" wrapText="1"/>
      <protection locked="0"/>
    </xf>
    <xf numFmtId="219" fontId="42" fillId="35" borderId="56" xfId="88" applyNumberFormat="1" applyFont="1" applyFill="1" applyBorder="1" applyAlignment="1" applyProtection="1">
      <alignment horizontal="center" vertical="center" wrapText="1"/>
      <protection locked="0"/>
    </xf>
    <xf numFmtId="219" fontId="42" fillId="33" borderId="56" xfId="0" applyNumberFormat="1" applyFont="1" applyFill="1" applyBorder="1" applyAlignment="1" applyProtection="1">
      <alignment horizontal="center" vertical="center" wrapText="1"/>
    </xf>
    <xf numFmtId="0" fontId="42" fillId="0" borderId="180" xfId="0" applyFont="1" applyBorder="1" applyAlignment="1" applyProtection="1">
      <alignment wrapText="1"/>
    </xf>
    <xf numFmtId="167" fontId="42" fillId="33" borderId="180" xfId="88" applyNumberFormat="1" applyFont="1" applyFill="1" applyBorder="1" applyAlignment="1" applyProtection="1">
      <alignment horizontal="center" vertical="center" wrapText="1"/>
      <protection locked="0"/>
    </xf>
    <xf numFmtId="167" fontId="42" fillId="35" borderId="180" xfId="88" applyNumberFormat="1" applyFont="1" applyFill="1" applyBorder="1" applyAlignment="1" applyProtection="1">
      <alignment horizontal="center" vertical="center" wrapText="1"/>
      <protection locked="0"/>
    </xf>
    <xf numFmtId="1" fontId="42" fillId="0" borderId="39" xfId="28" applyNumberFormat="1" applyFont="1" applyBorder="1" applyProtection="1"/>
    <xf numFmtId="1" fontId="42" fillId="0" borderId="67" xfId="28" applyNumberFormat="1" applyFont="1" applyBorder="1" applyProtection="1"/>
    <xf numFmtId="0" fontId="42" fillId="0" borderId="183" xfId="0" applyFont="1" applyFill="1" applyBorder="1" applyAlignment="1" applyProtection="1">
      <alignment vertical="center" wrapText="1"/>
      <protection locked="0"/>
    </xf>
    <xf numFmtId="0" fontId="42" fillId="0" borderId="184" xfId="0" applyFont="1" applyFill="1" applyBorder="1" applyAlignment="1" applyProtection="1">
      <alignment vertical="center" wrapText="1"/>
      <protection locked="0"/>
    </xf>
    <xf numFmtId="0" fontId="42" fillId="33" borderId="114" xfId="0" applyFont="1" applyFill="1" applyBorder="1" applyAlignment="1" applyProtection="1">
      <alignment horizontal="center" vertical="center"/>
      <protection locked="0"/>
    </xf>
    <xf numFmtId="3" fontId="42" fillId="0" borderId="63" xfId="0" applyNumberFormat="1" applyFont="1" applyFill="1" applyBorder="1" applyAlignment="1" applyProtection="1">
      <alignment horizontal="center" vertical="center"/>
      <protection locked="0"/>
    </xf>
    <xf numFmtId="3" fontId="42" fillId="0" borderId="61" xfId="0" applyNumberFormat="1" applyFont="1" applyFill="1" applyBorder="1" applyAlignment="1" applyProtection="1">
      <alignment horizontal="center" vertical="center"/>
      <protection locked="0"/>
    </xf>
    <xf numFmtId="167" fontId="42" fillId="0" borderId="71" xfId="0" applyNumberFormat="1" applyFont="1" applyFill="1" applyBorder="1" applyAlignment="1" applyProtection="1">
      <alignment horizontal="center" vertical="center"/>
      <protection locked="0"/>
    </xf>
    <xf numFmtId="170" fontId="42" fillId="0" borderId="185" xfId="0" applyNumberFormat="1" applyFont="1" applyFill="1" applyBorder="1" applyAlignment="1" applyProtection="1">
      <alignment horizontal="center" vertical="center"/>
      <protection locked="0"/>
    </xf>
    <xf numFmtId="0" fontId="42" fillId="0" borderId="59" xfId="0" applyFont="1" applyFill="1" applyBorder="1" applyAlignment="1" applyProtection="1">
      <alignment vertical="center" wrapText="1"/>
      <protection locked="0"/>
    </xf>
    <xf numFmtId="0" fontId="42" fillId="0" borderId="60" xfId="0" applyFont="1" applyFill="1" applyBorder="1" applyAlignment="1" applyProtection="1">
      <alignment vertical="center" wrapText="1"/>
      <protection locked="0"/>
    </xf>
    <xf numFmtId="0" fontId="42" fillId="33" borderId="38" xfId="0" applyFont="1" applyFill="1" applyBorder="1" applyAlignment="1" applyProtection="1">
      <alignment horizontal="center" vertical="center"/>
      <protection locked="0"/>
    </xf>
    <xf numFmtId="3" fontId="42" fillId="0" borderId="72" xfId="0" applyNumberFormat="1" applyFont="1" applyFill="1" applyBorder="1" applyAlignment="1" applyProtection="1">
      <alignment horizontal="center" vertical="center"/>
      <protection locked="0"/>
    </xf>
    <xf numFmtId="3" fontId="42" fillId="0" borderId="38" xfId="0" applyNumberFormat="1" applyFont="1" applyFill="1" applyBorder="1" applyAlignment="1" applyProtection="1">
      <alignment horizontal="center" vertical="center"/>
      <protection locked="0"/>
    </xf>
    <xf numFmtId="3" fontId="42" fillId="0" borderId="10" xfId="0" applyNumberFormat="1" applyFont="1" applyFill="1" applyBorder="1" applyAlignment="1" applyProtection="1">
      <alignment horizontal="center" vertical="center"/>
      <protection locked="0"/>
    </xf>
    <xf numFmtId="0" fontId="42" fillId="0" borderId="42" xfId="0" applyFont="1" applyFill="1" applyBorder="1" applyAlignment="1" applyProtection="1">
      <alignment vertical="center" wrapText="1"/>
      <protection locked="0"/>
    </xf>
    <xf numFmtId="3" fontId="42" fillId="56" borderId="10" xfId="0" applyNumberFormat="1" applyFont="1" applyFill="1" applyBorder="1" applyAlignment="1" applyProtection="1">
      <alignment horizontal="center"/>
      <protection locked="0"/>
    </xf>
    <xf numFmtId="0" fontId="42" fillId="35" borderId="180" xfId="0" applyFont="1" applyFill="1" applyBorder="1" applyProtection="1">
      <protection locked="0"/>
    </xf>
    <xf numFmtId="220" fontId="42" fillId="35" borderId="104" xfId="88" applyNumberFormat="1" applyFont="1" applyFill="1" applyBorder="1" applyAlignment="1" applyProtection="1">
      <alignment horizontal="center" vertical="center" wrapText="1"/>
      <protection locked="0"/>
    </xf>
    <xf numFmtId="165" fontId="42" fillId="35" borderId="10" xfId="88" applyNumberFormat="1" applyFont="1" applyFill="1" applyBorder="1" applyAlignment="1" applyProtection="1">
      <alignment horizontal="center" vertical="center" wrapText="1"/>
      <protection locked="0"/>
    </xf>
    <xf numFmtId="2" fontId="53" fillId="0" borderId="10" xfId="44" applyNumberFormat="1" applyFont="1" applyFill="1" applyBorder="1" applyAlignment="1" applyProtection="1">
      <alignment horizontal="center"/>
      <protection locked="0"/>
    </xf>
    <xf numFmtId="0" fontId="44" fillId="31" borderId="150" xfId="0" applyFont="1" applyFill="1" applyBorder="1" applyAlignment="1" applyProtection="1">
      <alignment horizontal="left"/>
    </xf>
    <xf numFmtId="0" fontId="44" fillId="0" borderId="11" xfId="0" applyFont="1" applyFill="1" applyBorder="1" applyAlignment="1" applyProtection="1">
      <alignment horizontal="center" wrapText="1"/>
    </xf>
    <xf numFmtId="3" fontId="42" fillId="0" borderId="198" xfId="0" applyNumberFormat="1" applyFont="1" applyFill="1" applyBorder="1" applyAlignment="1" applyProtection="1">
      <alignment horizontal="center" vertical="center"/>
      <protection locked="0"/>
    </xf>
    <xf numFmtId="170" fontId="42" fillId="59" borderId="195" xfId="0" applyNumberFormat="1" applyFont="1" applyFill="1" applyBorder="1" applyAlignment="1" applyProtection="1">
      <alignment horizontal="center" vertical="center" wrapText="1"/>
      <protection locked="0"/>
    </xf>
    <xf numFmtId="170" fontId="42" fillId="0" borderId="38" xfId="0" applyNumberFormat="1" applyFont="1" applyFill="1" applyBorder="1" applyAlignment="1" applyProtection="1">
      <alignment horizontal="center"/>
      <protection locked="0"/>
    </xf>
    <xf numFmtId="0" fontId="89" fillId="0" borderId="0" xfId="0" applyFont="1" applyAlignment="1" applyProtection="1">
      <alignment wrapText="1"/>
    </xf>
    <xf numFmtId="0" fontId="54" fillId="31" borderId="187" xfId="44" applyFont="1" applyFill="1" applyBorder="1" applyProtection="1"/>
    <xf numFmtId="0" fontId="42" fillId="0" borderId="190" xfId="44" applyFont="1" applyFill="1" applyBorder="1" applyProtection="1"/>
    <xf numFmtId="2" fontId="53" fillId="0" borderId="120" xfId="44" applyNumberFormat="1" applyFont="1" applyBorder="1" applyAlignment="1" applyProtection="1">
      <alignment horizontal="center"/>
    </xf>
    <xf numFmtId="0" fontId="53" fillId="0" borderId="191" xfId="44" applyFont="1" applyFill="1" applyBorder="1" applyProtection="1">
      <protection locked="0"/>
    </xf>
    <xf numFmtId="2" fontId="53" fillId="0" borderId="10" xfId="44" applyNumberFormat="1" applyFont="1" applyBorder="1" applyAlignment="1" applyProtection="1">
      <alignment horizontal="center"/>
    </xf>
    <xf numFmtId="0" fontId="54" fillId="31" borderId="114" xfId="44" applyFont="1" applyFill="1" applyBorder="1" applyProtection="1"/>
    <xf numFmtId="193" fontId="42" fillId="0" borderId="10" xfId="88" applyNumberFormat="1" applyFont="1" applyFill="1" applyBorder="1" applyAlignment="1" applyProtection="1">
      <alignment horizontal="center" vertical="center" wrapText="1"/>
      <protection locked="0"/>
    </xf>
    <xf numFmtId="3" fontId="42" fillId="0" borderId="10" xfId="88" applyNumberFormat="1" applyFont="1" applyFill="1" applyBorder="1" applyAlignment="1" applyProtection="1">
      <alignment horizontal="center" vertical="center" wrapText="1"/>
      <protection locked="0"/>
    </xf>
    <xf numFmtId="0" fontId="42" fillId="0" borderId="110" xfId="0" applyFont="1" applyFill="1" applyBorder="1" applyAlignment="1" applyProtection="1">
      <alignment horizontal="center" vertical="center" wrapText="1"/>
      <protection locked="0"/>
    </xf>
    <xf numFmtId="3" fontId="42" fillId="0" borderId="110" xfId="88" applyNumberFormat="1" applyFont="1" applyFill="1" applyBorder="1" applyAlignment="1" applyProtection="1">
      <alignment horizontal="center" vertical="center" wrapText="1"/>
      <protection locked="0"/>
    </xf>
    <xf numFmtId="0" fontId="42" fillId="0" borderId="120" xfId="0" applyFont="1" applyFill="1" applyBorder="1" applyAlignment="1" applyProtection="1">
      <alignment horizontal="center" vertical="center" wrapText="1"/>
      <protection locked="0"/>
    </xf>
    <xf numFmtId="199" fontId="42" fillId="0" borderId="10" xfId="88" applyNumberFormat="1" applyFont="1" applyFill="1" applyBorder="1" applyAlignment="1" applyProtection="1">
      <alignment horizontal="center" vertical="center" wrapText="1"/>
      <protection locked="0"/>
    </xf>
    <xf numFmtId="3" fontId="42" fillId="0" borderId="104" xfId="88" applyNumberFormat="1" applyFont="1" applyFill="1" applyBorder="1" applyAlignment="1" applyProtection="1">
      <alignment horizontal="center" vertical="center" wrapText="1"/>
      <protection locked="0"/>
    </xf>
    <xf numFmtId="192" fontId="42" fillId="0" borderId="10" xfId="88" applyNumberFormat="1" applyFont="1" applyFill="1" applyBorder="1" applyAlignment="1" applyProtection="1">
      <alignment horizontal="center" vertical="center" wrapText="1"/>
      <protection locked="0"/>
    </xf>
    <xf numFmtId="3" fontId="42" fillId="0" borderId="63" xfId="88" applyNumberFormat="1" applyFont="1" applyFill="1" applyBorder="1" applyAlignment="1" applyProtection="1">
      <alignment horizontal="center" vertical="center" wrapText="1"/>
      <protection locked="0"/>
    </xf>
    <xf numFmtId="167" fontId="42" fillId="0" borderId="62" xfId="88" applyNumberFormat="1" applyFont="1" applyFill="1" applyBorder="1" applyAlignment="1" applyProtection="1">
      <alignment horizontal="center" vertical="center" wrapText="1"/>
      <protection locked="0"/>
    </xf>
    <xf numFmtId="0" fontId="57" fillId="0" borderId="0" xfId="0" applyFont="1" applyProtection="1"/>
    <xf numFmtId="0" fontId="42" fillId="0" borderId="202" xfId="0" applyFont="1" applyBorder="1" applyAlignment="1" applyProtection="1">
      <alignment horizontal="center" vertical="center" wrapText="1"/>
    </xf>
    <xf numFmtId="0" fontId="42" fillId="33" borderId="121" xfId="657" applyFont="1" applyFill="1" applyBorder="1" applyAlignment="1" applyProtection="1">
      <alignment horizontal="center" vertical="center" wrapText="1"/>
    </xf>
    <xf numFmtId="0" fontId="42" fillId="33" borderId="114" xfId="657" applyFont="1" applyFill="1" applyBorder="1" applyAlignment="1" applyProtection="1">
      <alignment horizontal="center" vertical="center" wrapText="1"/>
    </xf>
    <xf numFmtId="0" fontId="36" fillId="25" borderId="148" xfId="45" applyFont="1" applyFill="1" applyBorder="1" applyAlignment="1">
      <alignment horizontal="center"/>
    </xf>
    <xf numFmtId="0" fontId="36" fillId="25" borderId="149" xfId="45" applyFont="1" applyFill="1" applyBorder="1" applyAlignment="1">
      <alignment horizontal="center"/>
    </xf>
    <xf numFmtId="0" fontId="35" fillId="25" borderId="151" xfId="45" applyFont="1" applyFill="1" applyBorder="1" applyAlignment="1">
      <alignment horizontal="center"/>
    </xf>
    <xf numFmtId="0" fontId="35" fillId="25" borderId="37" xfId="45" applyFont="1" applyFill="1" applyBorder="1" applyAlignment="1">
      <alignment horizontal="center"/>
    </xf>
    <xf numFmtId="0" fontId="35" fillId="25" borderId="152" xfId="45" applyFont="1" applyFill="1" applyBorder="1" applyAlignment="1">
      <alignment horizontal="center"/>
    </xf>
    <xf numFmtId="0" fontId="35" fillId="25" borderId="153" xfId="45" applyFont="1" applyFill="1" applyBorder="1" applyAlignment="1">
      <alignment horizontal="center"/>
    </xf>
    <xf numFmtId="0" fontId="35" fillId="25" borderId="154" xfId="45" applyFont="1" applyFill="1" applyBorder="1" applyAlignment="1">
      <alignment horizontal="center"/>
    </xf>
    <xf numFmtId="0" fontId="36" fillId="25" borderId="150" xfId="45" applyFont="1" applyFill="1" applyBorder="1" applyAlignment="1">
      <alignment horizontal="center"/>
    </xf>
    <xf numFmtId="0" fontId="42" fillId="29" borderId="146" xfId="0" applyFont="1" applyFill="1" applyBorder="1" applyAlignment="1" applyProtection="1">
      <alignment horizontal="justify" wrapText="1"/>
    </xf>
    <xf numFmtId="0" fontId="42" fillId="29" borderId="147" xfId="0" applyFont="1" applyFill="1" applyBorder="1" applyAlignment="1" applyProtection="1">
      <alignment horizontal="justify" wrapText="1"/>
    </xf>
    <xf numFmtId="0" fontId="42" fillId="35" borderId="26" xfId="0" applyFont="1" applyFill="1" applyBorder="1" applyAlignment="1" applyProtection="1">
      <alignment horizontal="left" wrapText="1"/>
    </xf>
    <xf numFmtId="0" fontId="42" fillId="35" borderId="27" xfId="0" applyFont="1" applyFill="1" applyBorder="1" applyAlignment="1" applyProtection="1">
      <alignment horizontal="left" wrapText="1"/>
    </xf>
    <xf numFmtId="0" fontId="42" fillId="29" borderId="17" xfId="0" applyFont="1" applyFill="1" applyBorder="1" applyAlignment="1" applyProtection="1">
      <alignment horizontal="left" wrapText="1"/>
    </xf>
    <xf numFmtId="0" fontId="42" fillId="29" borderId="21" xfId="0" applyFont="1" applyFill="1" applyBorder="1" applyAlignment="1" applyProtection="1">
      <alignment horizontal="left" wrapText="1"/>
    </xf>
    <xf numFmtId="0" fontId="44" fillId="31" borderId="91" xfId="0" applyFont="1" applyFill="1" applyBorder="1" applyAlignment="1" applyProtection="1">
      <alignment horizontal="left"/>
    </xf>
    <xf numFmtId="0" fontId="44" fillId="31" borderId="119" xfId="0" applyFont="1" applyFill="1" applyBorder="1" applyAlignment="1" applyProtection="1">
      <alignment horizontal="left"/>
    </xf>
    <xf numFmtId="0" fontId="44" fillId="31" borderId="120" xfId="0" applyFont="1" applyFill="1" applyBorder="1" applyAlignment="1" applyProtection="1">
      <alignment horizontal="left"/>
    </xf>
    <xf numFmtId="8" fontId="42" fillId="35" borderId="91" xfId="0" applyNumberFormat="1" applyFont="1" applyFill="1" applyBorder="1" applyAlignment="1" applyProtection="1">
      <alignment horizontal="center"/>
      <protection locked="0"/>
    </xf>
    <xf numFmtId="8" fontId="42" fillId="35" borderId="120" xfId="0" applyNumberFormat="1" applyFont="1" applyFill="1" applyBorder="1" applyAlignment="1" applyProtection="1">
      <alignment horizontal="center"/>
      <protection locked="0"/>
    </xf>
    <xf numFmtId="179" fontId="42" fillId="35" borderId="91" xfId="0" applyNumberFormat="1" applyFont="1" applyFill="1" applyBorder="1" applyAlignment="1" applyProtection="1">
      <alignment horizontal="center"/>
      <protection locked="0"/>
    </xf>
    <xf numFmtId="179" fontId="42" fillId="35" borderId="120" xfId="0" applyNumberFormat="1" applyFont="1" applyFill="1" applyBorder="1" applyAlignment="1" applyProtection="1">
      <alignment horizontal="center"/>
      <protection locked="0"/>
    </xf>
    <xf numFmtId="0" fontId="42" fillId="42" borderId="121" xfId="0" applyFont="1" applyFill="1" applyBorder="1" applyAlignment="1" applyProtection="1">
      <alignment horizontal="center" vertical="center" wrapText="1"/>
    </xf>
    <xf numFmtId="0" fontId="42" fillId="42" borderId="114" xfId="0" applyFont="1" applyFill="1" applyBorder="1" applyAlignment="1" applyProtection="1">
      <alignment horizontal="center" vertical="center" wrapText="1"/>
    </xf>
    <xf numFmtId="0" fontId="42" fillId="35" borderId="121" xfId="0" applyFont="1" applyFill="1" applyBorder="1" applyAlignment="1" applyProtection="1">
      <alignment horizontal="center" vertical="center" wrapText="1"/>
      <protection locked="0"/>
    </xf>
    <xf numFmtId="0" fontId="42" fillId="35" borderId="95" xfId="0" applyFont="1" applyFill="1" applyBorder="1" applyAlignment="1" applyProtection="1">
      <alignment horizontal="center" vertical="center" wrapText="1"/>
      <protection locked="0"/>
    </xf>
    <xf numFmtId="0" fontId="42" fillId="35" borderId="114" xfId="0" applyFont="1" applyFill="1" applyBorder="1" applyAlignment="1" applyProtection="1">
      <alignment horizontal="center" vertical="center" wrapText="1"/>
      <protection locked="0"/>
    </xf>
    <xf numFmtId="0" fontId="42" fillId="35" borderId="179" xfId="0" applyFont="1" applyFill="1" applyBorder="1" applyAlignment="1" applyProtection="1">
      <alignment horizontal="center" vertical="center" wrapText="1"/>
      <protection locked="0"/>
    </xf>
    <xf numFmtId="0" fontId="42" fillId="35" borderId="174" xfId="0" applyFont="1" applyFill="1" applyBorder="1" applyAlignment="1" applyProtection="1">
      <alignment horizontal="center" vertical="center" wrapText="1"/>
      <protection locked="0"/>
    </xf>
    <xf numFmtId="0" fontId="42" fillId="35" borderId="38" xfId="0" applyFont="1" applyFill="1" applyBorder="1" applyAlignment="1" applyProtection="1">
      <alignment horizontal="center" vertical="center" wrapText="1"/>
      <protection locked="0"/>
    </xf>
    <xf numFmtId="0" fontId="42" fillId="42" borderId="10" xfId="0" applyFont="1" applyFill="1" applyBorder="1" applyAlignment="1" applyProtection="1">
      <alignment vertical="center" wrapText="1"/>
    </xf>
    <xf numFmtId="0" fontId="42" fillId="42" borderId="179" xfId="0" applyFont="1" applyFill="1" applyBorder="1" applyAlignment="1" applyProtection="1">
      <alignment vertical="center" wrapText="1"/>
    </xf>
    <xf numFmtId="0" fontId="42" fillId="42" borderId="38" xfId="0" applyFont="1" applyFill="1" applyBorder="1" applyAlignment="1" applyProtection="1">
      <alignment vertical="center" wrapText="1"/>
    </xf>
    <xf numFmtId="0" fontId="89" fillId="0" borderId="199" xfId="0" applyFont="1" applyBorder="1" applyAlignment="1" applyProtection="1">
      <alignment horizontal="center" vertical="center" wrapText="1"/>
    </xf>
    <xf numFmtId="0" fontId="89" fillId="0" borderId="200" xfId="0" applyFont="1" applyBorder="1" applyAlignment="1" applyProtection="1">
      <alignment horizontal="center" vertical="center" wrapText="1"/>
    </xf>
    <xf numFmtId="0" fontId="89" fillId="0" borderId="201" xfId="0" applyFont="1" applyBorder="1" applyAlignment="1" applyProtection="1">
      <alignment horizontal="center" vertical="center" wrapText="1"/>
    </xf>
    <xf numFmtId="0" fontId="42" fillId="42" borderId="95" xfId="0" applyFont="1" applyFill="1" applyBorder="1" applyAlignment="1" applyProtection="1">
      <alignment horizontal="center" vertical="center" wrapText="1"/>
    </xf>
    <xf numFmtId="0" fontId="42" fillId="35" borderId="121" xfId="0" applyNumberFormat="1" applyFont="1" applyFill="1" applyBorder="1" applyAlignment="1" applyProtection="1">
      <alignment horizontal="center" vertical="center" wrapText="1"/>
      <protection locked="0"/>
    </xf>
    <xf numFmtId="0" fontId="42" fillId="35" borderId="114" xfId="0" applyNumberFormat="1" applyFont="1" applyFill="1" applyBorder="1" applyAlignment="1" applyProtection="1">
      <alignment horizontal="center" vertical="center" wrapText="1"/>
      <protection locked="0"/>
    </xf>
    <xf numFmtId="0" fontId="42" fillId="0" borderId="148" xfId="0" applyFont="1" applyBorder="1" applyAlignment="1" applyProtection="1">
      <alignment horizontal="center" vertical="center" wrapText="1"/>
    </xf>
    <xf numFmtId="0" fontId="42" fillId="0" borderId="150" xfId="0" applyFont="1" applyBorder="1" applyAlignment="1" applyProtection="1">
      <alignment horizontal="center" vertical="center" wrapText="1"/>
    </xf>
    <xf numFmtId="0" fontId="42" fillId="0" borderId="149" xfId="0" applyFont="1" applyBorder="1" applyAlignment="1" applyProtection="1">
      <alignment horizontal="center" vertical="center" wrapText="1"/>
    </xf>
    <xf numFmtId="0" fontId="57" fillId="0" borderId="0" xfId="0" applyFont="1" applyAlignment="1" applyProtection="1">
      <alignment horizontal="center" vertical="center" wrapText="1"/>
    </xf>
    <xf numFmtId="0" fontId="44" fillId="31" borderId="167" xfId="0" applyFont="1" applyFill="1" applyBorder="1" applyAlignment="1" applyProtection="1">
      <alignment horizontal="center" wrapText="1"/>
    </xf>
    <xf numFmtId="0" fontId="44" fillId="31" borderId="29" xfId="0" applyFont="1" applyFill="1" applyBorder="1" applyAlignment="1" applyProtection="1">
      <alignment horizontal="center" wrapText="1"/>
    </xf>
    <xf numFmtId="0" fontId="44" fillId="31" borderId="30" xfId="0" applyFont="1" applyFill="1" applyBorder="1" applyAlignment="1" applyProtection="1">
      <alignment horizontal="center" wrapText="1"/>
    </xf>
    <xf numFmtId="0" fontId="42" fillId="0" borderId="26" xfId="0" applyFont="1" applyFill="1" applyBorder="1" applyAlignment="1" applyProtection="1">
      <alignment horizontal="left" vertical="top" wrapText="1"/>
    </xf>
    <xf numFmtId="0" fontId="42" fillId="0" borderId="101" xfId="0" applyFont="1" applyFill="1" applyBorder="1" applyAlignment="1" applyProtection="1">
      <alignment horizontal="left" vertical="top" wrapText="1"/>
    </xf>
    <xf numFmtId="3" fontId="42" fillId="33" borderId="91" xfId="0" applyNumberFormat="1" applyFont="1" applyFill="1" applyBorder="1" applyAlignment="1" applyProtection="1">
      <alignment horizontal="center"/>
    </xf>
    <xf numFmtId="3" fontId="42" fillId="33" borderId="119" xfId="0" applyNumberFormat="1" applyFont="1" applyFill="1" applyBorder="1" applyAlignment="1" applyProtection="1">
      <alignment horizontal="center"/>
    </xf>
    <xf numFmtId="3" fontId="42" fillId="33" borderId="160" xfId="0" applyNumberFormat="1" applyFont="1" applyFill="1" applyBorder="1" applyAlignment="1" applyProtection="1">
      <alignment horizontal="center"/>
    </xf>
    <xf numFmtId="166" fontId="42" fillId="0" borderId="91" xfId="0" applyNumberFormat="1" applyFont="1" applyBorder="1" applyAlignment="1" applyProtection="1">
      <alignment horizontal="center"/>
    </xf>
    <xf numFmtId="166" fontId="42" fillId="0" borderId="119" xfId="0" applyNumberFormat="1" applyFont="1" applyBorder="1" applyAlignment="1" applyProtection="1">
      <alignment horizontal="center"/>
    </xf>
    <xf numFmtId="166" fontId="42" fillId="0" borderId="160" xfId="0" applyNumberFormat="1" applyFont="1" applyBorder="1" applyAlignment="1" applyProtection="1">
      <alignment horizontal="center"/>
    </xf>
    <xf numFmtId="166" fontId="42" fillId="0" borderId="91" xfId="0" applyNumberFormat="1" applyFont="1" applyFill="1" applyBorder="1" applyAlignment="1" applyProtection="1">
      <alignment horizontal="center" vertical="top" wrapText="1"/>
    </xf>
    <xf numFmtId="166" fontId="42" fillId="0" borderId="119" xfId="0" applyNumberFormat="1" applyFont="1" applyFill="1" applyBorder="1" applyAlignment="1" applyProtection="1">
      <alignment horizontal="center" vertical="top" wrapText="1"/>
    </xf>
    <xf numFmtId="166" fontId="42" fillId="0" borderId="120" xfId="0" applyNumberFormat="1" applyFont="1" applyFill="1" applyBorder="1" applyAlignment="1" applyProtection="1">
      <alignment horizontal="center" vertical="top" wrapText="1"/>
    </xf>
    <xf numFmtId="3" fontId="42" fillId="0" borderId="91" xfId="0" applyNumberFormat="1" applyFont="1" applyFill="1" applyBorder="1" applyAlignment="1" applyProtection="1">
      <alignment horizontal="center" vertical="top" wrapText="1"/>
    </xf>
    <xf numFmtId="3" fontId="42" fillId="0" borderId="119" xfId="0" applyNumberFormat="1" applyFont="1" applyFill="1" applyBorder="1" applyAlignment="1" applyProtection="1">
      <alignment horizontal="center" vertical="top" wrapText="1"/>
    </xf>
    <xf numFmtId="3" fontId="42" fillId="0" borderId="120" xfId="0" applyNumberFormat="1" applyFont="1" applyFill="1" applyBorder="1" applyAlignment="1" applyProtection="1">
      <alignment horizontal="center" vertical="top" wrapText="1"/>
    </xf>
    <xf numFmtId="3" fontId="42" fillId="0" borderId="91" xfId="0" applyNumberFormat="1" applyFont="1" applyFill="1" applyBorder="1" applyAlignment="1" applyProtection="1">
      <alignment horizontal="center"/>
    </xf>
    <xf numFmtId="3" fontId="42" fillId="0" borderId="119" xfId="0" applyNumberFormat="1" applyFont="1" applyFill="1" applyBorder="1" applyAlignment="1" applyProtection="1">
      <alignment horizontal="center"/>
    </xf>
    <xf numFmtId="3" fontId="42" fillId="0" borderId="160" xfId="0" applyNumberFormat="1" applyFont="1" applyFill="1" applyBorder="1" applyAlignment="1" applyProtection="1">
      <alignment horizontal="center"/>
    </xf>
    <xf numFmtId="0" fontId="42" fillId="33" borderId="91" xfId="0" applyFont="1" applyFill="1" applyBorder="1" applyAlignment="1" applyProtection="1">
      <alignment horizontal="center" vertical="top" wrapText="1"/>
    </xf>
    <xf numFmtId="0" fontId="42" fillId="33" borderId="119" xfId="0" applyFont="1" applyFill="1" applyBorder="1" applyAlignment="1" applyProtection="1">
      <alignment horizontal="center" vertical="top" wrapText="1"/>
    </xf>
    <xf numFmtId="0" fontId="42" fillId="33" borderId="160" xfId="0" applyFont="1" applyFill="1" applyBorder="1" applyAlignment="1" applyProtection="1">
      <alignment horizontal="center" vertical="top" wrapText="1"/>
    </xf>
    <xf numFmtId="0" fontId="42" fillId="31" borderId="65" xfId="0" applyFont="1" applyFill="1" applyBorder="1" applyAlignment="1" applyProtection="1">
      <alignment horizontal="left" vertical="top" wrapText="1"/>
    </xf>
    <xf numFmtId="0" fontId="42" fillId="31" borderId="119" xfId="0" applyFont="1" applyFill="1" applyBorder="1" applyAlignment="1" applyProtection="1">
      <alignment horizontal="left" vertical="top" wrapText="1"/>
    </xf>
    <xf numFmtId="0" fontId="42" fillId="31" borderId="160" xfId="0" applyFont="1" applyFill="1" applyBorder="1" applyAlignment="1" applyProtection="1">
      <alignment horizontal="left" vertical="top" wrapText="1"/>
    </xf>
    <xf numFmtId="3" fontId="42" fillId="33" borderId="91" xfId="0" applyNumberFormat="1" applyFont="1" applyFill="1" applyBorder="1" applyAlignment="1" applyProtection="1">
      <alignment horizontal="center" vertical="top" wrapText="1"/>
    </xf>
    <xf numFmtId="3" fontId="42" fillId="33" borderId="119" xfId="0" applyNumberFormat="1" applyFont="1" applyFill="1" applyBorder="1" applyAlignment="1" applyProtection="1">
      <alignment horizontal="center" vertical="top" wrapText="1"/>
    </xf>
    <xf numFmtId="3" fontId="42" fillId="33" borderId="120" xfId="0" applyNumberFormat="1" applyFont="1" applyFill="1" applyBorder="1" applyAlignment="1" applyProtection="1">
      <alignment horizontal="center" vertical="top" wrapText="1"/>
    </xf>
    <xf numFmtId="0" fontId="42" fillId="0" borderId="91" xfId="0" applyFont="1" applyBorder="1" applyAlignment="1" applyProtection="1">
      <alignment horizontal="center" wrapText="1"/>
    </xf>
    <xf numFmtId="0" fontId="42" fillId="0" borderId="119" xfId="0" applyFont="1" applyBorder="1" applyAlignment="1" applyProtection="1">
      <alignment horizontal="center" wrapText="1"/>
    </xf>
    <xf numFmtId="0" fontId="42" fillId="0" borderId="120" xfId="0" applyFont="1" applyBorder="1" applyAlignment="1" applyProtection="1">
      <alignment horizontal="center" wrapText="1"/>
    </xf>
    <xf numFmtId="0" fontId="44" fillId="31" borderId="169" xfId="0" applyFont="1" applyFill="1" applyBorder="1" applyAlignment="1" applyProtection="1">
      <alignment horizontal="center" wrapText="1"/>
    </xf>
    <xf numFmtId="0" fontId="44" fillId="31" borderId="147" xfId="0" applyFont="1" applyFill="1" applyBorder="1" applyAlignment="1" applyProtection="1">
      <alignment horizontal="center" wrapText="1"/>
    </xf>
    <xf numFmtId="0" fontId="44" fillId="31" borderId="111" xfId="0" applyFont="1" applyFill="1" applyBorder="1" applyAlignment="1" applyProtection="1">
      <alignment horizontal="center" wrapText="1"/>
    </xf>
    <xf numFmtId="0" fontId="44" fillId="31" borderId="127" xfId="0" applyFont="1" applyFill="1" applyBorder="1" applyAlignment="1" applyProtection="1">
      <alignment horizontal="center" wrapText="1"/>
    </xf>
    <xf numFmtId="0" fontId="44" fillId="31" borderId="152" xfId="0" applyFont="1" applyFill="1" applyBorder="1" applyAlignment="1" applyProtection="1">
      <alignment horizontal="center"/>
    </xf>
    <xf numFmtId="0" fontId="44" fillId="31" borderId="153" xfId="0" applyFont="1" applyFill="1" applyBorder="1" applyAlignment="1" applyProtection="1">
      <alignment horizontal="center"/>
    </xf>
    <xf numFmtId="0" fontId="44" fillId="31" borderId="154" xfId="0" applyFont="1" applyFill="1" applyBorder="1" applyAlignment="1" applyProtection="1">
      <alignment horizontal="center"/>
    </xf>
    <xf numFmtId="0" fontId="42" fillId="31" borderId="65" xfId="0" applyFont="1" applyFill="1" applyBorder="1" applyAlignment="1" applyProtection="1">
      <alignment horizontal="left" wrapText="1"/>
    </xf>
    <xf numFmtId="0" fontId="42" fillId="31" borderId="119" xfId="0" applyFont="1" applyFill="1" applyBorder="1" applyAlignment="1" applyProtection="1">
      <alignment horizontal="left" wrapText="1"/>
    </xf>
    <xf numFmtId="0" fontId="42" fillId="31" borderId="160" xfId="0" applyFont="1" applyFill="1" applyBorder="1" applyAlignment="1" applyProtection="1">
      <alignment horizontal="left" wrapText="1"/>
    </xf>
    <xf numFmtId="1" fontId="42" fillId="33" borderId="100" xfId="0" applyNumberFormat="1" applyFont="1" applyFill="1" applyBorder="1" applyAlignment="1" applyProtection="1">
      <alignment horizontal="center" vertical="top" wrapText="1"/>
    </xf>
    <xf numFmtId="1" fontId="42" fillId="33" borderId="101" xfId="0" applyNumberFormat="1" applyFont="1" applyFill="1" applyBorder="1" applyAlignment="1" applyProtection="1">
      <alignment horizontal="center" vertical="top" wrapText="1"/>
    </xf>
    <xf numFmtId="9" fontId="42" fillId="0" borderId="91" xfId="48" applyFont="1" applyFill="1" applyBorder="1" applyAlignment="1" applyProtection="1">
      <alignment horizontal="center"/>
    </xf>
    <xf numFmtId="9" fontId="42" fillId="0" borderId="120" xfId="48" applyFont="1" applyFill="1" applyBorder="1" applyAlignment="1" applyProtection="1">
      <alignment horizontal="center"/>
    </xf>
    <xf numFmtId="9" fontId="42" fillId="0" borderId="91" xfId="48" applyNumberFormat="1" applyFont="1" applyFill="1" applyBorder="1" applyAlignment="1" applyProtection="1">
      <alignment horizontal="center"/>
    </xf>
    <xf numFmtId="9" fontId="42" fillId="0" borderId="160" xfId="48" applyNumberFormat="1" applyFont="1" applyFill="1" applyBorder="1" applyAlignment="1" applyProtection="1">
      <alignment horizontal="center"/>
    </xf>
    <xf numFmtId="9" fontId="42" fillId="0" borderId="160" xfId="48" applyFont="1" applyFill="1" applyBorder="1" applyAlignment="1" applyProtection="1">
      <alignment horizontal="center"/>
    </xf>
    <xf numFmtId="1" fontId="42" fillId="0" borderId="64" xfId="0" applyNumberFormat="1" applyFont="1" applyFill="1" applyBorder="1" applyAlignment="1" applyProtection="1">
      <alignment horizontal="center" vertical="top" wrapText="1"/>
    </xf>
    <xf numFmtId="1" fontId="42" fillId="0" borderId="143" xfId="0" applyNumberFormat="1" applyFont="1" applyFill="1" applyBorder="1" applyAlignment="1" applyProtection="1">
      <alignment horizontal="center" vertical="top" wrapText="1"/>
    </xf>
    <xf numFmtId="0" fontId="52" fillId="0" borderId="164" xfId="0" applyFont="1" applyFill="1" applyBorder="1" applyAlignment="1" applyProtection="1">
      <alignment horizontal="left" vertical="top" wrapText="1"/>
    </xf>
    <xf numFmtId="0" fontId="52" fillId="0" borderId="129" xfId="0" applyFont="1" applyFill="1" applyBorder="1" applyAlignment="1" applyProtection="1">
      <alignment horizontal="left" vertical="top" wrapText="1"/>
    </xf>
    <xf numFmtId="0" fontId="42" fillId="0" borderId="164" xfId="0" applyFont="1" applyFill="1" applyBorder="1" applyAlignment="1" applyProtection="1">
      <alignment horizontal="left" vertical="top" wrapText="1"/>
    </xf>
    <xf numFmtId="0" fontId="42" fillId="0" borderId="129" xfId="0" applyFont="1" applyFill="1" applyBorder="1" applyAlignment="1" applyProtection="1">
      <alignment horizontal="left" vertical="top" wrapText="1"/>
    </xf>
    <xf numFmtId="0" fontId="42" fillId="0" borderId="91" xfId="0" applyFont="1" applyFill="1" applyBorder="1" applyAlignment="1" applyProtection="1">
      <alignment horizontal="center" vertical="top" wrapText="1"/>
    </xf>
    <xf numFmtId="0" fontId="42" fillId="0" borderId="119" xfId="0" applyFont="1" applyFill="1" applyBorder="1" applyAlignment="1" applyProtection="1">
      <alignment horizontal="center" vertical="top" wrapText="1"/>
    </xf>
    <xf numFmtId="0" fontId="42" fillId="0" borderId="120" xfId="0" applyFont="1" applyFill="1" applyBorder="1" applyAlignment="1" applyProtection="1">
      <alignment horizontal="center" vertical="top" wrapText="1"/>
    </xf>
    <xf numFmtId="167" fontId="42" fillId="0" borderId="66" xfId="0" applyNumberFormat="1" applyFont="1" applyFill="1" applyBorder="1" applyAlignment="1" applyProtection="1">
      <alignment horizontal="left" vertical="top" wrapText="1"/>
    </xf>
    <xf numFmtId="167" fontId="42" fillId="0" borderId="145" xfId="0" applyNumberFormat="1" applyFont="1" applyFill="1" applyBorder="1" applyAlignment="1" applyProtection="1">
      <alignment horizontal="left" vertical="top" wrapText="1"/>
    </xf>
    <xf numFmtId="206" fontId="42" fillId="33" borderId="91" xfId="0" applyNumberFormat="1" applyFont="1" applyFill="1" applyBorder="1" applyAlignment="1" applyProtection="1">
      <alignment horizontal="center" vertical="top" wrapText="1"/>
    </xf>
    <xf numFmtId="206" fontId="42" fillId="33" borderId="119" xfId="0" applyNumberFormat="1" applyFont="1" applyFill="1" applyBorder="1" applyAlignment="1" applyProtection="1">
      <alignment horizontal="center" vertical="top" wrapText="1"/>
    </xf>
    <xf numFmtId="206" fontId="42" fillId="33" borderId="120" xfId="0" applyNumberFormat="1" applyFont="1" applyFill="1" applyBorder="1" applyAlignment="1" applyProtection="1">
      <alignment horizontal="center" vertical="top" wrapText="1"/>
    </xf>
    <xf numFmtId="4" fontId="42" fillId="33" borderId="91" xfId="0" applyNumberFormat="1" applyFont="1" applyFill="1" applyBorder="1" applyAlignment="1" applyProtection="1">
      <alignment horizontal="center" vertical="top" wrapText="1"/>
    </xf>
    <xf numFmtId="4" fontId="42" fillId="33" borderId="119" xfId="0" applyNumberFormat="1" applyFont="1" applyFill="1" applyBorder="1" applyAlignment="1" applyProtection="1">
      <alignment horizontal="center" vertical="top" wrapText="1"/>
    </xf>
    <xf numFmtId="4" fontId="42" fillId="33" borderId="120" xfId="0" applyNumberFormat="1" applyFont="1" applyFill="1" applyBorder="1" applyAlignment="1" applyProtection="1">
      <alignment horizontal="center" vertical="top" wrapText="1"/>
    </xf>
    <xf numFmtId="0" fontId="42" fillId="33" borderId="120" xfId="0" applyFont="1" applyFill="1" applyBorder="1" applyAlignment="1" applyProtection="1">
      <alignment horizontal="center" vertical="top" wrapText="1"/>
    </xf>
    <xf numFmtId="166" fontId="42" fillId="33" borderId="91" xfId="0" applyNumberFormat="1" applyFont="1" applyFill="1" applyBorder="1" applyAlignment="1" applyProtection="1">
      <alignment horizontal="center" vertical="top" wrapText="1"/>
    </xf>
    <xf numFmtId="166" fontId="42" fillId="33" borderId="119" xfId="0" applyNumberFormat="1" applyFont="1" applyFill="1" applyBorder="1" applyAlignment="1" applyProtection="1">
      <alignment horizontal="center" vertical="top" wrapText="1"/>
    </xf>
    <xf numFmtId="166" fontId="42" fillId="33" borderId="160" xfId="0" applyNumberFormat="1" applyFont="1" applyFill="1" applyBorder="1" applyAlignment="1" applyProtection="1">
      <alignment horizontal="center" vertical="top" wrapText="1"/>
    </xf>
    <xf numFmtId="2" fontId="42" fillId="0" borderId="91" xfId="0" applyNumberFormat="1" applyFont="1" applyFill="1" applyBorder="1" applyAlignment="1" applyProtection="1">
      <alignment horizontal="center"/>
    </xf>
    <xf numFmtId="2" fontId="42" fillId="0" borderId="119" xfId="0" applyNumberFormat="1" applyFont="1" applyFill="1" applyBorder="1" applyAlignment="1" applyProtection="1">
      <alignment horizontal="center"/>
    </xf>
    <xf numFmtId="2" fontId="42" fillId="0" borderId="160" xfId="0" applyNumberFormat="1" applyFont="1" applyFill="1" applyBorder="1" applyAlignment="1" applyProtection="1">
      <alignment horizontal="center"/>
    </xf>
    <xf numFmtId="0" fontId="42" fillId="0" borderId="66" xfId="0" applyFont="1" applyFill="1" applyBorder="1" applyAlignment="1" applyProtection="1">
      <alignment horizontal="left" vertical="top" wrapText="1"/>
    </xf>
    <xf numFmtId="0" fontId="42" fillId="0" borderId="145" xfId="0" applyFont="1" applyFill="1" applyBorder="1" applyAlignment="1" applyProtection="1">
      <alignment horizontal="left" vertical="top" wrapText="1"/>
    </xf>
    <xf numFmtId="9" fontId="44" fillId="0" borderId="131" xfId="0" applyNumberFormat="1" applyFont="1" applyBorder="1" applyAlignment="1" applyProtection="1">
      <alignment horizontal="center"/>
    </xf>
    <xf numFmtId="9" fontId="44" fillId="0" borderId="163" xfId="0" applyNumberFormat="1" applyFont="1" applyBorder="1" applyAlignment="1" applyProtection="1">
      <alignment horizontal="center"/>
    </xf>
    <xf numFmtId="9" fontId="42" fillId="0" borderId="91" xfId="0" applyNumberFormat="1" applyFont="1" applyBorder="1" applyAlignment="1" applyProtection="1">
      <alignment horizontal="center"/>
    </xf>
    <xf numFmtId="9" fontId="42" fillId="0" borderId="160" xfId="0" applyNumberFormat="1" applyFont="1" applyBorder="1" applyAlignment="1" applyProtection="1">
      <alignment horizontal="center"/>
    </xf>
    <xf numFmtId="9" fontId="42" fillId="35" borderId="131" xfId="48" applyFont="1" applyFill="1" applyBorder="1" applyAlignment="1" applyProtection="1">
      <alignment horizontal="center"/>
    </xf>
    <xf numFmtId="9" fontId="42" fillId="35" borderId="50" xfId="48" applyFont="1" applyFill="1" applyBorder="1" applyAlignment="1" applyProtection="1">
      <alignment horizontal="center"/>
    </xf>
    <xf numFmtId="9" fontId="42" fillId="35" borderId="131" xfId="48" applyNumberFormat="1" applyFont="1" applyFill="1" applyBorder="1" applyAlignment="1" applyProtection="1">
      <alignment horizontal="center"/>
      <protection locked="0"/>
    </xf>
    <xf numFmtId="9" fontId="42" fillId="35" borderId="163" xfId="48" applyNumberFormat="1" applyFont="1" applyFill="1" applyBorder="1" applyAlignment="1" applyProtection="1">
      <alignment horizontal="center"/>
      <protection locked="0"/>
    </xf>
    <xf numFmtId="9" fontId="42" fillId="35" borderId="91" xfId="48" applyFont="1" applyFill="1" applyBorder="1" applyAlignment="1" applyProtection="1">
      <alignment horizontal="center"/>
      <protection locked="0"/>
    </xf>
    <xf numFmtId="9" fontId="42" fillId="35" borderId="120" xfId="48" applyFont="1" applyFill="1" applyBorder="1" applyAlignment="1" applyProtection="1">
      <alignment horizontal="center"/>
      <protection locked="0"/>
    </xf>
    <xf numFmtId="9" fontId="42" fillId="35" borderId="91" xfId="48" applyNumberFormat="1" applyFont="1" applyFill="1" applyBorder="1" applyAlignment="1" applyProtection="1">
      <alignment horizontal="center"/>
      <protection locked="0"/>
    </xf>
    <xf numFmtId="9" fontId="42" fillId="35" borderId="160" xfId="48" applyNumberFormat="1" applyFont="1" applyFill="1" applyBorder="1" applyAlignment="1" applyProtection="1">
      <alignment horizontal="center"/>
      <protection locked="0"/>
    </xf>
    <xf numFmtId="0" fontId="44" fillId="31" borderId="168" xfId="0" applyFont="1" applyFill="1" applyBorder="1" applyAlignment="1" applyProtection="1">
      <alignment horizontal="center" wrapText="1"/>
    </xf>
    <xf numFmtId="0" fontId="44" fillId="31" borderId="114" xfId="0" applyFont="1" applyFill="1" applyBorder="1" applyAlignment="1" applyProtection="1">
      <alignment horizontal="center" wrapText="1"/>
    </xf>
    <xf numFmtId="9" fontId="56" fillId="0" borderId="91" xfId="0" applyNumberFormat="1" applyFont="1" applyBorder="1" applyAlignment="1" applyProtection="1">
      <alignment horizontal="center"/>
    </xf>
    <xf numFmtId="9" fontId="56" fillId="0" borderId="160" xfId="0" applyNumberFormat="1" applyFont="1" applyBorder="1" applyAlignment="1" applyProtection="1">
      <alignment horizontal="center"/>
    </xf>
    <xf numFmtId="1" fontId="42" fillId="0" borderId="100" xfId="0" applyNumberFormat="1" applyFont="1" applyFill="1" applyBorder="1" applyAlignment="1" applyProtection="1">
      <alignment horizontal="center" vertical="top" wrapText="1"/>
    </xf>
    <xf numFmtId="1" fontId="42" fillId="0" borderId="101" xfId="0" applyNumberFormat="1" applyFont="1" applyFill="1" applyBorder="1" applyAlignment="1" applyProtection="1">
      <alignment horizontal="center" vertical="top" wrapText="1"/>
    </xf>
    <xf numFmtId="1" fontId="42" fillId="0" borderId="128" xfId="0" applyNumberFormat="1" applyFont="1" applyFill="1" applyBorder="1" applyAlignment="1" applyProtection="1">
      <alignment horizontal="center" vertical="top" wrapText="1"/>
    </xf>
    <xf numFmtId="1" fontId="42" fillId="0" borderId="129" xfId="0" applyNumberFormat="1" applyFont="1" applyFill="1" applyBorder="1" applyAlignment="1" applyProtection="1">
      <alignment horizontal="center" vertical="top" wrapText="1"/>
    </xf>
    <xf numFmtId="0" fontId="52" fillId="0" borderId="17" xfId="0" applyFont="1" applyFill="1" applyBorder="1" applyAlignment="1" applyProtection="1">
      <alignment horizontal="left" vertical="top" wrapText="1"/>
    </xf>
    <xf numFmtId="0" fontId="52" fillId="0" borderId="143" xfId="0" applyFont="1" applyFill="1" applyBorder="1" applyAlignment="1" applyProtection="1">
      <alignment horizontal="left" vertical="top" wrapText="1"/>
    </xf>
    <xf numFmtId="0" fontId="42" fillId="35" borderId="111" xfId="0" applyFont="1" applyFill="1" applyBorder="1" applyAlignment="1" applyProtection="1">
      <alignment horizontal="center" vertical="top" wrapText="1"/>
      <protection locked="0"/>
    </xf>
    <xf numFmtId="0" fontId="42" fillId="35" borderId="145" xfId="0" applyFont="1" applyFill="1" applyBorder="1" applyAlignment="1" applyProtection="1">
      <alignment horizontal="center" vertical="top" wrapText="1"/>
      <protection locked="0"/>
    </xf>
    <xf numFmtId="1" fontId="42" fillId="0" borderId="111" xfId="0" applyNumberFormat="1" applyFont="1" applyFill="1" applyBorder="1" applyAlignment="1" applyProtection="1">
      <alignment horizontal="center" vertical="top" wrapText="1"/>
    </xf>
    <xf numFmtId="1" fontId="42" fillId="0" borderId="145" xfId="0" applyNumberFormat="1" applyFont="1" applyFill="1" applyBorder="1" applyAlignment="1" applyProtection="1">
      <alignment horizontal="center" vertical="top" wrapText="1"/>
    </xf>
    <xf numFmtId="1" fontId="42" fillId="33" borderId="111" xfId="0" applyNumberFormat="1" applyFont="1" applyFill="1" applyBorder="1" applyAlignment="1" applyProtection="1">
      <alignment horizontal="center" vertical="top" wrapText="1"/>
    </xf>
    <xf numFmtId="1" fontId="42" fillId="33" borderId="145" xfId="0" applyNumberFormat="1" applyFont="1" applyFill="1" applyBorder="1" applyAlignment="1" applyProtection="1">
      <alignment horizontal="center" vertical="top" wrapText="1"/>
    </xf>
    <xf numFmtId="0" fontId="42" fillId="35" borderId="100" xfId="0" applyFont="1" applyFill="1" applyBorder="1" applyAlignment="1" applyProtection="1">
      <alignment horizontal="center" vertical="top" wrapText="1"/>
      <protection locked="0"/>
    </xf>
    <xf numFmtId="0" fontId="42" fillId="35" borderId="101" xfId="0" applyFont="1" applyFill="1" applyBorder="1" applyAlignment="1" applyProtection="1">
      <alignment horizontal="center" vertical="top" wrapText="1"/>
      <protection locked="0"/>
    </xf>
    <xf numFmtId="0" fontId="42" fillId="35" borderId="128" xfId="0" applyFont="1" applyFill="1" applyBorder="1" applyAlignment="1" applyProtection="1">
      <alignment horizontal="center" vertical="top" wrapText="1"/>
      <protection locked="0"/>
    </xf>
    <xf numFmtId="0" fontId="42" fillId="35" borderId="129" xfId="0" applyFont="1" applyFill="1" applyBorder="1" applyAlignment="1" applyProtection="1">
      <alignment horizontal="center" vertical="top" wrapText="1"/>
      <protection locked="0"/>
    </xf>
    <xf numFmtId="0" fontId="42" fillId="35" borderId="152" xfId="0" applyFont="1" applyFill="1" applyBorder="1" applyAlignment="1" applyProtection="1">
      <alignment horizontal="left"/>
      <protection locked="0"/>
    </xf>
    <xf numFmtId="0" fontId="42" fillId="35" borderId="153" xfId="0" applyFont="1" applyFill="1" applyBorder="1" applyAlignment="1" applyProtection="1">
      <alignment horizontal="left"/>
      <protection locked="0"/>
    </xf>
    <xf numFmtId="17" fontId="42" fillId="33" borderId="91" xfId="0" applyNumberFormat="1" applyFont="1" applyFill="1" applyBorder="1" applyAlignment="1" applyProtection="1">
      <alignment horizontal="left"/>
    </xf>
    <xf numFmtId="17" fontId="42" fillId="33" borderId="119" xfId="0" applyNumberFormat="1" applyFont="1" applyFill="1" applyBorder="1" applyAlignment="1" applyProtection="1">
      <alignment horizontal="left"/>
    </xf>
    <xf numFmtId="17" fontId="42" fillId="33" borderId="120" xfId="0" applyNumberFormat="1" applyFont="1" applyFill="1" applyBorder="1" applyAlignment="1" applyProtection="1">
      <alignment horizontal="left"/>
    </xf>
    <xf numFmtId="0" fontId="42" fillId="0" borderId="156" xfId="0" applyFont="1" applyFill="1" applyBorder="1" applyAlignment="1" applyProtection="1">
      <alignment horizontal="left"/>
    </xf>
    <xf numFmtId="0" fontId="42" fillId="0" borderId="154" xfId="0" applyFont="1" applyFill="1" applyBorder="1" applyAlignment="1" applyProtection="1">
      <alignment horizontal="left"/>
    </xf>
    <xf numFmtId="0" fontId="42" fillId="35" borderId="91" xfId="0" applyFont="1" applyFill="1" applyBorder="1" applyAlignment="1" applyProtection="1">
      <alignment horizontal="center"/>
      <protection locked="0"/>
    </xf>
    <xf numFmtId="0" fontId="42" fillId="35" borderId="119" xfId="0" applyFont="1" applyFill="1" applyBorder="1" applyAlignment="1" applyProtection="1">
      <alignment horizontal="center"/>
      <protection locked="0"/>
    </xf>
    <xf numFmtId="0" fontId="42" fillId="35" borderId="120" xfId="0" applyFont="1" applyFill="1" applyBorder="1" applyAlignment="1" applyProtection="1">
      <alignment horizontal="center"/>
      <protection locked="0"/>
    </xf>
    <xf numFmtId="0" fontId="42" fillId="31" borderId="152" xfId="0" applyFont="1" applyFill="1" applyBorder="1" applyAlignment="1" applyProtection="1">
      <alignment horizontal="center" vertical="center" wrapText="1"/>
    </xf>
    <xf numFmtId="0" fontId="42" fillId="31" borderId="154" xfId="0" applyFont="1" applyFill="1" applyBorder="1" applyAlignment="1" applyProtection="1">
      <alignment horizontal="center" vertical="center" wrapText="1"/>
    </xf>
    <xf numFmtId="0" fontId="42" fillId="35" borderId="91" xfId="0" applyFont="1" applyFill="1" applyBorder="1" applyAlignment="1" applyProtection="1">
      <alignment horizontal="center" vertical="top" wrapText="1"/>
      <protection locked="0"/>
    </xf>
    <xf numFmtId="0" fontId="42" fillId="35" borderId="119" xfId="0" applyFont="1" applyFill="1" applyBorder="1" applyAlignment="1" applyProtection="1">
      <alignment horizontal="center" vertical="top" wrapText="1"/>
      <protection locked="0"/>
    </xf>
    <xf numFmtId="0" fontId="42" fillId="35" borderId="120" xfId="0" applyFont="1" applyFill="1" applyBorder="1" applyAlignment="1" applyProtection="1">
      <alignment horizontal="center" vertical="top" wrapText="1"/>
      <protection locked="0"/>
    </xf>
    <xf numFmtId="0" fontId="42" fillId="0" borderId="65" xfId="0" applyFont="1" applyFill="1" applyBorder="1" applyAlignment="1" applyProtection="1">
      <alignment horizontal="left"/>
    </xf>
    <xf numFmtId="0" fontId="42" fillId="0" borderId="120" xfId="0" applyFont="1" applyFill="1" applyBorder="1" applyAlignment="1" applyProtection="1">
      <alignment horizontal="left"/>
    </xf>
    <xf numFmtId="0" fontId="42" fillId="0" borderId="152" xfId="0" applyFont="1" applyFill="1" applyBorder="1" applyAlignment="1" applyProtection="1">
      <alignment horizontal="left"/>
    </xf>
    <xf numFmtId="0" fontId="52" fillId="0" borderId="26" xfId="0" applyFont="1" applyFill="1" applyBorder="1" applyAlignment="1" applyProtection="1">
      <alignment horizontal="left" vertical="top" wrapText="1"/>
    </xf>
    <xf numFmtId="0" fontId="52" fillId="0" borderId="101" xfId="0" applyFont="1" applyFill="1" applyBorder="1" applyAlignment="1" applyProtection="1">
      <alignment horizontal="left" vertical="top" wrapText="1"/>
    </xf>
    <xf numFmtId="0" fontId="42" fillId="33" borderId="191" xfId="0" applyFont="1" applyFill="1" applyBorder="1" applyAlignment="1" applyProtection="1">
      <alignment horizontal="left"/>
    </xf>
    <xf numFmtId="0" fontId="42" fillId="33" borderId="193" xfId="0" applyFont="1" applyFill="1" applyBorder="1" applyAlignment="1" applyProtection="1">
      <alignment horizontal="left"/>
    </xf>
    <xf numFmtId="0" fontId="42" fillId="33" borderId="194" xfId="0" applyFont="1" applyFill="1" applyBorder="1" applyAlignment="1" applyProtection="1">
      <alignment horizontal="left"/>
    </xf>
    <xf numFmtId="0" fontId="42" fillId="33" borderId="91" xfId="0" applyFont="1" applyFill="1" applyBorder="1" applyAlignment="1" applyProtection="1">
      <alignment horizontal="left"/>
    </xf>
    <xf numFmtId="0" fontId="42" fillId="33" borderId="119" xfId="0" applyFont="1" applyFill="1" applyBorder="1" applyAlignment="1" applyProtection="1">
      <alignment horizontal="left"/>
    </xf>
    <xf numFmtId="0" fontId="42" fillId="33" borderId="160" xfId="0" applyFont="1" applyFill="1" applyBorder="1" applyAlignment="1" applyProtection="1">
      <alignment horizontal="left"/>
    </xf>
    <xf numFmtId="0" fontId="42" fillId="0" borderId="191" xfId="0" applyFont="1" applyFill="1" applyBorder="1" applyAlignment="1" applyProtection="1">
      <alignment horizontal="left"/>
    </xf>
    <xf numFmtId="0" fontId="42" fillId="0" borderId="192" xfId="0" applyFont="1" applyFill="1" applyBorder="1" applyAlignment="1" applyProtection="1">
      <alignment horizontal="left"/>
    </xf>
    <xf numFmtId="0" fontId="42" fillId="0" borderId="91" xfId="0" applyFont="1" applyFill="1" applyBorder="1" applyAlignment="1" applyProtection="1">
      <alignment horizontal="left"/>
    </xf>
    <xf numFmtId="0" fontId="42" fillId="33" borderId="91" xfId="0" applyFont="1" applyFill="1" applyBorder="1" applyAlignment="1" applyProtection="1">
      <alignment horizontal="left" vertical="top" wrapText="1"/>
    </xf>
    <xf numFmtId="0" fontId="42" fillId="33" borderId="119" xfId="0" applyFont="1" applyFill="1" applyBorder="1" applyAlignment="1" applyProtection="1">
      <alignment horizontal="left" vertical="top" wrapText="1"/>
    </xf>
    <xf numFmtId="0" fontId="42" fillId="33" borderId="120" xfId="0" applyFont="1" applyFill="1" applyBorder="1" applyAlignment="1" applyProtection="1">
      <alignment horizontal="left" vertical="top" wrapText="1"/>
    </xf>
    <xf numFmtId="0" fontId="42" fillId="0" borderId="91" xfId="0" applyFont="1" applyFill="1" applyBorder="1" applyAlignment="1" applyProtection="1">
      <alignment horizontal="right" vertical="top" wrapText="1"/>
    </xf>
    <xf numFmtId="0" fontId="42" fillId="0" borderId="120" xfId="0" applyFont="1" applyFill="1" applyBorder="1" applyAlignment="1" applyProtection="1">
      <alignment horizontal="right" vertical="top" wrapText="1"/>
    </xf>
    <xf numFmtId="3" fontId="42" fillId="0" borderId="91" xfId="28" applyNumberFormat="1" applyFont="1" applyFill="1" applyBorder="1" applyAlignment="1" applyProtection="1">
      <alignment horizontal="center" vertical="top" wrapText="1"/>
    </xf>
    <xf numFmtId="3" fontId="42" fillId="0" borderId="119" xfId="28" applyNumberFormat="1" applyFont="1" applyFill="1" applyBorder="1" applyAlignment="1" applyProtection="1">
      <alignment horizontal="center" vertical="top" wrapText="1"/>
    </xf>
    <xf numFmtId="3" fontId="42" fillId="0" borderId="160" xfId="28" applyNumberFormat="1" applyFont="1" applyFill="1" applyBorder="1" applyAlignment="1" applyProtection="1">
      <alignment horizontal="center" vertical="top" wrapText="1"/>
    </xf>
    <xf numFmtId="0" fontId="42" fillId="0" borderId="65" xfId="0" applyFont="1" applyFill="1" applyBorder="1" applyAlignment="1" applyProtection="1">
      <alignment horizontal="left" vertical="top" wrapText="1"/>
    </xf>
    <xf numFmtId="0" fontId="42" fillId="0" borderId="120" xfId="0" applyFont="1" applyFill="1" applyBorder="1" applyAlignment="1" applyProtection="1">
      <alignment horizontal="left" vertical="top" wrapText="1"/>
    </xf>
    <xf numFmtId="0" fontId="42" fillId="0" borderId="156" xfId="0" applyFont="1" applyFill="1" applyBorder="1" applyAlignment="1" applyProtection="1">
      <alignment horizontal="left" vertical="top" wrapText="1"/>
    </xf>
    <xf numFmtId="0" fontId="42" fillId="0" borderId="154" xfId="0" applyFont="1" applyFill="1" applyBorder="1" applyAlignment="1" applyProtection="1">
      <alignment horizontal="left" vertical="top" wrapText="1"/>
    </xf>
    <xf numFmtId="0" fontId="42" fillId="0" borderId="161" xfId="0" applyFont="1" applyFill="1" applyBorder="1" applyAlignment="1" applyProtection="1">
      <alignment horizontal="left"/>
    </xf>
    <xf numFmtId="0" fontId="42" fillId="0" borderId="50" xfId="0" applyFont="1" applyFill="1" applyBorder="1" applyAlignment="1" applyProtection="1">
      <alignment horizontal="left"/>
    </xf>
    <xf numFmtId="0" fontId="42" fillId="33" borderId="152" xfId="0" applyFont="1" applyFill="1" applyBorder="1" applyAlignment="1" applyProtection="1">
      <alignment horizontal="left" vertical="top" wrapText="1"/>
    </xf>
    <xf numFmtId="0" fontId="42" fillId="33" borderId="153" xfId="0" applyFont="1" applyFill="1" applyBorder="1" applyAlignment="1" applyProtection="1">
      <alignment horizontal="left" vertical="top" wrapText="1"/>
    </xf>
    <xf numFmtId="0" fontId="42" fillId="33" borderId="154" xfId="0" applyFont="1" applyFill="1" applyBorder="1" applyAlignment="1" applyProtection="1">
      <alignment horizontal="left" vertical="top" wrapText="1"/>
    </xf>
    <xf numFmtId="3" fontId="42" fillId="0" borderId="152" xfId="28" applyNumberFormat="1" applyFont="1" applyFill="1" applyBorder="1" applyAlignment="1" applyProtection="1">
      <alignment horizontal="center" vertical="top" wrapText="1"/>
    </xf>
    <xf numFmtId="3" fontId="42" fillId="0" borderId="153" xfId="28" applyNumberFormat="1" applyFont="1" applyFill="1" applyBorder="1" applyAlignment="1" applyProtection="1">
      <alignment horizontal="center" vertical="top" wrapText="1"/>
    </xf>
    <xf numFmtId="3" fontId="42" fillId="0" borderId="157" xfId="28" applyNumberFormat="1" applyFont="1" applyFill="1" applyBorder="1" applyAlignment="1" applyProtection="1">
      <alignment horizontal="center" vertical="top" wrapText="1"/>
    </xf>
    <xf numFmtId="0" fontId="42" fillId="0" borderId="131" xfId="0" applyFont="1" applyFill="1" applyBorder="1" applyAlignment="1" applyProtection="1">
      <alignment horizontal="left"/>
    </xf>
    <xf numFmtId="0" fontId="62" fillId="33" borderId="131" xfId="38" applyFont="1" applyFill="1" applyBorder="1" applyAlignment="1" applyProtection="1">
      <alignment horizontal="left"/>
    </xf>
    <xf numFmtId="0" fontId="62" fillId="33" borderId="162" xfId="38" applyFont="1" applyFill="1" applyBorder="1" applyAlignment="1" applyProtection="1">
      <alignment horizontal="left"/>
    </xf>
    <xf numFmtId="0" fontId="62" fillId="33" borderId="50" xfId="38" applyFont="1" applyFill="1" applyBorder="1" applyAlignment="1" applyProtection="1">
      <alignment horizontal="left"/>
    </xf>
    <xf numFmtId="0" fontId="42" fillId="33" borderId="120" xfId="0" applyFont="1" applyFill="1" applyBorder="1" applyAlignment="1" applyProtection="1">
      <alignment horizontal="left"/>
    </xf>
    <xf numFmtId="0" fontId="42" fillId="33" borderId="91" xfId="0" applyNumberFormat="1" applyFont="1" applyFill="1" applyBorder="1" applyAlignment="1" applyProtection="1">
      <alignment horizontal="left"/>
    </xf>
    <xf numFmtId="0" fontId="42" fillId="33" borderId="119" xfId="0" applyNumberFormat="1" applyFont="1" applyFill="1" applyBorder="1" applyAlignment="1" applyProtection="1">
      <alignment horizontal="left"/>
    </xf>
    <xf numFmtId="0" fontId="42" fillId="33" borderId="160" xfId="0" applyNumberFormat="1" applyFont="1" applyFill="1" applyBorder="1" applyAlignment="1" applyProtection="1">
      <alignment horizontal="left"/>
    </xf>
    <xf numFmtId="0" fontId="42" fillId="33" borderId="131" xfId="0" applyNumberFormat="1" applyFont="1" applyFill="1" applyBorder="1" applyAlignment="1" applyProtection="1">
      <alignment horizontal="left"/>
    </xf>
    <xf numFmtId="0" fontId="42" fillId="33" borderId="162" xfId="0" applyNumberFormat="1" applyFont="1" applyFill="1" applyBorder="1" applyAlignment="1" applyProtection="1">
      <alignment horizontal="left"/>
    </xf>
    <xf numFmtId="0" fontId="42" fillId="33" borderId="163" xfId="0" applyNumberFormat="1" applyFont="1" applyFill="1" applyBorder="1" applyAlignment="1" applyProtection="1">
      <alignment horizontal="left"/>
    </xf>
    <xf numFmtId="0" fontId="42" fillId="33" borderId="120" xfId="0" applyNumberFormat="1" applyFont="1" applyFill="1" applyBorder="1" applyAlignment="1" applyProtection="1">
      <alignment horizontal="left"/>
    </xf>
    <xf numFmtId="0" fontId="42" fillId="33" borderId="131" xfId="0" applyFont="1" applyFill="1" applyBorder="1" applyAlignment="1" applyProtection="1">
      <alignment horizontal="left"/>
    </xf>
    <xf numFmtId="0" fontId="42" fillId="33" borderId="162" xfId="0" applyFont="1" applyFill="1" applyBorder="1" applyAlignment="1" applyProtection="1">
      <alignment horizontal="left"/>
    </xf>
    <xf numFmtId="0" fontId="42" fillId="33" borderId="163" xfId="0" applyFont="1" applyFill="1" applyBorder="1" applyAlignment="1" applyProtection="1">
      <alignment horizontal="left"/>
    </xf>
    <xf numFmtId="0" fontId="42" fillId="33" borderId="152" xfId="0" applyNumberFormat="1" applyFont="1" applyFill="1" applyBorder="1" applyAlignment="1" applyProtection="1">
      <alignment horizontal="left"/>
    </xf>
    <xf numFmtId="0" fontId="42" fillId="33" borderId="153" xfId="0" applyNumberFormat="1" applyFont="1" applyFill="1" applyBorder="1" applyAlignment="1" applyProtection="1">
      <alignment horizontal="left"/>
    </xf>
    <xf numFmtId="0" fontId="42" fillId="33" borderId="157" xfId="0" applyNumberFormat="1" applyFont="1" applyFill="1" applyBorder="1" applyAlignment="1" applyProtection="1">
      <alignment horizontal="left"/>
    </xf>
    <xf numFmtId="0" fontId="42" fillId="33" borderId="152" xfId="0" applyFont="1" applyFill="1" applyBorder="1" applyAlignment="1" applyProtection="1">
      <alignment horizontal="left"/>
    </xf>
    <xf numFmtId="0" fontId="42" fillId="33" borderId="153" xfId="0" applyFont="1" applyFill="1" applyBorder="1" applyAlignment="1" applyProtection="1">
      <alignment horizontal="left"/>
    </xf>
    <xf numFmtId="0" fontId="42" fillId="33" borderId="154" xfId="0" applyFont="1" applyFill="1" applyBorder="1" applyAlignment="1" applyProtection="1">
      <alignment horizontal="left"/>
    </xf>
    <xf numFmtId="0" fontId="42" fillId="0" borderId="164" xfId="0" applyFont="1" applyBorder="1" applyAlignment="1" applyProtection="1">
      <alignment horizontal="center"/>
    </xf>
    <xf numFmtId="0" fontId="42" fillId="0" borderId="130" xfId="0" applyFont="1" applyBorder="1" applyAlignment="1" applyProtection="1">
      <alignment horizontal="center"/>
    </xf>
    <xf numFmtId="0" fontId="42" fillId="0" borderId="129" xfId="0" applyFont="1" applyBorder="1" applyAlignment="1" applyProtection="1">
      <alignment horizontal="center"/>
    </xf>
    <xf numFmtId="0" fontId="42" fillId="0" borderId="17" xfId="0" applyFont="1" applyBorder="1" applyAlignment="1" applyProtection="1">
      <alignment horizontal="center"/>
    </xf>
    <xf numFmtId="0" fontId="42" fillId="0" borderId="31" xfId="0" applyFont="1" applyBorder="1" applyAlignment="1" applyProtection="1">
      <alignment horizontal="center"/>
    </xf>
    <xf numFmtId="0" fontId="42" fillId="0" borderId="143" xfId="0" applyFont="1" applyBorder="1" applyAlignment="1" applyProtection="1">
      <alignment horizontal="center"/>
    </xf>
    <xf numFmtId="0" fontId="42" fillId="0" borderId="131" xfId="0" applyFont="1" applyFill="1" applyBorder="1" applyAlignment="1" applyProtection="1">
      <alignment horizontal="right" vertical="top" wrapText="1"/>
    </xf>
    <xf numFmtId="0" fontId="42" fillId="0" borderId="50" xfId="0" applyFont="1" applyFill="1" applyBorder="1" applyAlignment="1" applyProtection="1">
      <alignment horizontal="right" vertical="top" wrapText="1"/>
    </xf>
    <xf numFmtId="3" fontId="42" fillId="0" borderId="131" xfId="28" applyNumberFormat="1" applyFont="1" applyFill="1" applyBorder="1" applyAlignment="1" applyProtection="1">
      <alignment horizontal="center" vertical="top" wrapText="1"/>
    </xf>
    <xf numFmtId="3" fontId="42" fillId="0" borderId="162" xfId="28" applyNumberFormat="1" applyFont="1" applyFill="1" applyBorder="1" applyAlignment="1" applyProtection="1">
      <alignment horizontal="center" vertical="top" wrapText="1"/>
    </xf>
    <xf numFmtId="3" fontId="42" fillId="0" borderId="163" xfId="28" applyNumberFormat="1" applyFont="1" applyFill="1" applyBorder="1" applyAlignment="1" applyProtection="1">
      <alignment horizontal="center" vertical="top" wrapText="1"/>
    </xf>
    <xf numFmtId="0" fontId="42" fillId="31" borderId="65" xfId="0" applyFont="1" applyFill="1" applyBorder="1" applyAlignment="1" applyProtection="1">
      <alignment horizontal="left" vertical="center" wrapText="1"/>
    </xf>
    <xf numFmtId="0" fontId="42" fillId="31" borderId="119" xfId="0" applyFont="1" applyFill="1" applyBorder="1" applyAlignment="1" applyProtection="1">
      <alignment horizontal="left" vertical="center" wrapText="1"/>
    </xf>
    <xf numFmtId="0" fontId="42" fillId="31" borderId="160" xfId="0" applyFont="1" applyFill="1" applyBorder="1" applyAlignment="1" applyProtection="1">
      <alignment horizontal="left" vertical="center" wrapText="1"/>
    </xf>
    <xf numFmtId="0" fontId="42" fillId="31" borderId="148" xfId="0" applyFont="1" applyFill="1" applyBorder="1" applyAlignment="1" applyProtection="1">
      <alignment horizontal="left" vertical="top" wrapText="1"/>
    </xf>
    <xf numFmtId="0" fontId="42" fillId="31" borderId="158" xfId="0" applyFont="1" applyFill="1" applyBorder="1" applyAlignment="1" applyProtection="1">
      <alignment horizontal="left" vertical="top" wrapText="1"/>
    </xf>
    <xf numFmtId="0" fontId="53" fillId="0" borderId="26" xfId="0" applyFont="1" applyFill="1" applyBorder="1" applyAlignment="1" applyProtection="1">
      <alignment horizontal="left"/>
    </xf>
    <xf numFmtId="0" fontId="53" fillId="0" borderId="0" xfId="0" applyFont="1" applyFill="1" applyBorder="1" applyAlignment="1" applyProtection="1">
      <alignment horizontal="left"/>
    </xf>
    <xf numFmtId="0" fontId="53" fillId="0" borderId="101" xfId="0" applyFont="1" applyFill="1" applyBorder="1" applyAlignment="1" applyProtection="1">
      <alignment horizontal="left"/>
    </xf>
    <xf numFmtId="0" fontId="42" fillId="0" borderId="161" xfId="0" applyFont="1" applyFill="1" applyBorder="1" applyAlignment="1" applyProtection="1">
      <alignment horizontal="left" vertical="top" wrapText="1"/>
    </xf>
    <xf numFmtId="0" fontId="42" fillId="0" borderId="50" xfId="0" applyFont="1" applyFill="1" applyBorder="1" applyAlignment="1" applyProtection="1">
      <alignment horizontal="left" vertical="top" wrapText="1"/>
    </xf>
    <xf numFmtId="0" fontId="53" fillId="0" borderId="146" xfId="0" applyFont="1" applyFill="1" applyBorder="1" applyAlignment="1" applyProtection="1">
      <alignment horizontal="left" vertical="top"/>
    </xf>
    <xf numFmtId="0" fontId="53" fillId="0" borderId="155" xfId="0" applyFont="1" applyFill="1" applyBorder="1" applyAlignment="1" applyProtection="1">
      <alignment horizontal="left" vertical="top"/>
    </xf>
    <xf numFmtId="0" fontId="53" fillId="0" borderId="165" xfId="0" applyFont="1" applyFill="1" applyBorder="1" applyAlignment="1" applyProtection="1">
      <alignment horizontal="left" vertical="top"/>
    </xf>
    <xf numFmtId="0" fontId="42" fillId="0" borderId="152" xfId="0" applyFont="1" applyBorder="1" applyAlignment="1" applyProtection="1">
      <alignment horizontal="center"/>
    </xf>
    <xf numFmtId="0" fontId="42" fillId="0" borderId="153" xfId="0" applyFont="1" applyBorder="1" applyAlignment="1" applyProtection="1">
      <alignment horizontal="center"/>
    </xf>
    <xf numFmtId="0" fontId="42" fillId="0" borderId="157" xfId="0" applyFont="1" applyBorder="1" applyAlignment="1" applyProtection="1">
      <alignment horizontal="center"/>
    </xf>
    <xf numFmtId="0" fontId="42" fillId="0" borderId="131" xfId="0" applyFont="1" applyFill="1" applyBorder="1" applyAlignment="1" applyProtection="1">
      <alignment horizontal="center"/>
    </xf>
    <xf numFmtId="0" fontId="42" fillId="0" borderId="162" xfId="0" applyFont="1" applyFill="1" applyBorder="1" applyAlignment="1" applyProtection="1">
      <alignment horizontal="center"/>
    </xf>
    <xf numFmtId="0" fontId="42" fillId="0" borderId="163" xfId="0" applyFont="1" applyFill="1" applyBorder="1" applyAlignment="1" applyProtection="1">
      <alignment horizontal="center"/>
    </xf>
    <xf numFmtId="0" fontId="42" fillId="31" borderId="159" xfId="0" applyFont="1" applyFill="1" applyBorder="1" applyAlignment="1" applyProtection="1">
      <alignment horizontal="center" vertical="top" wrapText="1"/>
    </xf>
    <xf numFmtId="0" fontId="42" fillId="31" borderId="150" xfId="0" applyFont="1" applyFill="1" applyBorder="1" applyAlignment="1" applyProtection="1">
      <alignment horizontal="center" vertical="top" wrapText="1"/>
    </xf>
    <xf numFmtId="0" fontId="42" fillId="31" borderId="149" xfId="0" applyFont="1" applyFill="1" applyBorder="1" applyAlignment="1" applyProtection="1">
      <alignment horizontal="center" vertical="top" wrapText="1"/>
    </xf>
    <xf numFmtId="0" fontId="42" fillId="31" borderId="153" xfId="0" applyFont="1" applyFill="1" applyBorder="1" applyAlignment="1" applyProtection="1">
      <alignment horizontal="center" vertical="center" wrapText="1"/>
    </xf>
    <xf numFmtId="0" fontId="42" fillId="31" borderId="157" xfId="0" applyFont="1" applyFill="1" applyBorder="1" applyAlignment="1" applyProtection="1">
      <alignment horizontal="center" vertical="center" wrapText="1"/>
    </xf>
    <xf numFmtId="0" fontId="53" fillId="0" borderId="17" xfId="0" applyFont="1" applyFill="1" applyBorder="1" applyAlignment="1" applyProtection="1">
      <alignment horizontal="left"/>
    </xf>
    <xf numFmtId="0" fontId="53" fillId="0" borderId="31" xfId="0" applyFont="1" applyFill="1" applyBorder="1" applyAlignment="1" applyProtection="1">
      <alignment horizontal="left"/>
    </xf>
    <xf numFmtId="0" fontId="53" fillId="0" borderId="143" xfId="0" applyFont="1" applyFill="1" applyBorder="1" applyAlignment="1" applyProtection="1">
      <alignment horizontal="left"/>
    </xf>
    <xf numFmtId="0" fontId="42" fillId="35" borderId="128" xfId="0" applyFont="1" applyFill="1" applyBorder="1" applyAlignment="1" applyProtection="1">
      <alignment horizontal="center" wrapText="1"/>
      <protection locked="0"/>
    </xf>
    <xf numFmtId="0" fontId="42" fillId="35" borderId="130" xfId="0" applyFont="1" applyFill="1" applyBorder="1" applyAlignment="1" applyProtection="1">
      <alignment horizontal="center" wrapText="1"/>
      <protection locked="0"/>
    </xf>
    <xf numFmtId="0" fontId="42" fillId="35" borderId="126" xfId="0" applyFont="1" applyFill="1" applyBorder="1" applyAlignment="1" applyProtection="1">
      <alignment horizontal="center" wrapText="1"/>
      <protection locked="0"/>
    </xf>
    <xf numFmtId="0" fontId="42" fillId="35" borderId="100" xfId="0" applyFont="1" applyFill="1" applyBorder="1" applyAlignment="1" applyProtection="1">
      <alignment horizontal="center" wrapText="1"/>
      <protection locked="0"/>
    </xf>
    <xf numFmtId="0" fontId="42" fillId="35" borderId="0" xfId="0" applyFont="1" applyFill="1" applyBorder="1" applyAlignment="1" applyProtection="1">
      <alignment horizontal="center" wrapText="1"/>
      <protection locked="0"/>
    </xf>
    <xf numFmtId="0" fontId="42" fillId="35" borderId="27" xfId="0" applyFont="1" applyFill="1" applyBorder="1" applyAlignment="1" applyProtection="1">
      <alignment horizontal="center" wrapText="1"/>
      <protection locked="0"/>
    </xf>
    <xf numFmtId="0" fontId="42" fillId="35" borderId="166" xfId="0" applyFont="1" applyFill="1" applyBorder="1" applyAlignment="1" applyProtection="1">
      <alignment horizontal="center" wrapText="1"/>
      <protection locked="0"/>
    </xf>
    <xf numFmtId="0" fontId="42" fillId="35" borderId="31" xfId="0" applyFont="1" applyFill="1" applyBorder="1" applyAlignment="1" applyProtection="1">
      <alignment horizontal="center" wrapText="1"/>
      <protection locked="0"/>
    </xf>
    <xf numFmtId="0" fontId="42" fillId="35" borderId="21" xfId="0" applyFont="1" applyFill="1" applyBorder="1" applyAlignment="1" applyProtection="1">
      <alignment horizontal="center" wrapText="1"/>
      <protection locked="0"/>
    </xf>
    <xf numFmtId="0" fontId="42" fillId="31" borderId="156" xfId="0" applyFont="1" applyFill="1" applyBorder="1" applyAlignment="1" applyProtection="1">
      <alignment horizontal="center" vertical="center" wrapText="1"/>
    </xf>
    <xf numFmtId="4" fontId="42" fillId="33" borderId="91" xfId="0" applyNumberFormat="1" applyFont="1" applyFill="1" applyBorder="1" applyAlignment="1" applyProtection="1">
      <alignment horizontal="center"/>
    </xf>
    <xf numFmtId="4" fontId="42" fillId="33" borderId="119" xfId="0" applyNumberFormat="1" applyFont="1" applyFill="1" applyBorder="1" applyAlignment="1" applyProtection="1">
      <alignment horizontal="center"/>
    </xf>
    <xf numFmtId="4" fontId="42" fillId="33" borderId="160" xfId="0" applyNumberFormat="1" applyFont="1" applyFill="1" applyBorder="1" applyAlignment="1" applyProtection="1">
      <alignment horizontal="center"/>
    </xf>
    <xf numFmtId="166" fontId="42" fillId="0" borderId="91" xfId="0" applyNumberFormat="1" applyFont="1" applyFill="1" applyBorder="1" applyAlignment="1" applyProtection="1">
      <alignment horizontal="center" wrapText="1"/>
    </xf>
    <xf numFmtId="166" fontId="42" fillId="0" borderId="119" xfId="0" applyNumberFormat="1" applyFont="1" applyFill="1" applyBorder="1" applyAlignment="1" applyProtection="1">
      <alignment horizontal="center" wrapText="1"/>
    </xf>
    <xf numFmtId="166" fontId="42" fillId="0" borderId="160" xfId="0" applyNumberFormat="1" applyFont="1" applyFill="1" applyBorder="1" applyAlignment="1" applyProtection="1">
      <alignment horizontal="center" wrapText="1"/>
    </xf>
    <xf numFmtId="0" fontId="42" fillId="0" borderId="26" xfId="0" applyFont="1" applyFill="1" applyBorder="1" applyAlignment="1" applyProtection="1">
      <alignment horizontal="left" vertical="center" wrapText="1"/>
    </xf>
    <xf numFmtId="0" fontId="42" fillId="0" borderId="101" xfId="0" applyFont="1" applyFill="1" applyBorder="1" applyAlignment="1" applyProtection="1">
      <alignment horizontal="left" vertical="center" wrapText="1"/>
    </xf>
    <xf numFmtId="9" fontId="42" fillId="33" borderId="91" xfId="0" applyNumberFormat="1" applyFont="1" applyFill="1" applyBorder="1" applyAlignment="1" applyProtection="1">
      <alignment horizontal="center"/>
    </xf>
    <xf numFmtId="9" fontId="42" fillId="33" borderId="119" xfId="0" applyNumberFormat="1" applyFont="1" applyFill="1" applyBorder="1" applyAlignment="1" applyProtection="1">
      <alignment horizontal="center"/>
    </xf>
    <xf numFmtId="9" fontId="42" fillId="33" borderId="160" xfId="0" applyNumberFormat="1" applyFont="1" applyFill="1" applyBorder="1" applyAlignment="1" applyProtection="1">
      <alignment horizontal="center"/>
    </xf>
    <xf numFmtId="9" fontId="42" fillId="33" borderId="91" xfId="0" applyNumberFormat="1" applyFont="1" applyFill="1" applyBorder="1" applyAlignment="1" applyProtection="1">
      <alignment horizontal="center" vertical="top" wrapText="1"/>
    </xf>
    <xf numFmtId="9" fontId="42" fillId="33" borderId="119" xfId="0" applyNumberFormat="1" applyFont="1" applyFill="1" applyBorder="1" applyAlignment="1" applyProtection="1">
      <alignment horizontal="center" vertical="top" wrapText="1"/>
    </xf>
    <xf numFmtId="9" fontId="42" fillId="33" borderId="120" xfId="0" applyNumberFormat="1" applyFont="1" applyFill="1" applyBorder="1" applyAlignment="1" applyProtection="1">
      <alignment horizontal="center" vertical="top" wrapText="1"/>
    </xf>
    <xf numFmtId="0" fontId="42" fillId="33" borderId="91" xfId="0" applyFont="1" applyFill="1" applyBorder="1" applyAlignment="1" applyProtection="1">
      <alignment horizontal="center"/>
    </xf>
    <xf numFmtId="0" fontId="42" fillId="33" borderId="119" xfId="0" applyFont="1" applyFill="1" applyBorder="1" applyAlignment="1" applyProtection="1">
      <alignment horizontal="center"/>
    </xf>
    <xf numFmtId="0" fontId="42" fillId="33" borderId="160" xfId="0" applyFont="1" applyFill="1" applyBorder="1" applyAlignment="1" applyProtection="1">
      <alignment horizontal="center"/>
    </xf>
    <xf numFmtId="2" fontId="42" fillId="0" borderId="91" xfId="0" applyNumberFormat="1" applyFont="1" applyFill="1" applyBorder="1" applyAlignment="1" applyProtection="1">
      <alignment horizontal="center" vertical="top" wrapText="1"/>
    </xf>
    <xf numFmtId="2" fontId="42" fillId="0" borderId="119" xfId="0" applyNumberFormat="1" applyFont="1" applyFill="1" applyBorder="1" applyAlignment="1" applyProtection="1">
      <alignment horizontal="center" vertical="top" wrapText="1"/>
    </xf>
    <xf numFmtId="2" fontId="42" fillId="0" borderId="120" xfId="0" applyNumberFormat="1" applyFont="1" applyFill="1" applyBorder="1" applyAlignment="1" applyProtection="1">
      <alignment horizontal="center" vertical="top" wrapText="1"/>
    </xf>
    <xf numFmtId="166" fontId="42" fillId="0" borderId="120" xfId="0" applyNumberFormat="1" applyFont="1" applyFill="1" applyBorder="1" applyAlignment="1" applyProtection="1">
      <alignment horizontal="center" wrapText="1"/>
    </xf>
    <xf numFmtId="0" fontId="42" fillId="35" borderId="91" xfId="0" applyFont="1" applyFill="1" applyBorder="1" applyAlignment="1" applyProtection="1">
      <alignment horizontal="left" vertical="top" wrapText="1"/>
      <protection locked="0"/>
    </xf>
    <xf numFmtId="0" fontId="42" fillId="35" borderId="120" xfId="0" applyFont="1" applyFill="1" applyBorder="1" applyAlignment="1" applyProtection="1">
      <alignment horizontal="left" vertical="top" wrapText="1"/>
      <protection locked="0"/>
    </xf>
    <xf numFmtId="206" fontId="42" fillId="33" borderId="160" xfId="0" applyNumberFormat="1" applyFont="1" applyFill="1" applyBorder="1" applyAlignment="1" applyProtection="1">
      <alignment horizontal="center" vertical="top" wrapText="1"/>
    </xf>
    <xf numFmtId="0" fontId="42" fillId="35" borderId="160" xfId="0" applyFont="1" applyFill="1" applyBorder="1" applyAlignment="1" applyProtection="1">
      <alignment horizontal="center" vertical="top" wrapText="1"/>
      <protection locked="0"/>
    </xf>
    <xf numFmtId="167" fontId="42" fillId="31" borderId="65" xfId="0" applyNumberFormat="1" applyFont="1" applyFill="1" applyBorder="1" applyAlignment="1" applyProtection="1">
      <alignment horizontal="left" vertical="top" wrapText="1"/>
    </xf>
    <xf numFmtId="167" fontId="42" fillId="31" borderId="119" xfId="0" applyNumberFormat="1" applyFont="1" applyFill="1" applyBorder="1" applyAlignment="1" applyProtection="1">
      <alignment horizontal="left" vertical="top" wrapText="1"/>
    </xf>
    <xf numFmtId="167" fontId="42" fillId="31" borderId="160" xfId="0" applyNumberFormat="1" applyFont="1" applyFill="1" applyBorder="1" applyAlignment="1" applyProtection="1">
      <alignment horizontal="left" vertical="top" wrapText="1"/>
    </xf>
    <xf numFmtId="0" fontId="42" fillId="0" borderId="161" xfId="0" applyFont="1" applyBorder="1" applyProtection="1"/>
    <xf numFmtId="0" fontId="42" fillId="0" borderId="50" xfId="0" applyFont="1" applyBorder="1" applyProtection="1"/>
    <xf numFmtId="0" fontId="42" fillId="0" borderId="131" xfId="0" applyFont="1" applyBorder="1" applyAlignment="1" applyProtection="1">
      <alignment horizontal="left"/>
    </xf>
    <xf numFmtId="0" fontId="42" fillId="0" borderId="162" xfId="0" applyFont="1" applyBorder="1" applyAlignment="1" applyProtection="1">
      <alignment horizontal="left"/>
    </xf>
    <xf numFmtId="0" fontId="42" fillId="0" borderId="50" xfId="0" applyFont="1" applyBorder="1" applyAlignment="1" applyProtection="1">
      <alignment horizontal="left"/>
    </xf>
    <xf numFmtId="0" fontId="30" fillId="47" borderId="146" xfId="0" applyFont="1" applyFill="1" applyBorder="1" applyAlignment="1" applyProtection="1">
      <alignment horizontal="center" wrapText="1"/>
      <protection locked="0"/>
    </xf>
    <xf numFmtId="0" fontId="30" fillId="47" borderId="155" xfId="0" applyFont="1" applyFill="1" applyBorder="1" applyAlignment="1" applyProtection="1">
      <alignment horizontal="center" wrapText="1"/>
      <protection locked="0"/>
    </xf>
    <xf numFmtId="0" fontId="30" fillId="47" borderId="147" xfId="0" applyFont="1" applyFill="1" applyBorder="1" applyAlignment="1" applyProtection="1">
      <alignment horizontal="center" wrapText="1"/>
      <protection locked="0"/>
    </xf>
    <xf numFmtId="0" fontId="30" fillId="47" borderId="17" xfId="0" applyFont="1" applyFill="1" applyBorder="1" applyAlignment="1" applyProtection="1">
      <alignment horizontal="center" wrapText="1"/>
      <protection locked="0"/>
    </xf>
    <xf numFmtId="0" fontId="30" fillId="47" borderId="31" xfId="0" applyFont="1" applyFill="1" applyBorder="1" applyAlignment="1" applyProtection="1">
      <alignment horizontal="center" wrapText="1"/>
      <protection locked="0"/>
    </xf>
    <xf numFmtId="0" fontId="30" fillId="47" borderId="21" xfId="0" applyFont="1" applyFill="1" applyBorder="1" applyAlignment="1" applyProtection="1">
      <alignment horizontal="center" wrapText="1"/>
      <protection locked="0"/>
    </xf>
    <xf numFmtId="0" fontId="42" fillId="31" borderId="148" xfId="0" applyFont="1" applyFill="1" applyBorder="1" applyAlignment="1" applyProtection="1">
      <alignment horizontal="center"/>
    </xf>
    <xf numFmtId="0" fontId="42" fillId="31" borderId="150" xfId="0" applyFont="1" applyFill="1" applyBorder="1" applyAlignment="1" applyProtection="1">
      <alignment horizontal="center"/>
    </xf>
    <xf numFmtId="0" fontId="42" fillId="31" borderId="149" xfId="0" applyFont="1" applyFill="1" applyBorder="1" applyAlignment="1" applyProtection="1">
      <alignment horizontal="center"/>
    </xf>
    <xf numFmtId="0" fontId="44" fillId="31" borderId="148" xfId="0" applyFont="1" applyFill="1" applyBorder="1" applyAlignment="1" applyProtection="1">
      <alignment horizontal="left"/>
    </xf>
    <xf numFmtId="0" fontId="44" fillId="31" borderId="150" xfId="0" applyFont="1" applyFill="1" applyBorder="1" applyAlignment="1" applyProtection="1">
      <alignment horizontal="left"/>
    </xf>
    <xf numFmtId="0" fontId="44" fillId="31" borderId="149" xfId="0" applyFont="1" applyFill="1" applyBorder="1" applyAlignment="1" applyProtection="1">
      <alignment horizontal="left"/>
    </xf>
    <xf numFmtId="0" fontId="44" fillId="31" borderId="148" xfId="0" applyFont="1" applyFill="1" applyBorder="1" applyAlignment="1" applyProtection="1">
      <alignment vertical="top" wrapText="1"/>
    </xf>
    <xf numFmtId="0" fontId="44" fillId="31" borderId="150" xfId="0" applyFont="1" applyFill="1" applyBorder="1" applyAlignment="1" applyProtection="1">
      <alignment vertical="top" wrapText="1"/>
    </xf>
    <xf numFmtId="0" fontId="44" fillId="31" borderId="149" xfId="0" applyFont="1" applyFill="1" applyBorder="1" applyAlignment="1" applyProtection="1">
      <alignment vertical="top" wrapText="1"/>
    </xf>
    <xf numFmtId="0" fontId="44" fillId="31" borderId="161" xfId="0" applyFont="1" applyFill="1" applyBorder="1" applyAlignment="1" applyProtection="1">
      <alignment horizontal="left"/>
    </xf>
    <xf numFmtId="0" fontId="44" fillId="31" borderId="162" xfId="0" applyFont="1" applyFill="1" applyBorder="1" applyAlignment="1" applyProtection="1">
      <alignment horizontal="left"/>
    </xf>
    <xf numFmtId="0" fontId="44" fillId="31" borderId="163" xfId="0" applyFont="1" applyFill="1" applyBorder="1" applyAlignment="1" applyProtection="1">
      <alignment horizontal="left"/>
    </xf>
    <xf numFmtId="0" fontId="42" fillId="0" borderId="152" xfId="0" applyFont="1" applyFill="1" applyBorder="1" applyAlignment="1" applyProtection="1">
      <alignment horizontal="left" vertical="top" wrapText="1"/>
    </xf>
    <xf numFmtId="0" fontId="42" fillId="0" borderId="91" xfId="0" applyFont="1" applyFill="1" applyBorder="1" applyAlignment="1" applyProtection="1">
      <alignment horizontal="left" vertical="top" wrapText="1"/>
    </xf>
    <xf numFmtId="0" fontId="44" fillId="31" borderId="152" xfId="0" applyFont="1" applyFill="1" applyBorder="1" applyAlignment="1" applyProtection="1">
      <alignment horizontal="left"/>
    </xf>
    <xf numFmtId="0" fontId="44" fillId="31" borderId="153" xfId="0" applyFont="1" applyFill="1" applyBorder="1" applyAlignment="1" applyProtection="1">
      <alignment horizontal="left"/>
    </xf>
    <xf numFmtId="0" fontId="44" fillId="31" borderId="157" xfId="0" applyFont="1" applyFill="1" applyBorder="1" applyAlignment="1" applyProtection="1">
      <alignment horizontal="left"/>
    </xf>
    <xf numFmtId="0" fontId="44" fillId="31" borderId="178" xfId="0" applyFont="1" applyFill="1" applyBorder="1" applyAlignment="1" applyProtection="1">
      <alignment horizontal="center" wrapText="1"/>
    </xf>
    <xf numFmtId="0" fontId="44" fillId="31" borderId="84" xfId="0" applyFont="1" applyFill="1" applyBorder="1" applyAlignment="1" applyProtection="1">
      <alignment horizontal="center" wrapText="1"/>
    </xf>
    <xf numFmtId="0" fontId="44" fillId="31" borderId="152" xfId="0" applyFont="1" applyFill="1" applyBorder="1" applyAlignment="1" applyProtection="1">
      <alignment horizontal="center" vertical="top"/>
    </xf>
    <xf numFmtId="0" fontId="44" fillId="31" borderId="153" xfId="0" applyFont="1" applyFill="1" applyBorder="1" applyAlignment="1" applyProtection="1">
      <alignment horizontal="center" vertical="top"/>
    </xf>
    <xf numFmtId="0" fontId="44" fillId="31" borderId="157" xfId="0" applyFont="1" applyFill="1" applyBorder="1" applyAlignment="1" applyProtection="1">
      <alignment horizontal="center" vertical="top"/>
    </xf>
    <xf numFmtId="0" fontId="44" fillId="31" borderId="176" xfId="0" applyFont="1" applyFill="1" applyBorder="1" applyAlignment="1" applyProtection="1">
      <alignment horizontal="center" vertical="top" wrapText="1"/>
    </xf>
    <xf numFmtId="0" fontId="44" fillId="31" borderId="119" xfId="0" applyFont="1" applyFill="1" applyBorder="1" applyAlignment="1" applyProtection="1">
      <alignment horizontal="center" vertical="top" wrapText="1"/>
    </xf>
    <xf numFmtId="0" fontId="44" fillId="31" borderId="177" xfId="0" applyFont="1" applyFill="1" applyBorder="1" applyAlignment="1" applyProtection="1">
      <alignment horizontal="center" vertical="top" wrapText="1"/>
    </xf>
    <xf numFmtId="0" fontId="44" fillId="31" borderId="188" xfId="43" applyFont="1" applyFill="1" applyBorder="1" applyAlignment="1" applyProtection="1">
      <alignment horizontal="center" wrapText="1"/>
    </xf>
    <xf numFmtId="0" fontId="44" fillId="31" borderId="21" xfId="43" applyFont="1" applyFill="1" applyBorder="1" applyAlignment="1" applyProtection="1">
      <alignment horizontal="center" wrapText="1"/>
    </xf>
    <xf numFmtId="0" fontId="44" fillId="31" borderId="113" xfId="0" applyFont="1" applyFill="1" applyBorder="1" applyAlignment="1" applyProtection="1">
      <alignment horizontal="center" wrapText="1"/>
    </xf>
    <xf numFmtId="0" fontId="44" fillId="31" borderId="83" xfId="0" applyFont="1" applyFill="1" applyBorder="1" applyAlignment="1" applyProtection="1">
      <alignment horizontal="center" wrapText="1"/>
    </xf>
    <xf numFmtId="0" fontId="44" fillId="31" borderId="175" xfId="0" applyFont="1" applyFill="1" applyBorder="1" applyAlignment="1" applyProtection="1">
      <alignment horizontal="center" wrapText="1"/>
    </xf>
    <xf numFmtId="0" fontId="44" fillId="31" borderId="69" xfId="0" applyFont="1" applyFill="1" applyBorder="1" applyAlignment="1" applyProtection="1">
      <alignment horizontal="center" wrapText="1"/>
    </xf>
    <xf numFmtId="0" fontId="44" fillId="31" borderId="179" xfId="43" applyFont="1" applyFill="1" applyBorder="1" applyAlignment="1" applyProtection="1">
      <alignment horizontal="center" wrapText="1"/>
    </xf>
    <xf numFmtId="0" fontId="44" fillId="31" borderId="49" xfId="43" applyFont="1" applyFill="1" applyBorder="1" applyAlignment="1" applyProtection="1">
      <alignment horizontal="center" wrapText="1"/>
    </xf>
    <xf numFmtId="0" fontId="44" fillId="31" borderId="151" xfId="0" applyFont="1" applyFill="1" applyBorder="1" applyAlignment="1" applyProtection="1">
      <alignment horizontal="center" vertical="top" wrapText="1"/>
    </xf>
    <xf numFmtId="0" fontId="44" fillId="31" borderId="42" xfId="0" applyFont="1" applyFill="1" applyBorder="1" applyAlignment="1" applyProtection="1">
      <alignment horizontal="center" vertical="top" wrapText="1"/>
    </xf>
    <xf numFmtId="0" fontId="44" fillId="31" borderId="44" xfId="0" applyFont="1" applyFill="1" applyBorder="1" applyAlignment="1" applyProtection="1">
      <alignment horizontal="center" vertical="top" wrapText="1"/>
    </xf>
    <xf numFmtId="0" fontId="44" fillId="31" borderId="175" xfId="0" applyFont="1" applyFill="1" applyBorder="1" applyAlignment="1" applyProtection="1">
      <alignment horizontal="center" vertical="top" wrapText="1"/>
    </xf>
    <xf numFmtId="0" fontId="44" fillId="31" borderId="69" xfId="0" applyFont="1" applyFill="1" applyBorder="1" applyAlignment="1" applyProtection="1">
      <alignment horizontal="center" vertical="top" wrapText="1"/>
    </xf>
    <xf numFmtId="0" fontId="44" fillId="31" borderId="175" xfId="0" applyFont="1" applyFill="1" applyBorder="1" applyAlignment="1" applyProtection="1">
      <alignment horizontal="center" vertical="top"/>
    </xf>
    <xf numFmtId="0" fontId="44" fillId="31" borderId="69" xfId="0" applyFont="1" applyFill="1" applyBorder="1" applyAlignment="1" applyProtection="1">
      <alignment horizontal="center" vertical="top"/>
    </xf>
    <xf numFmtId="0" fontId="44" fillId="31" borderId="173" xfId="0" applyFont="1" applyFill="1" applyBorder="1" applyAlignment="1" applyProtection="1">
      <alignment horizontal="center" vertical="top"/>
    </xf>
    <xf numFmtId="0" fontId="44" fillId="31" borderId="154" xfId="0" applyFont="1" applyFill="1" applyBorder="1" applyAlignment="1" applyProtection="1">
      <alignment horizontal="center" vertical="top"/>
    </xf>
    <xf numFmtId="0" fontId="44" fillId="31" borderId="170" xfId="0" applyFont="1" applyFill="1" applyBorder="1" applyAlignment="1" applyProtection="1">
      <alignment horizontal="center" vertical="top" wrapText="1"/>
    </xf>
    <xf numFmtId="0" fontId="44" fillId="31" borderId="171" xfId="0" applyFont="1" applyFill="1" applyBorder="1" applyAlignment="1" applyProtection="1">
      <alignment horizontal="center" vertical="top" wrapText="1"/>
    </xf>
    <xf numFmtId="0" fontId="44" fillId="31" borderId="172" xfId="0" applyFont="1" applyFill="1" applyBorder="1" applyAlignment="1" applyProtection="1">
      <alignment horizontal="center" vertical="top" wrapText="1"/>
    </xf>
    <xf numFmtId="0" fontId="44" fillId="31" borderId="168" xfId="0" applyFont="1" applyFill="1" applyBorder="1" applyAlignment="1" applyProtection="1">
      <alignment horizontal="center" vertical="top" wrapText="1"/>
    </xf>
    <xf numFmtId="0" fontId="44" fillId="31" borderId="95" xfId="0" applyFont="1" applyFill="1" applyBorder="1" applyAlignment="1" applyProtection="1">
      <alignment horizontal="center" vertical="top" wrapText="1"/>
    </xf>
    <xf numFmtId="0" fontId="44" fillId="31" borderId="49" xfId="0" applyFont="1" applyFill="1" applyBorder="1" applyAlignment="1" applyProtection="1">
      <alignment horizontal="center" vertical="top" wrapText="1"/>
    </xf>
    <xf numFmtId="0" fontId="44" fillId="31" borderId="197" xfId="0" applyFont="1" applyFill="1" applyBorder="1" applyAlignment="1" applyProtection="1">
      <alignment horizontal="center" vertical="top"/>
    </xf>
    <xf numFmtId="0" fontId="44" fillId="31" borderId="196" xfId="0" applyFont="1" applyFill="1" applyBorder="1" applyAlignment="1" applyProtection="1">
      <alignment horizontal="center" vertical="top"/>
    </xf>
    <xf numFmtId="0" fontId="64" fillId="26" borderId="167" xfId="0" applyFont="1" applyFill="1" applyBorder="1" applyAlignment="1">
      <alignment horizontal="center" wrapText="1"/>
    </xf>
    <xf numFmtId="0" fontId="64" fillId="26" borderId="30" xfId="0" applyFont="1" applyFill="1" applyBorder="1" applyAlignment="1">
      <alignment horizontal="center" wrapText="1"/>
    </xf>
    <xf numFmtId="0" fontId="42" fillId="0" borderId="0" xfId="0" applyFont="1" applyAlignment="1"/>
    <xf numFmtId="0" fontId="64" fillId="26" borderId="148" xfId="0" applyFont="1" applyFill="1" applyBorder="1" applyAlignment="1"/>
    <xf numFmtId="0" fontId="64" fillId="26" borderId="150" xfId="0" applyFont="1" applyFill="1" applyBorder="1" applyAlignment="1"/>
    <xf numFmtId="0" fontId="64" fillId="26" borderId="158" xfId="0" applyFont="1" applyFill="1" applyBorder="1" applyAlignment="1"/>
    <xf numFmtId="0" fontId="42" fillId="0" borderId="148" xfId="0" applyFont="1" applyBorder="1" applyAlignment="1"/>
    <xf numFmtId="0" fontId="42" fillId="0" borderId="150" xfId="0" applyFont="1" applyBorder="1" applyAlignment="1"/>
    <xf numFmtId="0" fontId="42" fillId="0" borderId="158" xfId="0" applyFont="1" applyBorder="1" applyAlignment="1"/>
    <xf numFmtId="0" fontId="64" fillId="26" borderId="159" xfId="0" applyFont="1" applyFill="1" applyBorder="1" applyAlignment="1">
      <alignment horizontal="center"/>
    </xf>
    <xf numFmtId="0" fontId="64" fillId="26" borderId="150" xfId="0" applyFont="1" applyFill="1" applyBorder="1" applyAlignment="1">
      <alignment horizontal="center"/>
    </xf>
    <xf numFmtId="0" fontId="64" fillId="26" borderId="158" xfId="0" applyFont="1" applyFill="1" applyBorder="1" applyAlignment="1">
      <alignment horizontal="center"/>
    </xf>
    <xf numFmtId="0" fontId="64" fillId="26" borderId="149" xfId="0" applyFont="1" applyFill="1" applyBorder="1" applyAlignment="1">
      <alignment horizontal="center"/>
    </xf>
    <xf numFmtId="0" fontId="44" fillId="33" borderId="148" xfId="44" applyFont="1" applyFill="1" applyBorder="1" applyAlignment="1" applyProtection="1">
      <alignment horizontal="center"/>
    </xf>
    <xf numFmtId="0" fontId="44" fillId="33" borderId="150" xfId="44" applyFont="1" applyFill="1" applyBorder="1" applyAlignment="1" applyProtection="1">
      <alignment horizontal="center"/>
    </xf>
    <xf numFmtId="0" fontId="44" fillId="33" borderId="158" xfId="44" applyFont="1" applyFill="1" applyBorder="1" applyAlignment="1" applyProtection="1">
      <alignment horizontal="center"/>
    </xf>
    <xf numFmtId="0" fontId="53" fillId="31" borderId="152" xfId="44" applyFont="1" applyFill="1" applyBorder="1" applyAlignment="1" applyProtection="1">
      <alignment horizontal="center"/>
    </xf>
    <xf numFmtId="0" fontId="53" fillId="31" borderId="153" xfId="44" applyFont="1" applyFill="1" applyBorder="1" applyAlignment="1" applyProtection="1">
      <alignment horizontal="center"/>
    </xf>
    <xf numFmtId="0" fontId="53" fillId="31" borderId="154" xfId="44" applyFont="1" applyFill="1" applyBorder="1" applyAlignment="1" applyProtection="1">
      <alignment horizontal="center"/>
    </xf>
    <xf numFmtId="0" fontId="53" fillId="31" borderId="156" xfId="44" applyFont="1" applyFill="1" applyBorder="1" applyAlignment="1" applyProtection="1">
      <alignment horizontal="center"/>
      <protection locked="0"/>
    </xf>
    <xf numFmtId="0" fontId="53" fillId="31" borderId="153" xfId="44" applyFont="1" applyFill="1" applyBorder="1" applyAlignment="1" applyProtection="1">
      <alignment horizontal="center"/>
      <protection locked="0"/>
    </xf>
    <xf numFmtId="0" fontId="53" fillId="31" borderId="154" xfId="44" applyFont="1" applyFill="1" applyBorder="1" applyAlignment="1" applyProtection="1">
      <alignment horizontal="center"/>
      <protection locked="0"/>
    </xf>
    <xf numFmtId="0" fontId="42" fillId="35" borderId="26" xfId="0" applyFont="1" applyFill="1" applyBorder="1" applyAlignment="1" applyProtection="1">
      <alignment horizontal="left" vertical="center" wrapText="1"/>
    </xf>
    <xf numFmtId="0" fontId="42" fillId="35" borderId="27" xfId="0" applyFont="1" applyFill="1" applyBorder="1" applyAlignment="1" applyProtection="1">
      <alignment horizontal="left" vertical="center" wrapText="1"/>
    </xf>
    <xf numFmtId="0" fontId="53" fillId="31" borderId="190" xfId="44" applyFont="1" applyFill="1" applyBorder="1" applyAlignment="1" applyProtection="1">
      <alignment horizontal="center"/>
    </xf>
    <xf numFmtId="0" fontId="53" fillId="31" borderId="120" xfId="44" applyFont="1" applyFill="1" applyBorder="1" applyAlignment="1" applyProtection="1">
      <alignment horizontal="center"/>
    </xf>
    <xf numFmtId="0" fontId="53" fillId="31" borderId="91" xfId="44" applyFont="1" applyFill="1" applyBorder="1" applyAlignment="1" applyProtection="1">
      <alignment horizontal="center"/>
    </xf>
    <xf numFmtId="0" fontId="42" fillId="0" borderId="26" xfId="0" applyFont="1" applyBorder="1" applyAlignment="1" applyProtection="1">
      <alignment horizontal="left" wrapText="1"/>
    </xf>
    <xf numFmtId="0" fontId="42" fillId="0" borderId="0" xfId="0" applyFont="1" applyBorder="1" applyAlignment="1" applyProtection="1">
      <alignment horizontal="left" wrapText="1"/>
    </xf>
    <xf numFmtId="0" fontId="42" fillId="0" borderId="27" xfId="0" applyFont="1" applyBorder="1" applyAlignment="1" applyProtection="1">
      <alignment horizontal="left" wrapText="1"/>
    </xf>
    <xf numFmtId="0" fontId="44" fillId="31" borderId="91" xfId="0" applyFont="1" applyFill="1" applyBorder="1" applyAlignment="1" applyProtection="1">
      <alignment horizontal="left"/>
      <protection locked="0"/>
    </xf>
    <xf numFmtId="0" fontId="44" fillId="31" borderId="119" xfId="0" applyFont="1" applyFill="1" applyBorder="1" applyAlignment="1" applyProtection="1">
      <alignment horizontal="left"/>
      <protection locked="0"/>
    </xf>
    <xf numFmtId="0" fontId="44" fillId="31" borderId="120" xfId="0" applyFont="1" applyFill="1" applyBorder="1" applyAlignment="1" applyProtection="1">
      <alignment horizontal="left"/>
      <protection locked="0"/>
    </xf>
    <xf numFmtId="0" fontId="42" fillId="0" borderId="0" xfId="661" applyFont="1" applyFill="1" applyBorder="1" applyAlignment="1" applyProtection="1">
      <alignment horizontal="left" wrapText="1"/>
    </xf>
    <xf numFmtId="0" fontId="42" fillId="0" borderId="0" xfId="661" applyFont="1" applyFill="1" applyAlignment="1" applyProtection="1">
      <alignment horizontal="left" wrapText="1"/>
    </xf>
    <xf numFmtId="0" fontId="58" fillId="0" borderId="0" xfId="0" applyFont="1" applyAlignment="1" applyProtection="1">
      <alignment horizontal="center"/>
    </xf>
    <xf numFmtId="0" fontId="58" fillId="0" borderId="101" xfId="0" applyFont="1" applyBorder="1" applyAlignment="1" applyProtection="1">
      <alignment horizontal="center"/>
    </xf>
    <xf numFmtId="0" fontId="42" fillId="48" borderId="91" xfId="0" applyFont="1" applyFill="1" applyBorder="1" applyAlignment="1" applyProtection="1"/>
    <xf numFmtId="0" fontId="42" fillId="48" borderId="119" xfId="0" applyFont="1" applyFill="1" applyBorder="1" applyAlignment="1" applyProtection="1"/>
    <xf numFmtId="0" fontId="42" fillId="48" borderId="120" xfId="0" applyFont="1" applyFill="1" applyBorder="1" applyAlignment="1" applyProtection="1"/>
    <xf numFmtId="0" fontId="42" fillId="0" borderId="0" xfId="0" applyFont="1" applyAlignment="1" applyProtection="1">
      <alignment horizontal="left" wrapText="1"/>
    </xf>
    <xf numFmtId="0" fontId="42" fillId="0" borderId="0" xfId="0" applyFont="1" applyAlignment="1" applyProtection="1">
      <alignment horizontal="left" vertical="top" wrapText="1"/>
    </xf>
    <xf numFmtId="0" fontId="42" fillId="0" borderId="91" xfId="0" applyFont="1" applyFill="1" applyBorder="1" applyAlignment="1" applyProtection="1"/>
    <xf numFmtId="0" fontId="42" fillId="0" borderId="119" xfId="0" applyFont="1" applyFill="1" applyBorder="1" applyAlignment="1" applyProtection="1"/>
    <xf numFmtId="0" fontId="42" fillId="0" borderId="120" xfId="0" applyFont="1" applyFill="1" applyBorder="1" applyAlignment="1" applyProtection="1"/>
    <xf numFmtId="0" fontId="44" fillId="0" borderId="121" xfId="0" applyFont="1" applyFill="1" applyBorder="1" applyAlignment="1" applyProtection="1">
      <alignment horizontal="center" wrapText="1"/>
    </xf>
    <xf numFmtId="0" fontId="44" fillId="0" borderId="114" xfId="0" applyFont="1" applyFill="1" applyBorder="1" applyAlignment="1" applyProtection="1">
      <alignment horizontal="center" wrapText="1"/>
    </xf>
    <xf numFmtId="0" fontId="78" fillId="33" borderId="100" xfId="0" applyFont="1" applyFill="1" applyBorder="1" applyAlignment="1" applyProtection="1">
      <alignment horizontal="left" wrapText="1"/>
    </xf>
    <xf numFmtId="0" fontId="78" fillId="33" borderId="0" xfId="0" applyFont="1" applyFill="1" applyBorder="1" applyAlignment="1" applyProtection="1">
      <alignment horizontal="left" wrapText="1"/>
    </xf>
    <xf numFmtId="0" fontId="44" fillId="0" borderId="179" xfId="0" applyFont="1" applyFill="1" applyBorder="1" applyAlignment="1" applyProtection="1">
      <alignment horizontal="center" wrapText="1"/>
    </xf>
    <xf numFmtId="0" fontId="44" fillId="0" borderId="38" xfId="0" applyFont="1" applyFill="1" applyBorder="1" applyAlignment="1" applyProtection="1">
      <alignment horizontal="center" wrapText="1"/>
    </xf>
    <xf numFmtId="2" fontId="42" fillId="48" borderId="91" xfId="0" applyNumberFormat="1" applyFont="1" applyFill="1" applyBorder="1" applyAlignment="1" applyProtection="1">
      <alignment horizontal="center" vertical="center"/>
    </xf>
    <xf numFmtId="2" fontId="42" fillId="48" borderId="120" xfId="0" applyNumberFormat="1" applyFont="1" applyFill="1" applyBorder="1" applyAlignment="1" applyProtection="1">
      <alignment horizontal="center" vertical="center"/>
    </xf>
    <xf numFmtId="2" fontId="42" fillId="48" borderId="91" xfId="0" applyNumberFormat="1" applyFont="1" applyFill="1" applyBorder="1" applyAlignment="1" applyProtection="1">
      <alignment horizontal="center"/>
    </xf>
    <xf numFmtId="2" fontId="42" fillId="48" borderId="120" xfId="0" applyNumberFormat="1" applyFont="1" applyFill="1" applyBorder="1" applyAlignment="1" applyProtection="1">
      <alignment horizontal="center"/>
    </xf>
    <xf numFmtId="0" fontId="42" fillId="48" borderId="91" xfId="0" applyFont="1" applyFill="1" applyBorder="1" applyAlignment="1" applyProtection="1">
      <alignment horizontal="center"/>
    </xf>
    <xf numFmtId="0" fontId="42" fillId="48" borderId="120" xfId="0" applyFont="1" applyFill="1" applyBorder="1" applyAlignment="1" applyProtection="1">
      <alignment horizontal="center"/>
    </xf>
    <xf numFmtId="0" fontId="42" fillId="35" borderId="187" xfId="0" applyFont="1" applyFill="1" applyBorder="1" applyAlignment="1" applyProtection="1">
      <alignment horizontal="center" vertical="center"/>
      <protection locked="0"/>
    </xf>
    <xf numFmtId="0" fontId="42" fillId="35" borderId="188" xfId="0" applyFont="1" applyFill="1" applyBorder="1" applyAlignment="1" applyProtection="1">
      <alignment horizontal="center" vertical="center"/>
      <protection locked="0"/>
    </xf>
    <xf numFmtId="0" fontId="42" fillId="35" borderId="11" xfId="0" applyFont="1" applyFill="1" applyBorder="1" applyAlignment="1" applyProtection="1">
      <alignment horizontal="center" vertical="center"/>
      <protection locked="0"/>
    </xf>
    <xf numFmtId="0" fontId="42" fillId="35" borderId="189" xfId="0" applyFont="1" applyFill="1" applyBorder="1" applyAlignment="1" applyProtection="1">
      <alignment horizontal="center" vertical="center"/>
      <protection locked="0"/>
    </xf>
    <xf numFmtId="0" fontId="42" fillId="0" borderId="91" xfId="0" applyFont="1" applyFill="1" applyBorder="1" applyAlignment="1" applyProtection="1">
      <alignment horizontal="center"/>
    </xf>
    <xf numFmtId="0" fontId="42" fillId="0" borderId="120" xfId="0" applyFont="1" applyFill="1" applyBorder="1" applyAlignment="1" applyProtection="1">
      <alignment horizontal="center"/>
    </xf>
    <xf numFmtId="0" fontId="54" fillId="31" borderId="23" xfId="0" applyFont="1" applyFill="1" applyBorder="1" applyAlignment="1" applyProtection="1">
      <alignment horizontal="center" wrapText="1"/>
      <protection locked="0"/>
    </xf>
    <xf numFmtId="0" fontId="54" fillId="31" borderId="75" xfId="0" applyFont="1" applyFill="1" applyBorder="1" applyAlignment="1" applyProtection="1">
      <alignment horizontal="center" wrapText="1"/>
      <protection locked="0"/>
    </xf>
    <xf numFmtId="0" fontId="54" fillId="31" borderId="67" xfId="0" applyFont="1" applyFill="1" applyBorder="1" applyAlignment="1" applyProtection="1">
      <alignment horizontal="center" wrapText="1"/>
      <protection locked="0"/>
    </xf>
    <xf numFmtId="0" fontId="54" fillId="31" borderId="91" xfId="0" applyFont="1" applyFill="1" applyBorder="1" applyAlignment="1" applyProtection="1">
      <alignment horizontal="center"/>
    </xf>
    <xf numFmtId="0" fontId="54" fillId="31" borderId="120" xfId="0" applyFont="1" applyFill="1" applyBorder="1" applyAlignment="1" applyProtection="1">
      <alignment horizontal="center"/>
    </xf>
    <xf numFmtId="0" fontId="54" fillId="31" borderId="119" xfId="0" applyFont="1" applyFill="1" applyBorder="1" applyAlignment="1" applyProtection="1">
      <alignment horizontal="center"/>
    </xf>
  </cellXfs>
  <cellStyles count="748">
    <cellStyle name="0.00%" xfId="624"/>
    <cellStyle name="20% - Accent1" xfId="1" builtinId="30" customBuiltin="1"/>
    <cellStyle name="20% - Accent1 10" xfId="452"/>
    <cellStyle name="20% - Accent1 11" xfId="496"/>
    <cellStyle name="20% - Accent1 12" xfId="540"/>
    <cellStyle name="20% - Accent1 13" xfId="584"/>
    <cellStyle name="20% - Accent1 2" xfId="96"/>
    <cellStyle name="20% - Accent1 3" xfId="144"/>
    <cellStyle name="20% - Accent1 4" xfId="188"/>
    <cellStyle name="20% - Accent1 5" xfId="232"/>
    <cellStyle name="20% - Accent1 6" xfId="276"/>
    <cellStyle name="20% - Accent1 7" xfId="320"/>
    <cellStyle name="20% - Accent1 8" xfId="364"/>
    <cellStyle name="20% - Accent1 9" xfId="408"/>
    <cellStyle name="20% - Accent2" xfId="2" builtinId="34" customBuiltin="1"/>
    <cellStyle name="20% - Accent2 10" xfId="451"/>
    <cellStyle name="20% - Accent2 11" xfId="495"/>
    <cellStyle name="20% - Accent2 12" xfId="539"/>
    <cellStyle name="20% - Accent2 13" xfId="583"/>
    <cellStyle name="20% - Accent2 2" xfId="97"/>
    <cellStyle name="20% - Accent2 3" xfId="143"/>
    <cellStyle name="20% - Accent2 4" xfId="187"/>
    <cellStyle name="20% - Accent2 5" xfId="231"/>
    <cellStyle name="20% - Accent2 6" xfId="275"/>
    <cellStyle name="20% - Accent2 7" xfId="319"/>
    <cellStyle name="20% - Accent2 8" xfId="363"/>
    <cellStyle name="20% - Accent2 9" xfId="407"/>
    <cellStyle name="20% - Accent3" xfId="3" builtinId="38" customBuiltin="1"/>
    <cellStyle name="20% - Accent3 10" xfId="450"/>
    <cellStyle name="20% - Accent3 11" xfId="494"/>
    <cellStyle name="20% - Accent3 12" xfId="538"/>
    <cellStyle name="20% - Accent3 13" xfId="582"/>
    <cellStyle name="20% - Accent3 2" xfId="98"/>
    <cellStyle name="20% - Accent3 3" xfId="142"/>
    <cellStyle name="20% - Accent3 4" xfId="186"/>
    <cellStyle name="20% - Accent3 5" xfId="230"/>
    <cellStyle name="20% - Accent3 6" xfId="274"/>
    <cellStyle name="20% - Accent3 7" xfId="318"/>
    <cellStyle name="20% - Accent3 8" xfId="362"/>
    <cellStyle name="20% - Accent3 9" xfId="406"/>
    <cellStyle name="20% - Accent4" xfId="4" builtinId="42" customBuiltin="1"/>
    <cellStyle name="20% - Accent4 10" xfId="449"/>
    <cellStyle name="20% - Accent4 11" xfId="493"/>
    <cellStyle name="20% - Accent4 12" xfId="537"/>
    <cellStyle name="20% - Accent4 13" xfId="581"/>
    <cellStyle name="20% - Accent4 2" xfId="99"/>
    <cellStyle name="20% - Accent4 3" xfId="141"/>
    <cellStyle name="20% - Accent4 4" xfId="185"/>
    <cellStyle name="20% - Accent4 5" xfId="229"/>
    <cellStyle name="20% - Accent4 6" xfId="273"/>
    <cellStyle name="20% - Accent4 7" xfId="317"/>
    <cellStyle name="20% - Accent4 8" xfId="361"/>
    <cellStyle name="20% - Accent4 9" xfId="405"/>
    <cellStyle name="20% - Accent5" xfId="5" builtinId="46" customBuiltin="1"/>
    <cellStyle name="20% - Accent5 10" xfId="448"/>
    <cellStyle name="20% - Accent5 11" xfId="492"/>
    <cellStyle name="20% - Accent5 12" xfId="536"/>
    <cellStyle name="20% - Accent5 13" xfId="580"/>
    <cellStyle name="20% - Accent5 2" xfId="100"/>
    <cellStyle name="20% - Accent5 3" xfId="140"/>
    <cellStyle name="20% - Accent5 4" xfId="184"/>
    <cellStyle name="20% - Accent5 5" xfId="228"/>
    <cellStyle name="20% - Accent5 6" xfId="272"/>
    <cellStyle name="20% - Accent5 7" xfId="316"/>
    <cellStyle name="20% - Accent5 8" xfId="360"/>
    <cellStyle name="20% - Accent5 9" xfId="404"/>
    <cellStyle name="20% - Accent6" xfId="6" builtinId="50" customBuiltin="1"/>
    <cellStyle name="20% - Accent6 10" xfId="447"/>
    <cellStyle name="20% - Accent6 11" xfId="491"/>
    <cellStyle name="20% - Accent6 12" xfId="535"/>
    <cellStyle name="20% - Accent6 13" xfId="579"/>
    <cellStyle name="20% - Accent6 2" xfId="101"/>
    <cellStyle name="20% - Accent6 3" xfId="139"/>
    <cellStyle name="20% - Accent6 4" xfId="183"/>
    <cellStyle name="20% - Accent6 5" xfId="227"/>
    <cellStyle name="20% - Accent6 6" xfId="271"/>
    <cellStyle name="20% - Accent6 7" xfId="315"/>
    <cellStyle name="20% - Accent6 8" xfId="359"/>
    <cellStyle name="20% - Accent6 9" xfId="403"/>
    <cellStyle name="40% - Accent1" xfId="7" builtinId="31" customBuiltin="1"/>
    <cellStyle name="40% - Accent1 10" xfId="411"/>
    <cellStyle name="40% - Accent1 11" xfId="455"/>
    <cellStyle name="40% - Accent1 12" xfId="499"/>
    <cellStyle name="40% - Accent1 13" xfId="543"/>
    <cellStyle name="40% - Accent1 2" xfId="102"/>
    <cellStyle name="40% - Accent1 3" xfId="95"/>
    <cellStyle name="40% - Accent1 4" xfId="147"/>
    <cellStyle name="40% - Accent1 5" xfId="191"/>
    <cellStyle name="40% - Accent1 6" xfId="235"/>
    <cellStyle name="40% - Accent1 7" xfId="279"/>
    <cellStyle name="40% - Accent1 8" xfId="323"/>
    <cellStyle name="40% - Accent1 9" xfId="367"/>
    <cellStyle name="40% - Accent2" xfId="8" builtinId="35" customBuiltin="1"/>
    <cellStyle name="40% - Accent2 10" xfId="442"/>
    <cellStyle name="40% - Accent2 11" xfId="486"/>
    <cellStyle name="40% - Accent2 12" xfId="530"/>
    <cellStyle name="40% - Accent2 13" xfId="574"/>
    <cellStyle name="40% - Accent2 2" xfId="103"/>
    <cellStyle name="40% - Accent2 3" xfId="134"/>
    <cellStyle name="40% - Accent2 4" xfId="178"/>
    <cellStyle name="40% - Accent2 5" xfId="222"/>
    <cellStyle name="40% - Accent2 6" xfId="266"/>
    <cellStyle name="40% - Accent2 7" xfId="310"/>
    <cellStyle name="40% - Accent2 8" xfId="354"/>
    <cellStyle name="40% - Accent2 9" xfId="398"/>
    <cellStyle name="40% - Accent3" xfId="9" builtinId="39" customBuiltin="1"/>
    <cellStyle name="40% - Accent3 10" xfId="441"/>
    <cellStyle name="40% - Accent3 11" xfId="485"/>
    <cellStyle name="40% - Accent3 12" xfId="529"/>
    <cellStyle name="40% - Accent3 13" xfId="573"/>
    <cellStyle name="40% - Accent3 2" xfId="104"/>
    <cellStyle name="40% - Accent3 3" xfId="133"/>
    <cellStyle name="40% - Accent3 4" xfId="177"/>
    <cellStyle name="40% - Accent3 5" xfId="221"/>
    <cellStyle name="40% - Accent3 6" xfId="265"/>
    <cellStyle name="40% - Accent3 7" xfId="309"/>
    <cellStyle name="40% - Accent3 8" xfId="353"/>
    <cellStyle name="40% - Accent3 9" xfId="397"/>
    <cellStyle name="40% - Accent4" xfId="10" builtinId="43" customBuiltin="1"/>
    <cellStyle name="40% - Accent4 10" xfId="440"/>
    <cellStyle name="40% - Accent4 11" xfId="484"/>
    <cellStyle name="40% - Accent4 12" xfId="528"/>
    <cellStyle name="40% - Accent4 13" xfId="572"/>
    <cellStyle name="40% - Accent4 2" xfId="105"/>
    <cellStyle name="40% - Accent4 3" xfId="132"/>
    <cellStyle name="40% - Accent4 4" xfId="176"/>
    <cellStyle name="40% - Accent4 5" xfId="220"/>
    <cellStyle name="40% - Accent4 6" xfId="264"/>
    <cellStyle name="40% - Accent4 7" xfId="308"/>
    <cellStyle name="40% - Accent4 8" xfId="352"/>
    <cellStyle name="40% - Accent4 9" xfId="396"/>
    <cellStyle name="40% - Accent5" xfId="11" builtinId="47" customBuiltin="1"/>
    <cellStyle name="40% - Accent5 10" xfId="433"/>
    <cellStyle name="40% - Accent5 11" xfId="477"/>
    <cellStyle name="40% - Accent5 12" xfId="521"/>
    <cellStyle name="40% - Accent5 13" xfId="565"/>
    <cellStyle name="40% - Accent5 2" xfId="106"/>
    <cellStyle name="40% - Accent5 3" xfId="125"/>
    <cellStyle name="40% - Accent5 4" xfId="169"/>
    <cellStyle name="40% - Accent5 5" xfId="213"/>
    <cellStyle name="40% - Accent5 6" xfId="257"/>
    <cellStyle name="40% - Accent5 7" xfId="301"/>
    <cellStyle name="40% - Accent5 8" xfId="345"/>
    <cellStyle name="40% - Accent5 9" xfId="389"/>
    <cellStyle name="40% - Accent6" xfId="12" builtinId="51" customBuiltin="1"/>
    <cellStyle name="40% - Accent6 10" xfId="431"/>
    <cellStyle name="40% - Accent6 11" xfId="475"/>
    <cellStyle name="40% - Accent6 12" xfId="519"/>
    <cellStyle name="40% - Accent6 13" xfId="563"/>
    <cellStyle name="40% - Accent6 2" xfId="107"/>
    <cellStyle name="40% - Accent6 3" xfId="123"/>
    <cellStyle name="40% - Accent6 4" xfId="167"/>
    <cellStyle name="40% - Accent6 5" xfId="211"/>
    <cellStyle name="40% - Accent6 6" xfId="255"/>
    <cellStyle name="40% - Accent6 7" xfId="299"/>
    <cellStyle name="40% - Accent6 8" xfId="343"/>
    <cellStyle name="40% - Accent6 9" xfId="387"/>
    <cellStyle name="60% - Accent1" xfId="13" builtinId="32" customBuiltin="1"/>
    <cellStyle name="60% - Accent1 10" xfId="460"/>
    <cellStyle name="60% - Accent1 11" xfId="504"/>
    <cellStyle name="60% - Accent1 12" xfId="548"/>
    <cellStyle name="60% - Accent1 13" xfId="591"/>
    <cellStyle name="60% - Accent1 2" xfId="108"/>
    <cellStyle name="60% - Accent1 3" xfId="152"/>
    <cellStyle name="60% - Accent1 4" xfId="196"/>
    <cellStyle name="60% - Accent1 5" xfId="240"/>
    <cellStyle name="60% - Accent1 6" xfId="284"/>
    <cellStyle name="60% - Accent1 7" xfId="328"/>
    <cellStyle name="60% - Accent1 8" xfId="372"/>
    <cellStyle name="60% - Accent1 9" xfId="416"/>
    <cellStyle name="60% - Accent2" xfId="14" builtinId="36" customBuiltin="1"/>
    <cellStyle name="60% - Accent2 10" xfId="461"/>
    <cellStyle name="60% - Accent2 11" xfId="505"/>
    <cellStyle name="60% - Accent2 12" xfId="549"/>
    <cellStyle name="60% - Accent2 13" xfId="592"/>
    <cellStyle name="60% - Accent2 2" xfId="109"/>
    <cellStyle name="60% - Accent2 3" xfId="153"/>
    <cellStyle name="60% - Accent2 4" xfId="197"/>
    <cellStyle name="60% - Accent2 5" xfId="241"/>
    <cellStyle name="60% - Accent2 6" xfId="285"/>
    <cellStyle name="60% - Accent2 7" xfId="329"/>
    <cellStyle name="60% - Accent2 8" xfId="373"/>
    <cellStyle name="60% - Accent2 9" xfId="417"/>
    <cellStyle name="60% - Accent3" xfId="15" builtinId="40" customBuiltin="1"/>
    <cellStyle name="60% - Accent3 10" xfId="462"/>
    <cellStyle name="60% - Accent3 11" xfId="506"/>
    <cellStyle name="60% - Accent3 12" xfId="550"/>
    <cellStyle name="60% - Accent3 13" xfId="593"/>
    <cellStyle name="60% - Accent3 2" xfId="110"/>
    <cellStyle name="60% - Accent3 3" xfId="154"/>
    <cellStyle name="60% - Accent3 4" xfId="198"/>
    <cellStyle name="60% - Accent3 5" xfId="242"/>
    <cellStyle name="60% - Accent3 6" xfId="286"/>
    <cellStyle name="60% - Accent3 7" xfId="330"/>
    <cellStyle name="60% - Accent3 8" xfId="374"/>
    <cellStyle name="60% - Accent3 9" xfId="418"/>
    <cellStyle name="60% - Accent4" xfId="16" builtinId="44" customBuiltin="1"/>
    <cellStyle name="60% - Accent4 10" xfId="463"/>
    <cellStyle name="60% - Accent4 11" xfId="507"/>
    <cellStyle name="60% - Accent4 12" xfId="551"/>
    <cellStyle name="60% - Accent4 13" xfId="594"/>
    <cellStyle name="60% - Accent4 2" xfId="111"/>
    <cellStyle name="60% - Accent4 3" xfId="155"/>
    <cellStyle name="60% - Accent4 4" xfId="199"/>
    <cellStyle name="60% - Accent4 5" xfId="243"/>
    <cellStyle name="60% - Accent4 6" xfId="287"/>
    <cellStyle name="60% - Accent4 7" xfId="331"/>
    <cellStyle name="60% - Accent4 8" xfId="375"/>
    <cellStyle name="60% - Accent4 9" xfId="419"/>
    <cellStyle name="60% - Accent5" xfId="17" builtinId="48" customBuiltin="1"/>
    <cellStyle name="60% - Accent5 10" xfId="464"/>
    <cellStyle name="60% - Accent5 11" xfId="508"/>
    <cellStyle name="60% - Accent5 12" xfId="552"/>
    <cellStyle name="60% - Accent5 13" xfId="595"/>
    <cellStyle name="60% - Accent5 2" xfId="112"/>
    <cellStyle name="60% - Accent5 3" xfId="156"/>
    <cellStyle name="60% - Accent5 4" xfId="200"/>
    <cellStyle name="60% - Accent5 5" xfId="244"/>
    <cellStyle name="60% - Accent5 6" xfId="288"/>
    <cellStyle name="60% - Accent5 7" xfId="332"/>
    <cellStyle name="60% - Accent5 8" xfId="376"/>
    <cellStyle name="60% - Accent5 9" xfId="420"/>
    <cellStyle name="60% - Accent6" xfId="18" builtinId="52" customBuiltin="1"/>
    <cellStyle name="60% - Accent6 10" xfId="465"/>
    <cellStyle name="60% - Accent6 11" xfId="509"/>
    <cellStyle name="60% - Accent6 12" xfId="553"/>
    <cellStyle name="60% - Accent6 13" xfId="596"/>
    <cellStyle name="60% - Accent6 2" xfId="113"/>
    <cellStyle name="60% - Accent6 3" xfId="157"/>
    <cellStyle name="60% - Accent6 4" xfId="201"/>
    <cellStyle name="60% - Accent6 5" xfId="245"/>
    <cellStyle name="60% - Accent6 6" xfId="289"/>
    <cellStyle name="60% - Accent6 7" xfId="333"/>
    <cellStyle name="60% - Accent6 8" xfId="377"/>
    <cellStyle name="60% - Accent6 9" xfId="421"/>
    <cellStyle name="Accent1" xfId="19" builtinId="29" customBuiltin="1"/>
    <cellStyle name="Accent1 10" xfId="466"/>
    <cellStyle name="Accent1 11" xfId="510"/>
    <cellStyle name="Accent1 12" xfId="554"/>
    <cellStyle name="Accent1 13" xfId="597"/>
    <cellStyle name="Accent1 14" xfId="742"/>
    <cellStyle name="Accent1 2" xfId="114"/>
    <cellStyle name="Accent1 3" xfId="158"/>
    <cellStyle name="Accent1 4" xfId="202"/>
    <cellStyle name="Accent1 5" xfId="246"/>
    <cellStyle name="Accent1 6" xfId="290"/>
    <cellStyle name="Accent1 7" xfId="334"/>
    <cellStyle name="Accent1 8" xfId="378"/>
    <cellStyle name="Accent1 9" xfId="422"/>
    <cellStyle name="Accent2" xfId="20" builtinId="33" customBuiltin="1"/>
    <cellStyle name="Accent2 10" xfId="467"/>
    <cellStyle name="Accent2 11" xfId="511"/>
    <cellStyle name="Accent2 12" xfId="555"/>
    <cellStyle name="Accent2 13" xfId="598"/>
    <cellStyle name="Accent2 2" xfId="115"/>
    <cellStyle name="Accent2 3" xfId="159"/>
    <cellStyle name="Accent2 4" xfId="203"/>
    <cellStyle name="Accent2 5" xfId="247"/>
    <cellStyle name="Accent2 6" xfId="291"/>
    <cellStyle name="Accent2 7" xfId="335"/>
    <cellStyle name="Accent2 8" xfId="379"/>
    <cellStyle name="Accent2 9" xfId="423"/>
    <cellStyle name="Accent3" xfId="21" builtinId="37" customBuiltin="1"/>
    <cellStyle name="Accent3 10" xfId="468"/>
    <cellStyle name="Accent3 11" xfId="512"/>
    <cellStyle name="Accent3 12" xfId="556"/>
    <cellStyle name="Accent3 13" xfId="599"/>
    <cellStyle name="Accent3 2" xfId="116"/>
    <cellStyle name="Accent3 3" xfId="160"/>
    <cellStyle name="Accent3 4" xfId="204"/>
    <cellStyle name="Accent3 5" xfId="248"/>
    <cellStyle name="Accent3 6" xfId="292"/>
    <cellStyle name="Accent3 7" xfId="336"/>
    <cellStyle name="Accent3 8" xfId="380"/>
    <cellStyle name="Accent3 9" xfId="424"/>
    <cellStyle name="Accent4" xfId="22" builtinId="41" customBuiltin="1"/>
    <cellStyle name="Accent4 10" xfId="469"/>
    <cellStyle name="Accent4 11" xfId="513"/>
    <cellStyle name="Accent4 12" xfId="557"/>
    <cellStyle name="Accent4 13" xfId="600"/>
    <cellStyle name="Accent4 2" xfId="117"/>
    <cellStyle name="Accent4 3" xfId="161"/>
    <cellStyle name="Accent4 4" xfId="205"/>
    <cellStyle name="Accent4 5" xfId="249"/>
    <cellStyle name="Accent4 6" xfId="293"/>
    <cellStyle name="Accent4 7" xfId="337"/>
    <cellStyle name="Accent4 8" xfId="381"/>
    <cellStyle name="Accent4 9" xfId="425"/>
    <cellStyle name="Accent5" xfId="23" builtinId="45" customBuiltin="1"/>
    <cellStyle name="Accent5 10" xfId="470"/>
    <cellStyle name="Accent5 11" xfId="514"/>
    <cellStyle name="Accent5 12" xfId="558"/>
    <cellStyle name="Accent5 13" xfId="601"/>
    <cellStyle name="Accent5 2" xfId="118"/>
    <cellStyle name="Accent5 3" xfId="162"/>
    <cellStyle name="Accent5 4" xfId="206"/>
    <cellStyle name="Accent5 5" xfId="250"/>
    <cellStyle name="Accent5 6" xfId="294"/>
    <cellStyle name="Accent5 7" xfId="338"/>
    <cellStyle name="Accent5 8" xfId="382"/>
    <cellStyle name="Accent5 9" xfId="426"/>
    <cellStyle name="Accent6" xfId="24" builtinId="49" customBuiltin="1"/>
    <cellStyle name="Accent6 10" xfId="471"/>
    <cellStyle name="Accent6 11" xfId="515"/>
    <cellStyle name="Accent6 12" xfId="559"/>
    <cellStyle name="Accent6 13" xfId="602"/>
    <cellStyle name="Accent6 2" xfId="119"/>
    <cellStyle name="Accent6 3" xfId="163"/>
    <cellStyle name="Accent6 4" xfId="207"/>
    <cellStyle name="Accent6 5" xfId="251"/>
    <cellStyle name="Accent6 6" xfId="295"/>
    <cellStyle name="Accent6 7" xfId="339"/>
    <cellStyle name="Accent6 8" xfId="383"/>
    <cellStyle name="Accent6 9" xfId="427"/>
    <cellStyle name="Bad" xfId="25" builtinId="27" customBuiltin="1"/>
    <cellStyle name="Bad 10" xfId="472"/>
    <cellStyle name="Bad 11" xfId="516"/>
    <cellStyle name="Bad 12" xfId="560"/>
    <cellStyle name="Bad 13" xfId="603"/>
    <cellStyle name="Bad 2" xfId="120"/>
    <cellStyle name="Bad 3" xfId="164"/>
    <cellStyle name="Bad 4" xfId="208"/>
    <cellStyle name="Bad 5" xfId="252"/>
    <cellStyle name="Bad 6" xfId="296"/>
    <cellStyle name="Bad 7" xfId="340"/>
    <cellStyle name="Bad 8" xfId="384"/>
    <cellStyle name="Bad 9" xfId="428"/>
    <cellStyle name="Blue Font" xfId="625"/>
    <cellStyle name="Blue, Bold" xfId="626"/>
    <cellStyle name="Bottom Border, Unlocked" xfId="627"/>
    <cellStyle name="Calculation" xfId="26" builtinId="22" customBuiltin="1"/>
    <cellStyle name="Calculation 10" xfId="473"/>
    <cellStyle name="Calculation 11" xfId="517"/>
    <cellStyle name="Calculation 12" xfId="561"/>
    <cellStyle name="Calculation 13" xfId="604"/>
    <cellStyle name="Calculation 14" xfId="743"/>
    <cellStyle name="Calculation 2" xfId="121"/>
    <cellStyle name="Calculation 3" xfId="165"/>
    <cellStyle name="Calculation 4" xfId="209"/>
    <cellStyle name="Calculation 5" xfId="253"/>
    <cellStyle name="Calculation 6" xfId="297"/>
    <cellStyle name="Calculation 7" xfId="341"/>
    <cellStyle name="Calculation 8" xfId="385"/>
    <cellStyle name="Calculation 9" xfId="429"/>
    <cellStyle name="Check Cell" xfId="27" builtinId="23" customBuiltin="1"/>
    <cellStyle name="Check Cell 10" xfId="474"/>
    <cellStyle name="Check Cell 11" xfId="518"/>
    <cellStyle name="Check Cell 12" xfId="562"/>
    <cellStyle name="Check Cell 13" xfId="605"/>
    <cellStyle name="Check Cell 2" xfId="122"/>
    <cellStyle name="Check Cell 3" xfId="166"/>
    <cellStyle name="Check Cell 4" xfId="210"/>
    <cellStyle name="Check Cell 5" xfId="254"/>
    <cellStyle name="Check Cell 6" xfId="298"/>
    <cellStyle name="Check Cell 7" xfId="342"/>
    <cellStyle name="Check Cell 8" xfId="386"/>
    <cellStyle name="Check Cell 9" xfId="430"/>
    <cellStyle name="Comma" xfId="28" builtinId="3"/>
    <cellStyle name="Comma 2" xfId="29"/>
    <cellStyle name="Comma 2 10" xfId="168"/>
    <cellStyle name="Comma 2 11" xfId="212"/>
    <cellStyle name="Comma 2 12" xfId="256"/>
    <cellStyle name="Comma 2 13" xfId="300"/>
    <cellStyle name="Comma 2 14" xfId="344"/>
    <cellStyle name="Comma 2 15" xfId="388"/>
    <cellStyle name="Comma 2 16" xfId="432"/>
    <cellStyle name="Comma 2 17" xfId="476"/>
    <cellStyle name="Comma 2 18" xfId="520"/>
    <cellStyle name="Comma 2 19" xfId="564"/>
    <cellStyle name="Comma 2 2" xfId="55"/>
    <cellStyle name="Comma 2 2 2" xfId="663"/>
    <cellStyle name="Comma 2 20" xfId="606"/>
    <cellStyle name="Comma 2 3" xfId="63"/>
    <cellStyle name="Comma 2 3 2" xfId="664"/>
    <cellStyle name="Comma 2 4" xfId="61"/>
    <cellStyle name="Comma 2 4 2" xfId="665"/>
    <cellStyle name="Comma 2 5" xfId="62"/>
    <cellStyle name="Comma 2 5 2" xfId="666"/>
    <cellStyle name="Comma 2 6" xfId="73"/>
    <cellStyle name="Comma 2 6 2" xfId="667"/>
    <cellStyle name="Comma 2 7" xfId="83"/>
    <cellStyle name="Comma 2 7 2" xfId="668"/>
    <cellStyle name="Comma 2 8" xfId="89"/>
    <cellStyle name="Comma 2 8 2" xfId="669"/>
    <cellStyle name="Comma 2 9" xfId="124"/>
    <cellStyle name="Comma 3" xfId="30"/>
    <cellStyle name="Comma 3 2" xfId="662"/>
    <cellStyle name="Comma 4" xfId="628"/>
    <cellStyle name="Comma 4 2" xfId="670"/>
    <cellStyle name="Comma 5" xfId="629"/>
    <cellStyle name="Currency" xfId="660" builtinId="4"/>
    <cellStyle name="Currency 2" xfId="31"/>
    <cellStyle name="Currency 2 2" xfId="630"/>
    <cellStyle name="Currency 2 2 2" xfId="671"/>
    <cellStyle name="Currency 2 3" xfId="672"/>
    <cellStyle name="Currency 3" xfId="631"/>
    <cellStyle name="Currency 3 2" xfId="673"/>
    <cellStyle name="Currency 4" xfId="632"/>
    <cellStyle name="Currency 4 2" xfId="674"/>
    <cellStyle name="Currency 5" xfId="659"/>
    <cellStyle name="Currency 6" xfId="740"/>
    <cellStyle name="DollarHideZero" xfId="633"/>
    <cellStyle name="DollarHideZero 2" xfId="634"/>
    <cellStyle name="DollarHideZero 2 2" xfId="675"/>
    <cellStyle name="DollarHideZero 3" xfId="676"/>
    <cellStyle name="Explanatory Text" xfId="32" builtinId="53" customBuiltin="1"/>
    <cellStyle name="Explanatory Text 10" xfId="478"/>
    <cellStyle name="Explanatory Text 11" xfId="522"/>
    <cellStyle name="Explanatory Text 12" xfId="566"/>
    <cellStyle name="Explanatory Text 13" xfId="607"/>
    <cellStyle name="Explanatory Text 2" xfId="126"/>
    <cellStyle name="Explanatory Text 3" xfId="170"/>
    <cellStyle name="Explanatory Text 4" xfId="214"/>
    <cellStyle name="Explanatory Text 5" xfId="258"/>
    <cellStyle name="Explanatory Text 6" xfId="302"/>
    <cellStyle name="Explanatory Text 7" xfId="346"/>
    <cellStyle name="Explanatory Text 8" xfId="390"/>
    <cellStyle name="Explanatory Text 9" xfId="434"/>
    <cellStyle name="Good" xfId="33" builtinId="26" customBuiltin="1"/>
    <cellStyle name="Good 10" xfId="479"/>
    <cellStyle name="Good 10 2" xfId="677"/>
    <cellStyle name="Good 11" xfId="523"/>
    <cellStyle name="Good 11 2" xfId="678"/>
    <cellStyle name="Good 12" xfId="567"/>
    <cellStyle name="Good 12 2" xfId="679"/>
    <cellStyle name="Good 13" xfId="608"/>
    <cellStyle name="Good 13 2" xfId="680"/>
    <cellStyle name="Good 2" xfId="127"/>
    <cellStyle name="Good 2 2" xfId="681"/>
    <cellStyle name="Good 3" xfId="171"/>
    <cellStyle name="Good 3 2" xfId="682"/>
    <cellStyle name="Good 4" xfId="215"/>
    <cellStyle name="Good 4 2" xfId="683"/>
    <cellStyle name="Good 5" xfId="259"/>
    <cellStyle name="Good 5 2" xfId="684"/>
    <cellStyle name="Good 6" xfId="303"/>
    <cellStyle name="Good 6 2" xfId="685"/>
    <cellStyle name="Good 7" xfId="347"/>
    <cellStyle name="Good 7 2" xfId="686"/>
    <cellStyle name="Good 8" xfId="391"/>
    <cellStyle name="Good 8 2" xfId="687"/>
    <cellStyle name="Good 9" xfId="435"/>
    <cellStyle name="Good 9 2" xfId="688"/>
    <cellStyle name="Heading 1" xfId="34" builtinId="16" customBuiltin="1"/>
    <cellStyle name="Heading 1 10" xfId="480"/>
    <cellStyle name="Heading 1 11" xfId="524"/>
    <cellStyle name="Heading 1 12" xfId="568"/>
    <cellStyle name="Heading 1 13" xfId="609"/>
    <cellStyle name="Heading 1 2" xfId="128"/>
    <cellStyle name="Heading 1 3" xfId="172"/>
    <cellStyle name="Heading 1 4" xfId="216"/>
    <cellStyle name="Heading 1 5" xfId="260"/>
    <cellStyle name="Heading 1 6" xfId="304"/>
    <cellStyle name="Heading 1 7" xfId="348"/>
    <cellStyle name="Heading 1 8" xfId="392"/>
    <cellStyle name="Heading 1 9" xfId="436"/>
    <cellStyle name="Heading 2" xfId="35" builtinId="17" customBuiltin="1"/>
    <cellStyle name="Heading 2 10" xfId="481"/>
    <cellStyle name="Heading 2 11" xfId="525"/>
    <cellStyle name="Heading 2 12" xfId="569"/>
    <cellStyle name="Heading 2 13" xfId="610"/>
    <cellStyle name="Heading 2 2" xfId="129"/>
    <cellStyle name="Heading 2 3" xfId="173"/>
    <cellStyle name="Heading 2 4" xfId="217"/>
    <cellStyle name="Heading 2 5" xfId="261"/>
    <cellStyle name="Heading 2 6" xfId="305"/>
    <cellStyle name="Heading 2 7" xfId="349"/>
    <cellStyle name="Heading 2 8" xfId="393"/>
    <cellStyle name="Heading 2 9" xfId="437"/>
    <cellStyle name="Heading 3" xfId="36" builtinId="18" customBuiltin="1"/>
    <cellStyle name="Heading 3 10" xfId="482"/>
    <cellStyle name="Heading 3 11" xfId="526"/>
    <cellStyle name="Heading 3 12" xfId="570"/>
    <cellStyle name="Heading 3 13" xfId="611"/>
    <cellStyle name="Heading 3 2" xfId="130"/>
    <cellStyle name="Heading 3 3" xfId="174"/>
    <cellStyle name="Heading 3 4" xfId="218"/>
    <cellStyle name="Heading 3 5" xfId="262"/>
    <cellStyle name="Heading 3 6" xfId="306"/>
    <cellStyle name="Heading 3 7" xfId="350"/>
    <cellStyle name="Heading 3 8" xfId="394"/>
    <cellStyle name="Heading 3 9" xfId="438"/>
    <cellStyle name="Heading 4" xfId="37" builtinId="19" customBuiltin="1"/>
    <cellStyle name="Heading 4 10" xfId="483"/>
    <cellStyle name="Heading 4 11" xfId="527"/>
    <cellStyle name="Heading 4 12" xfId="571"/>
    <cellStyle name="Heading 4 13" xfId="612"/>
    <cellStyle name="Heading 4 2" xfId="131"/>
    <cellStyle name="Heading 4 3" xfId="175"/>
    <cellStyle name="Heading 4 4" xfId="219"/>
    <cellStyle name="Heading 4 5" xfId="263"/>
    <cellStyle name="Heading 4 6" xfId="307"/>
    <cellStyle name="Heading 4 7" xfId="351"/>
    <cellStyle name="Heading 4 8" xfId="395"/>
    <cellStyle name="Heading 4 9" xfId="439"/>
    <cellStyle name="Hyperlink" xfId="38" builtinId="8"/>
    <cellStyle name="Hyperlink 2" xfId="635"/>
    <cellStyle name="Hyperlink 3" xfId="655"/>
    <cellStyle name="Hyperlink_Supporting FoxLeg" xfId="656"/>
    <cellStyle name="Input" xfId="39" builtinId="20" customBuiltin="1"/>
    <cellStyle name="Input 10" xfId="487"/>
    <cellStyle name="Input 11" xfId="531"/>
    <cellStyle name="Input 12" xfId="575"/>
    <cellStyle name="Input 13" xfId="613"/>
    <cellStyle name="Input 14" xfId="744"/>
    <cellStyle name="Input 2" xfId="135"/>
    <cellStyle name="Input 3" xfId="179"/>
    <cellStyle name="Input 4" xfId="223"/>
    <cellStyle name="Input 5" xfId="267"/>
    <cellStyle name="Input 6" xfId="311"/>
    <cellStyle name="Input 7" xfId="355"/>
    <cellStyle name="Input 8" xfId="399"/>
    <cellStyle name="Input 9" xfId="443"/>
    <cellStyle name="Installed" xfId="636"/>
    <cellStyle name="Linked Cell" xfId="40" builtinId="24" customBuiltin="1"/>
    <cellStyle name="Linked Cell 10" xfId="488"/>
    <cellStyle name="Linked Cell 11" xfId="532"/>
    <cellStyle name="Linked Cell 12" xfId="576"/>
    <cellStyle name="Linked Cell 13" xfId="614"/>
    <cellStyle name="Linked Cell 2" xfId="136"/>
    <cellStyle name="Linked Cell 3" xfId="180"/>
    <cellStyle name="Linked Cell 4" xfId="224"/>
    <cellStyle name="Linked Cell 5" xfId="268"/>
    <cellStyle name="Linked Cell 6" xfId="312"/>
    <cellStyle name="Linked Cell 7" xfId="356"/>
    <cellStyle name="Linked Cell 8" xfId="400"/>
    <cellStyle name="Linked Cell 9" xfId="444"/>
    <cellStyle name="Neutral" xfId="41" builtinId="28" customBuiltin="1"/>
    <cellStyle name="Neutral 10" xfId="489"/>
    <cellStyle name="Neutral 11" xfId="533"/>
    <cellStyle name="Neutral 12" xfId="577"/>
    <cellStyle name="Neutral 13" xfId="615"/>
    <cellStyle name="Neutral 2" xfId="137"/>
    <cellStyle name="Neutral 3" xfId="181"/>
    <cellStyle name="Neutral 4" xfId="225"/>
    <cellStyle name="Neutral 5" xfId="269"/>
    <cellStyle name="Neutral 6" xfId="313"/>
    <cellStyle name="Neutral 7" xfId="357"/>
    <cellStyle name="Neutral 8" xfId="401"/>
    <cellStyle name="Neutral 9" xfId="445"/>
    <cellStyle name="Normal" xfId="0" builtinId="0"/>
    <cellStyle name="Normal 10" xfId="88"/>
    <cellStyle name="Normal 10 2" xfId="689"/>
    <cellStyle name="Normal 11" xfId="739"/>
    <cellStyle name="Normal 18" xfId="623"/>
    <cellStyle name="Normal 18 2" xfId="637"/>
    <cellStyle name="Normal 18 2 2" xfId="690"/>
    <cellStyle name="Normal 18 3" xfId="691"/>
    <cellStyle name="Normal 2" xfId="42"/>
    <cellStyle name="Normal 2 10" xfId="182"/>
    <cellStyle name="Normal 2 11" xfId="226"/>
    <cellStyle name="Normal 2 12" xfId="270"/>
    <cellStyle name="Normal 2 13" xfId="314"/>
    <cellStyle name="Normal 2 14" xfId="358"/>
    <cellStyle name="Normal 2 15" xfId="402"/>
    <cellStyle name="Normal 2 16" xfId="446"/>
    <cellStyle name="Normal 2 17" xfId="490"/>
    <cellStyle name="Normal 2 18" xfId="534"/>
    <cellStyle name="Normal 2 19" xfId="578"/>
    <cellStyle name="Normal 2 2" xfId="56"/>
    <cellStyle name="Normal 2 2 2" xfId="638"/>
    <cellStyle name="Normal 2 2 2 2" xfId="692"/>
    <cellStyle name="Normal 2 2 3" xfId="693"/>
    <cellStyle name="Normal 2 20" xfId="616"/>
    <cellStyle name="Normal 2 3" xfId="67"/>
    <cellStyle name="Normal 2 3 2" xfId="694"/>
    <cellStyle name="Normal 2 4" xfId="71"/>
    <cellStyle name="Normal 2 4 2" xfId="695"/>
    <cellStyle name="Normal 2 5" xfId="65"/>
    <cellStyle name="Normal 2 5 2" xfId="696"/>
    <cellStyle name="Normal 2 6" xfId="79"/>
    <cellStyle name="Normal 2 6 2" xfId="697"/>
    <cellStyle name="Normal 2 7" xfId="84"/>
    <cellStyle name="Normal 2 7 2" xfId="698"/>
    <cellStyle name="Normal 2 8" xfId="90"/>
    <cellStyle name="Normal 2 8 2" xfId="699"/>
    <cellStyle name="Normal 2 9" xfId="138"/>
    <cellStyle name="Normal 2_NC - Project Name - ERP Tables_rev0_SWA" xfId="43"/>
    <cellStyle name="Normal 2_NC - Project Name - ERP Tables_rev0_SWA 2" xfId="661"/>
    <cellStyle name="Normal 3" xfId="94"/>
    <cellStyle name="Normal 3 10" xfId="700"/>
    <cellStyle name="Normal 3 11" xfId="745"/>
    <cellStyle name="Normal 3 2" xfId="57"/>
    <cellStyle name="Normal 3 2 2" xfId="701"/>
    <cellStyle name="Normal 3 3" xfId="68"/>
    <cellStyle name="Normal 3 3 2" xfId="702"/>
    <cellStyle name="Normal 3 4" xfId="72"/>
    <cellStyle name="Normal 3 4 2" xfId="703"/>
    <cellStyle name="Normal 3 5" xfId="66"/>
    <cellStyle name="Normal 3 5 2" xfId="704"/>
    <cellStyle name="Normal 3 6" xfId="80"/>
    <cellStyle name="Normal 3 6 2" xfId="705"/>
    <cellStyle name="Normal 3 7" xfId="85"/>
    <cellStyle name="Normal 3 7 2" xfId="706"/>
    <cellStyle name="Normal 3 8" xfId="91"/>
    <cellStyle name="Normal 3 8 2" xfId="707"/>
    <cellStyle name="Normal 3 9" xfId="658"/>
    <cellStyle name="Normal 4" xfId="53"/>
    <cellStyle name="Normal 4 2" xfId="639"/>
    <cellStyle name="Normal 4 2 2" xfId="708"/>
    <cellStyle name="Normal 4 3" xfId="709"/>
    <cellStyle name="Normal 5" xfId="60"/>
    <cellStyle name="Normal 5 2" xfId="640"/>
    <cellStyle name="Normal 5 2 2" xfId="710"/>
    <cellStyle name="Normal 5 3" xfId="711"/>
    <cellStyle name="Normal 6" xfId="641"/>
    <cellStyle name="Normal 6 2" xfId="642"/>
    <cellStyle name="Normal 6 2 2" xfId="712"/>
    <cellStyle name="Normal 6 3" xfId="713"/>
    <cellStyle name="Normal 7" xfId="643"/>
    <cellStyle name="Normal 7 2" xfId="714"/>
    <cellStyle name="Normal 8" xfId="64"/>
    <cellStyle name="Normal 8 2" xfId="715"/>
    <cellStyle name="Normal 9" xfId="75"/>
    <cellStyle name="Normal 9 2" xfId="716"/>
    <cellStyle name="Normal_Sheet1" xfId="54"/>
    <cellStyle name="Normal_Supporting FoxLeg" xfId="657"/>
    <cellStyle name="Normal_Supporting Info" xfId="44"/>
    <cellStyle name="Normal_WaterCalc 11 07 08" xfId="45"/>
    <cellStyle name="Note" xfId="46" builtinId="10" customBuiltin="1"/>
    <cellStyle name="Note 10" xfId="189"/>
    <cellStyle name="Note 11" xfId="233"/>
    <cellStyle name="Note 12" xfId="277"/>
    <cellStyle name="Note 13" xfId="321"/>
    <cellStyle name="Note 14" xfId="365"/>
    <cellStyle name="Note 15" xfId="409"/>
    <cellStyle name="Note 16" xfId="453"/>
    <cellStyle name="Note 17" xfId="497"/>
    <cellStyle name="Note 18" xfId="541"/>
    <cellStyle name="Note 19" xfId="585"/>
    <cellStyle name="Note 2" xfId="58"/>
    <cellStyle name="Note 2 2" xfId="717"/>
    <cellStyle name="Note 20" xfId="617"/>
    <cellStyle name="Note 3" xfId="69"/>
    <cellStyle name="Note 3 2" xfId="718"/>
    <cellStyle name="Note 4" xfId="74"/>
    <cellStyle name="Note 4 2" xfId="719"/>
    <cellStyle name="Note 5" xfId="77"/>
    <cellStyle name="Note 5 2" xfId="720"/>
    <cellStyle name="Note 6" xfId="81"/>
    <cellStyle name="Note 6 2" xfId="721"/>
    <cellStyle name="Note 7" xfId="86"/>
    <cellStyle name="Note 7 2" xfId="722"/>
    <cellStyle name="Note 8" xfId="92"/>
    <cellStyle name="Note 8 2" xfId="723"/>
    <cellStyle name="Note 9" xfId="145"/>
    <cellStyle name="NumberHideZero" xfId="644"/>
    <cellStyle name="NumberHideZero 2" xfId="645"/>
    <cellStyle name="NumberHideZero 2 2" xfId="724"/>
    <cellStyle name="NumberHideZero 2 3" xfId="725"/>
    <cellStyle name="NumberHideZero 3" xfId="726"/>
    <cellStyle name="NumberHideZero 4" xfId="727"/>
    <cellStyle name="Ordered" xfId="646"/>
    <cellStyle name="Output" xfId="47" builtinId="21" customBuiltin="1"/>
    <cellStyle name="Output 10" xfId="498"/>
    <cellStyle name="Output 11" xfId="542"/>
    <cellStyle name="Output 12" xfId="586"/>
    <cellStyle name="Output 13" xfId="618"/>
    <cellStyle name="Output 14" xfId="746"/>
    <cellStyle name="Output 2" xfId="146"/>
    <cellStyle name="Output 3" xfId="190"/>
    <cellStyle name="Output 4" xfId="234"/>
    <cellStyle name="Output 5" xfId="278"/>
    <cellStyle name="Output 6" xfId="322"/>
    <cellStyle name="Output 7" xfId="366"/>
    <cellStyle name="Output 8" xfId="410"/>
    <cellStyle name="Output 9" xfId="454"/>
    <cellStyle name="Percent" xfId="48" builtinId="5"/>
    <cellStyle name="Percent 2" xfId="49"/>
    <cellStyle name="Percent 2 10" xfId="192"/>
    <cellStyle name="Percent 2 11" xfId="236"/>
    <cellStyle name="Percent 2 12" xfId="280"/>
    <cellStyle name="Percent 2 13" xfId="324"/>
    <cellStyle name="Percent 2 14" xfId="368"/>
    <cellStyle name="Percent 2 15" xfId="412"/>
    <cellStyle name="Percent 2 16" xfId="456"/>
    <cellStyle name="Percent 2 17" xfId="500"/>
    <cellStyle name="Percent 2 18" xfId="544"/>
    <cellStyle name="Percent 2 19" xfId="587"/>
    <cellStyle name="Percent 2 2" xfId="59"/>
    <cellStyle name="Percent 2 2 2" xfId="728"/>
    <cellStyle name="Percent 2 20" xfId="619"/>
    <cellStyle name="Percent 2 3" xfId="70"/>
    <cellStyle name="Percent 2 3 2" xfId="729"/>
    <cellStyle name="Percent 2 4" xfId="76"/>
    <cellStyle name="Percent 2 4 2" xfId="730"/>
    <cellStyle name="Percent 2 5" xfId="78"/>
    <cellStyle name="Percent 2 5 2" xfId="731"/>
    <cellStyle name="Percent 2 6" xfId="82"/>
    <cellStyle name="Percent 2 6 2" xfId="732"/>
    <cellStyle name="Percent 2 7" xfId="87"/>
    <cellStyle name="Percent 2 7 2" xfId="733"/>
    <cellStyle name="Percent 2 8" xfId="93"/>
    <cellStyle name="Percent 2 8 2" xfId="734"/>
    <cellStyle name="Percent 2 9" xfId="148"/>
    <cellStyle name="Percent 3" xfId="647"/>
    <cellStyle name="Percent 3 2" xfId="735"/>
    <cellStyle name="Percent 4" xfId="648"/>
    <cellStyle name="Percent 4 2" xfId="736"/>
    <cellStyle name="Percent 5" xfId="649"/>
    <cellStyle name="Percent 6" xfId="741"/>
    <cellStyle name="Received" xfId="650"/>
    <cellStyle name="Red Font" xfId="651"/>
    <cellStyle name="Subtotal" xfId="652"/>
    <cellStyle name="Subtotal 2" xfId="737"/>
    <cellStyle name="Title" xfId="50" builtinId="15" customBuiltin="1"/>
    <cellStyle name="Title 10" xfId="501"/>
    <cellStyle name="Title 11" xfId="545"/>
    <cellStyle name="Title 12" xfId="588"/>
    <cellStyle name="Title 13" xfId="620"/>
    <cellStyle name="Title 2" xfId="149"/>
    <cellStyle name="Title 3" xfId="193"/>
    <cellStyle name="Title 4" xfId="237"/>
    <cellStyle name="Title 5" xfId="281"/>
    <cellStyle name="Title 6" xfId="325"/>
    <cellStyle name="Title 7" xfId="369"/>
    <cellStyle name="Title 8" xfId="413"/>
    <cellStyle name="Title 9" xfId="457"/>
    <cellStyle name="Top Border. Aqua" xfId="653"/>
    <cellStyle name="Top Border. Aqua 2" xfId="738"/>
    <cellStyle name="Total" xfId="51" builtinId="25" customBuiltin="1"/>
    <cellStyle name="Total 10" xfId="502"/>
    <cellStyle name="Total 11" xfId="546"/>
    <cellStyle name="Total 12" xfId="589"/>
    <cellStyle name="Total 13" xfId="621"/>
    <cellStyle name="Total 14" xfId="747"/>
    <cellStyle name="Total 2" xfId="150"/>
    <cellStyle name="Total 3" xfId="194"/>
    <cellStyle name="Total 4" xfId="238"/>
    <cellStyle name="Total 5" xfId="282"/>
    <cellStyle name="Total 6" xfId="326"/>
    <cellStyle name="Total 7" xfId="370"/>
    <cellStyle name="Total 8" xfId="414"/>
    <cellStyle name="Total 9" xfId="458"/>
    <cellStyle name="Unlocked" xfId="654"/>
    <cellStyle name="Warning Text" xfId="52" builtinId="11" customBuiltin="1"/>
    <cellStyle name="Warning Text 10" xfId="503"/>
    <cellStyle name="Warning Text 11" xfId="547"/>
    <cellStyle name="Warning Text 12" xfId="590"/>
    <cellStyle name="Warning Text 13" xfId="622"/>
    <cellStyle name="Warning Text 2" xfId="151"/>
    <cellStyle name="Warning Text 3" xfId="195"/>
    <cellStyle name="Warning Text 4" xfId="239"/>
    <cellStyle name="Warning Text 5" xfId="283"/>
    <cellStyle name="Warning Text 6" xfId="327"/>
    <cellStyle name="Warning Text 7" xfId="371"/>
    <cellStyle name="Warning Text 8" xfId="415"/>
    <cellStyle name="Warning Text 9" xfId="459"/>
  </cellStyles>
  <dxfs count="55">
    <dxf>
      <font>
        <color auto="1"/>
      </font>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ont>
        <condense val="0"/>
        <extend val="0"/>
        <color auto="1"/>
      </font>
      <fill>
        <patternFill>
          <bgColor rgb="FFFFFF99"/>
        </patternFill>
      </fill>
    </dxf>
    <dxf>
      <font>
        <condense val="0"/>
        <extend val="0"/>
        <color auto="1"/>
      </font>
      <fill>
        <patternFill>
          <bgColor rgb="FFFFFF99"/>
        </patternFill>
      </fill>
    </dxf>
    <dxf>
      <font>
        <color rgb="FFFF0000"/>
      </font>
    </dxf>
    <dxf>
      <fill>
        <patternFill>
          <bgColor theme="5" tint="0.59996337778862885"/>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8" tint="0.79998168889431442"/>
        </patternFill>
      </fill>
    </dxf>
    <dxf>
      <font>
        <color rgb="FFFF0000"/>
      </font>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numFmt numFmtId="221" formatCode="0.0\ &quot;EER&quot;"/>
    </dxf>
    <dxf>
      <fill>
        <patternFill>
          <bgColor theme="8" tint="0.79998168889431442"/>
        </patternFill>
      </fill>
    </dxf>
    <dxf>
      <numFmt numFmtId="221" formatCode="0.0\ &quot;EER&quot;"/>
    </dxf>
    <dxf>
      <numFmt numFmtId="221" formatCode="0.0\ &quot;EER&quot;"/>
    </dxf>
    <dxf>
      <numFmt numFmtId="221" formatCode="0.0\ &quot;EER&quot;"/>
    </dxf>
    <dxf>
      <numFmt numFmtId="222" formatCode="##%\ &quot;AFUE&quot;"/>
    </dxf>
    <dxf>
      <numFmt numFmtId="194" formatCode="##%\ &quot;Et&quot;"/>
    </dxf>
    <dxf>
      <numFmt numFmtId="223" formatCode="##%\ &quot;Ec&quot;"/>
    </dxf>
    <dxf>
      <numFmt numFmtId="224" formatCode="#.0\ &quot;COP&quot;"/>
    </dxf>
    <dxf>
      <numFmt numFmtId="225" formatCode="#.0\ &quot;HSPF&quot;"/>
    </dxf>
    <dxf>
      <numFmt numFmtId="222" formatCode="##%\ &quot;AFUE&quot;"/>
    </dxf>
    <dxf>
      <numFmt numFmtId="194" formatCode="##%\ &quot;Et&quot;"/>
    </dxf>
    <dxf>
      <numFmt numFmtId="223" formatCode="##%\ &quot;Ec&quot;"/>
    </dxf>
    <dxf>
      <numFmt numFmtId="226" formatCode="0.00\ &quot;COP&quot;"/>
    </dxf>
    <dxf>
      <numFmt numFmtId="225" formatCode="#.0\ &quot;HSPF&quot;"/>
    </dxf>
    <dxf>
      <numFmt numFmtId="222" formatCode="##%\ &quot;AFUE&quot;"/>
    </dxf>
    <dxf>
      <numFmt numFmtId="194" formatCode="##%\ &quot;Et&quot;"/>
    </dxf>
    <dxf>
      <numFmt numFmtId="223" formatCode="##%\ &quot;Ec&quot;"/>
    </dxf>
    <dxf>
      <numFmt numFmtId="226" formatCode="0.00\ &quot;COP&quot;"/>
    </dxf>
    <dxf>
      <numFmt numFmtId="225" formatCode="#.0\ &quot;HSPF&quot;"/>
    </dxf>
    <dxf>
      <numFmt numFmtId="227" formatCode="0.#0\ &quot;EF&quot;"/>
    </dxf>
    <dxf>
      <fill>
        <patternFill patternType="lightDown">
          <fgColor theme="0"/>
          <bgColor theme="0" tint="-0.24994659260841701"/>
        </patternFill>
      </fill>
    </dxf>
    <dxf>
      <fill>
        <patternFill patternType="darkDown">
          <fgColor theme="0"/>
          <bgColor theme="0" tint="-0.24994659260841701"/>
        </patternFill>
      </fill>
    </dxf>
    <dxf>
      <numFmt numFmtId="181" formatCode="###\ &quot;kWh/yr&quot;"/>
    </dxf>
  </dxfs>
  <tableStyles count="0" defaultTableStyle="TableStyleMedium9"/>
  <colors>
    <mruColors>
      <color rgb="FFFFFFCC"/>
      <color rgb="FFFFFF66"/>
      <color rgb="FFFFFF99"/>
      <color rgb="FFCCFFFF"/>
      <color rgb="FFCC6600"/>
      <color rgb="FFFFCC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easureQC%20Calc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ropDow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QC Calcs"/>
      <sheetName val="Lookup"/>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79998168889431442"/>
  </sheetPr>
  <dimension ref="B1:K52"/>
  <sheetViews>
    <sheetView showGridLines="0" workbookViewId="0">
      <selection activeCell="C9" sqref="C9"/>
    </sheetView>
  </sheetViews>
  <sheetFormatPr defaultColWidth="50" defaultRowHeight="12"/>
  <cols>
    <col min="1" max="1" width="2.85546875" style="123" customWidth="1"/>
    <col min="2" max="2" width="50" style="123"/>
    <col min="3" max="7" width="18" style="123" customWidth="1"/>
    <col min="8" max="11" width="18.7109375" style="123" hidden="1" customWidth="1"/>
    <col min="12" max="16384" width="50" style="123"/>
  </cols>
  <sheetData>
    <row r="1" spans="2:6" ht="18.75">
      <c r="B1" s="136" t="s">
        <v>537</v>
      </c>
    </row>
    <row r="2" spans="2:6" ht="12.75" thickBot="1">
      <c r="B2" s="124"/>
    </row>
    <row r="3" spans="2:6" s="127" customFormat="1">
      <c r="B3" s="125" t="s">
        <v>310</v>
      </c>
      <c r="C3" s="126" t="e">
        <f>'NYSERDA Reporting'!E14</f>
        <v>#DIV/0!</v>
      </c>
    </row>
    <row r="4" spans="2:6" s="127" customFormat="1">
      <c r="B4" s="128" t="s">
        <v>311</v>
      </c>
      <c r="C4" s="129" t="e">
        <f>'NYSERDA Reporting'!F14</f>
        <v>#DIV/0!</v>
      </c>
      <c r="E4" s="130"/>
    </row>
    <row r="5" spans="2:6" s="127" customFormat="1">
      <c r="B5" s="131" t="s">
        <v>312</v>
      </c>
      <c r="C5" s="132">
        <f>IF('Basic Info'!C42=1,15%,IF('Basic Info'!C42=2,25%,30%))</f>
        <v>0.3</v>
      </c>
    </row>
    <row r="6" spans="2:6" s="127" customFormat="1">
      <c r="B6" s="128" t="s">
        <v>313</v>
      </c>
      <c r="C6" s="129" t="e">
        <f xml:space="preserve"> C4-C5</f>
        <v>#DIV/0!</v>
      </c>
    </row>
    <row r="7" spans="2:6" s="127" customFormat="1" ht="7.5" customHeight="1">
      <c r="B7" s="137"/>
      <c r="C7" s="1050"/>
    </row>
    <row r="8" spans="2:6" s="127" customFormat="1" ht="12.75" thickBot="1">
      <c r="B8" s="133" t="s">
        <v>314</v>
      </c>
      <c r="C8" s="1051">
        <f>'Detailed Measures'!T30</f>
        <v>0</v>
      </c>
    </row>
    <row r="9" spans="2:6">
      <c r="B9" s="134"/>
      <c r="C9" s="135"/>
    </row>
    <row r="11" spans="2:6" ht="18.75">
      <c r="B11" s="136" t="s">
        <v>448</v>
      </c>
      <c r="C11" s="44"/>
      <c r="D11" s="44"/>
      <c r="E11" s="44"/>
      <c r="F11" s="44"/>
    </row>
    <row r="12" spans="2:6">
      <c r="B12" s="138"/>
      <c r="C12" s="44"/>
      <c r="D12" s="44"/>
      <c r="E12" s="44"/>
      <c r="F12" s="44"/>
    </row>
    <row r="13" spans="2:6" ht="27" customHeight="1">
      <c r="B13" s="146"/>
      <c r="C13" s="71" t="s">
        <v>305</v>
      </c>
      <c r="D13" s="71" t="str">
        <f>'Basic Info'!C43&amp;" Simulation"</f>
        <v xml:space="preserve"> Simulation</v>
      </c>
      <c r="E13" s="71" t="s">
        <v>255</v>
      </c>
      <c r="F13" s="71" t="s">
        <v>306</v>
      </c>
    </row>
    <row r="14" spans="2:6">
      <c r="B14" s="147" t="s">
        <v>538</v>
      </c>
      <c r="C14" s="139" t="e">
        <f>'Reporting Summary'!E125</f>
        <v>#DIV/0!</v>
      </c>
      <c r="D14" s="139">
        <f>'Reporting Summary'!I125</f>
        <v>0</v>
      </c>
      <c r="E14" s="148" t="e">
        <f>C14-D14</f>
        <v>#DIV/0!</v>
      </c>
      <c r="F14" s="149" t="e">
        <f>E14/C14</f>
        <v>#DIV/0!</v>
      </c>
    </row>
    <row r="15" spans="2:6">
      <c r="B15" s="147" t="s">
        <v>307</v>
      </c>
      <c r="C15" s="140" t="e">
        <f>'Reporting Summary'!D125/3412</f>
        <v>#DIV/0!</v>
      </c>
      <c r="D15" s="140">
        <f>'Reporting Summary'!H125/3412</f>
        <v>0</v>
      </c>
      <c r="E15" s="141" t="e">
        <f>C15-D15</f>
        <v>#DIV/0!</v>
      </c>
      <c r="F15" s="149" t="e">
        <f>E15/C15</f>
        <v>#DIV/0!</v>
      </c>
    </row>
    <row r="16" spans="2:6">
      <c r="B16" s="147" t="s">
        <v>308</v>
      </c>
      <c r="C16" s="140" t="e">
        <f>'Reporting Summary'!C125/1000000</f>
        <v>#DIV/0!</v>
      </c>
      <c r="D16" s="140">
        <f>'Reporting Summary'!G125/1000000</f>
        <v>0</v>
      </c>
      <c r="E16" s="141" t="e">
        <f>C16-D16</f>
        <v>#DIV/0!</v>
      </c>
      <c r="F16" s="149" t="e">
        <f>E16/C16</f>
        <v>#DIV/0!</v>
      </c>
    </row>
    <row r="17" spans="2:11">
      <c r="B17" s="147" t="s">
        <v>309</v>
      </c>
      <c r="C17" s="141" t="e">
        <f>((C15*3412)/1000000)+C16</f>
        <v>#DIV/0!</v>
      </c>
      <c r="D17" s="141">
        <f>((D15*3412)/1000000)+D16</f>
        <v>0</v>
      </c>
      <c r="E17" s="141" t="e">
        <f>C17-D17</f>
        <v>#DIV/0!</v>
      </c>
      <c r="F17" s="149" t="e">
        <f>E17/C17</f>
        <v>#DIV/0!</v>
      </c>
    </row>
    <row r="18" spans="2:11">
      <c r="B18" s="142"/>
      <c r="C18" s="143"/>
      <c r="D18" s="143"/>
      <c r="E18" s="144"/>
      <c r="F18" s="145"/>
    </row>
    <row r="20" spans="2:11" ht="18.75">
      <c r="B20" s="136" t="s">
        <v>539</v>
      </c>
      <c r="C20" s="150"/>
      <c r="D20" s="150"/>
      <c r="E20" s="150"/>
      <c r="F20" s="150"/>
      <c r="G20" s="150"/>
    </row>
    <row r="21" spans="2:11">
      <c r="B21" s="150"/>
      <c r="C21" s="150"/>
      <c r="D21" s="150"/>
      <c r="E21" s="150"/>
      <c r="F21" s="150"/>
      <c r="G21" s="150"/>
    </row>
    <row r="22" spans="2:11" ht="24">
      <c r="B22" s="303" t="s">
        <v>347</v>
      </c>
      <c r="C22" s="303" t="s">
        <v>739</v>
      </c>
      <c r="D22" s="303" t="s">
        <v>738</v>
      </c>
      <c r="E22" s="303" t="str">
        <f>'Basic Info'!C43&amp;" Energy (MMBtu)"</f>
        <v xml:space="preserve"> Energy (MMBtu)</v>
      </c>
      <c r="F22" s="303" t="s">
        <v>350</v>
      </c>
      <c r="G22" s="299"/>
      <c r="H22" s="151" t="s">
        <v>348</v>
      </c>
      <c r="I22" s="151" t="s">
        <v>349</v>
      </c>
      <c r="J22" s="151" t="str">
        <f>'Basic Info'!C43&amp;" Electricity (kWh/yr)"</f>
        <v xml:space="preserve"> Electricity (kWh/yr)</v>
      </c>
      <c r="K22" s="151" t="str">
        <f>'Basic Info'!C43&amp;" Fuel (MMBtu/yr)"</f>
        <v xml:space="preserve"> Fuel (MMBtu/yr)</v>
      </c>
    </row>
    <row r="23" spans="2:11">
      <c r="B23" s="152" t="s">
        <v>387</v>
      </c>
      <c r="C23" s="152" t="e">
        <f>IF(H23*3412/1000000&lt;I23,"Natural Gas","Electric")</f>
        <v>#DIV/0!</v>
      </c>
      <c r="D23" s="302" t="e">
        <f t="shared" ref="D23:D31" si="0">I23+H23*3412/1000000</f>
        <v>#DIV/0!</v>
      </c>
      <c r="E23" s="302">
        <f t="shared" ref="E23:E31" si="1">K23+J23*3412/1000000</f>
        <v>0</v>
      </c>
      <c r="F23" s="153" t="e">
        <f t="shared" ref="F23:F31" si="2">IF(AND(H23=0,I23=0,J23=0,K23=0)=TRUE,0%,(H23*3412/1000000+I23-J23*3412/1000000-K23)/(H23*3412/1000000+I23))</f>
        <v>#DIV/0!</v>
      </c>
      <c r="G23" s="300"/>
      <c r="H23" s="66" t="e">
        <f>'Results from eQUEST'!M19+'Results from eQUEST'!N19+'Results from eQUEST'!X19</f>
        <v>#DIV/0!</v>
      </c>
      <c r="I23" s="66" t="e">
        <f>('Results from eQUEST'!AY19+'Results from eQUEST'!AZ19+'Results from eQUEST'!BJ19)/10</f>
        <v>#DIV/0!</v>
      </c>
      <c r="J23" s="66">
        <f>'Results from eQUEST'!M22+'Results from eQUEST'!N22+'Results from eQUEST'!X22</f>
        <v>0</v>
      </c>
      <c r="K23" s="66">
        <f>('Results from eQUEST'!AY22+'Results from eQUEST'!AZ22+'Results from eQUEST'!BJ22)/10</f>
        <v>0</v>
      </c>
    </row>
    <row r="24" spans="2:11">
      <c r="B24" s="152" t="s">
        <v>351</v>
      </c>
      <c r="C24" s="152" t="e">
        <f t="shared" ref="C24:C30" si="3">IF(H24*3412/1000000&lt;I24,"Natural Gas","Electric")</f>
        <v>#DIV/0!</v>
      </c>
      <c r="D24" s="302" t="e">
        <f t="shared" si="0"/>
        <v>#DIV/0!</v>
      </c>
      <c r="E24" s="302">
        <f t="shared" si="1"/>
        <v>0</v>
      </c>
      <c r="F24" s="153" t="e">
        <f t="shared" si="2"/>
        <v>#DIV/0!</v>
      </c>
      <c r="G24" s="300"/>
      <c r="H24" s="66" t="e">
        <f>'Results from eQUEST'!P19+'Results from eQUEST'!V19</f>
        <v>#DIV/0!</v>
      </c>
      <c r="I24" s="66" t="e">
        <f>('Results from eQUEST'!BB19+'Results from eQUEST'!BH19)/10</f>
        <v>#DIV/0!</v>
      </c>
      <c r="J24" s="66">
        <f>'Results from eQUEST'!P22+'Results from eQUEST'!V22</f>
        <v>0</v>
      </c>
      <c r="K24" s="66">
        <f>('Results from eQUEST'!BB22+'Results from eQUEST'!BH22)/10</f>
        <v>0</v>
      </c>
    </row>
    <row r="25" spans="2:11">
      <c r="B25" s="152" t="s">
        <v>352</v>
      </c>
      <c r="C25" s="152" t="e">
        <f t="shared" si="3"/>
        <v>#DIV/0!</v>
      </c>
      <c r="D25" s="302" t="e">
        <f t="shared" si="0"/>
        <v>#DIV/0!</v>
      </c>
      <c r="E25" s="302">
        <f t="shared" si="1"/>
        <v>0</v>
      </c>
      <c r="F25" s="153" t="e">
        <f t="shared" si="2"/>
        <v>#DIV/0!</v>
      </c>
      <c r="G25" s="300"/>
      <c r="H25" s="66" t="e">
        <f>'Results from eQUEST'!Q19</f>
        <v>#DIV/0!</v>
      </c>
      <c r="I25" s="66" t="e">
        <f>'Results from eQUEST'!BC19/10</f>
        <v>#DIV/0!</v>
      </c>
      <c r="J25" s="66">
        <f>'Results from eQUEST'!Q22</f>
        <v>0</v>
      </c>
      <c r="K25" s="66">
        <f>'Results from eQUEST'!BC22/10</f>
        <v>0</v>
      </c>
    </row>
    <row r="26" spans="2:11">
      <c r="B26" s="152" t="s">
        <v>140</v>
      </c>
      <c r="C26" s="152" t="e">
        <f t="shared" si="3"/>
        <v>#DIV/0!</v>
      </c>
      <c r="D26" s="302" t="e">
        <f t="shared" si="0"/>
        <v>#DIV/0!</v>
      </c>
      <c r="E26" s="302">
        <f t="shared" si="1"/>
        <v>0</v>
      </c>
      <c r="F26" s="153" t="e">
        <f t="shared" si="2"/>
        <v>#DIV/0!</v>
      </c>
      <c r="G26" s="300"/>
      <c r="H26" s="66" t="e">
        <f>'Results from eQUEST'!S19</f>
        <v>#DIV/0!</v>
      </c>
      <c r="I26" s="66" t="e">
        <f>'Results from eQUEST'!BE19/10</f>
        <v>#DIV/0!</v>
      </c>
      <c r="J26" s="66">
        <f>'Results from eQUEST'!S22</f>
        <v>0</v>
      </c>
      <c r="K26" s="66">
        <f>'Results from eQUEST'!BE22/10</f>
        <v>0</v>
      </c>
    </row>
    <row r="27" spans="2:11">
      <c r="B27" s="152" t="s">
        <v>353</v>
      </c>
      <c r="C27" s="152" t="e">
        <f t="shared" si="3"/>
        <v>#DIV/0!</v>
      </c>
      <c r="D27" s="302" t="e">
        <f t="shared" si="0"/>
        <v>#DIV/0!</v>
      </c>
      <c r="E27" s="302">
        <f t="shared" si="1"/>
        <v>0</v>
      </c>
      <c r="F27" s="153" t="e">
        <f t="shared" si="2"/>
        <v>#DIV/0!</v>
      </c>
      <c r="G27" s="300"/>
      <c r="H27" s="66" t="e">
        <f>'Results from eQUEST'!R19</f>
        <v>#DIV/0!</v>
      </c>
      <c r="I27" s="66" t="e">
        <f>'Results from eQUEST'!BD19/10</f>
        <v>#DIV/0!</v>
      </c>
      <c r="J27" s="66">
        <f>'Results from eQUEST'!R22</f>
        <v>0</v>
      </c>
      <c r="K27" s="66">
        <f>'Results from eQUEST'!BD22/10</f>
        <v>0</v>
      </c>
    </row>
    <row r="28" spans="2:11">
      <c r="B28" s="152" t="s">
        <v>354</v>
      </c>
      <c r="C28" s="152" t="e">
        <f t="shared" si="3"/>
        <v>#DIV/0!</v>
      </c>
      <c r="D28" s="302" t="e">
        <f t="shared" si="0"/>
        <v>#DIV/0!</v>
      </c>
      <c r="E28" s="302">
        <f t="shared" si="1"/>
        <v>0</v>
      </c>
      <c r="F28" s="153" t="e">
        <f t="shared" si="2"/>
        <v>#DIV/0!</v>
      </c>
      <c r="G28" s="300"/>
      <c r="H28" s="66" t="e">
        <f>'Results from eQUEST'!T19</f>
        <v>#DIV/0!</v>
      </c>
      <c r="I28" s="66" t="e">
        <f>'Results from eQUEST'!BF19/10</f>
        <v>#DIV/0!</v>
      </c>
      <c r="J28" s="66">
        <f>'Results from eQUEST'!T22</f>
        <v>0</v>
      </c>
      <c r="K28" s="66">
        <f>'Results from eQUEST'!BF22/10</f>
        <v>0</v>
      </c>
    </row>
    <row r="29" spans="2:11">
      <c r="B29" s="152" t="s">
        <v>355</v>
      </c>
      <c r="C29" s="152" t="e">
        <f t="shared" si="3"/>
        <v>#DIV/0!</v>
      </c>
      <c r="D29" s="302" t="e">
        <f t="shared" si="0"/>
        <v>#DIV/0!</v>
      </c>
      <c r="E29" s="302">
        <f t="shared" si="1"/>
        <v>0</v>
      </c>
      <c r="F29" s="153" t="e">
        <f t="shared" si="2"/>
        <v>#DIV/0!</v>
      </c>
      <c r="G29" s="300"/>
      <c r="H29" s="66" t="e">
        <f>'Results from eQUEST'!W19</f>
        <v>#DIV/0!</v>
      </c>
      <c r="I29" s="66" t="e">
        <f>'Results from eQUEST'!BI19/10</f>
        <v>#DIV/0!</v>
      </c>
      <c r="J29" s="66">
        <f>'Results from eQUEST'!W22</f>
        <v>0</v>
      </c>
      <c r="K29" s="66">
        <f>'Results from eQUEST'!BI22/10</f>
        <v>0</v>
      </c>
    </row>
    <row r="30" spans="2:11">
      <c r="B30" s="152" t="s">
        <v>737</v>
      </c>
      <c r="C30" s="152" t="e">
        <f t="shared" si="3"/>
        <v>#DIV/0!</v>
      </c>
      <c r="D30" s="302" t="e">
        <f t="shared" si="0"/>
        <v>#DIV/0!</v>
      </c>
      <c r="E30" s="302">
        <f t="shared" si="1"/>
        <v>0</v>
      </c>
      <c r="F30" s="153" t="e">
        <f t="shared" si="2"/>
        <v>#DIV/0!</v>
      </c>
      <c r="G30" s="300"/>
      <c r="H30" s="66" t="e">
        <f>H31-SUM(H23:H29)</f>
        <v>#DIV/0!</v>
      </c>
      <c r="I30" s="66" t="e">
        <f>I31-SUM(I23:I29)</f>
        <v>#DIV/0!</v>
      </c>
      <c r="J30" s="66">
        <f>J31-SUM(J23:J29)</f>
        <v>0</v>
      </c>
      <c r="K30" s="66">
        <f>K31-SUM(K23:K29)</f>
        <v>0</v>
      </c>
    </row>
    <row r="31" spans="2:11">
      <c r="B31" s="154" t="s">
        <v>141</v>
      </c>
      <c r="C31" s="152"/>
      <c r="D31" s="302" t="e">
        <f t="shared" si="0"/>
        <v>#DIV/0!</v>
      </c>
      <c r="E31" s="302">
        <f t="shared" si="1"/>
        <v>0</v>
      </c>
      <c r="F31" s="153" t="e">
        <f t="shared" si="2"/>
        <v>#DIV/0!</v>
      </c>
      <c r="G31" s="300"/>
      <c r="H31" s="155" t="e">
        <f>'Results from eQUEST'!Y19</f>
        <v>#DIV/0!</v>
      </c>
      <c r="I31" s="156" t="e">
        <f>'Results from eQUEST'!BK19/10</f>
        <v>#DIV/0!</v>
      </c>
      <c r="J31" s="155">
        <f>'Results from eQUEST'!Y22</f>
        <v>0</v>
      </c>
      <c r="K31" s="156">
        <f>'Results from eQUEST'!BK22/10</f>
        <v>0</v>
      </c>
    </row>
    <row r="35" spans="2:4" ht="18.75">
      <c r="B35" s="136" t="s">
        <v>740</v>
      </c>
    </row>
    <row r="36" spans="2:4" s="301" customFormat="1" ht="18.75">
      <c r="B36" s="136"/>
    </row>
    <row r="37" spans="2:4">
      <c r="B37" s="303" t="s">
        <v>326</v>
      </c>
      <c r="C37" s="303">
        <f>'Basic Info'!C43</f>
        <v>0</v>
      </c>
      <c r="D37" s="303" t="s">
        <v>89</v>
      </c>
    </row>
    <row r="38" spans="2:4" ht="48">
      <c r="B38" s="152" t="s">
        <v>741</v>
      </c>
      <c r="C38" s="304" t="str">
        <f>"AGW: "&amp;ERMs!C19&amp;"; BGW: "&amp;ERMs!C18</f>
        <v>AGW: , U-; BGW: , C-</v>
      </c>
      <c r="D38" s="302" t="str">
        <f>ERMs!E19&amp;"; "&amp;ERMs!E18</f>
        <v>AGW: Per ASHRAE, U- (res) &amp; U- (non-res); BGW: Per ASHRAE, C- (res); C- (non-res)</v>
      </c>
    </row>
    <row r="39" spans="2:4">
      <c r="B39" s="152" t="s">
        <v>372</v>
      </c>
      <c r="C39" s="304" t="str">
        <f>ERMs!C28</f>
        <v>, U-</v>
      </c>
      <c r="D39" s="302" t="str">
        <f>ERMs!E28</f>
        <v>Exterior doors: , U-</v>
      </c>
    </row>
    <row r="40" spans="2:4" ht="36">
      <c r="B40" s="152" t="s">
        <v>742</v>
      </c>
      <c r="C40" s="304" t="str">
        <f>ERMs!C26&amp;", "&amp;'Model Inputs'!F32&amp;" window to wall ratio"</f>
        <v>, , U-, SHGC-,  window to wall ratio</v>
      </c>
      <c r="D40" s="302" t="str">
        <f>ERMs!E26&amp;", "&amp;'Model Inputs'!D32&amp;" window to wall ratio"</f>
        <v>Windows: Per ASHRAE, , U-, SHGC-,  window to wall ratio</v>
      </c>
    </row>
    <row r="41" spans="2:4" ht="132">
      <c r="B41" s="152" t="s">
        <v>743</v>
      </c>
      <c r="C41" s="304" t="str">
        <f>"Slab-below-grade: "&amp;ERMs!C23&amp;"; Slab-on-grade: "&amp;ERMs!C24&amp;"; Floor Perimeter: "&amp;ERMs!C20&amp;"; Floor above cond. Space: "&amp;ERMs!C22</f>
        <v>Slab-below-grade: , C-; Slab-on-grade: , F-; Floor Perimeter: , U-; Floor above cond. Space: , U-</v>
      </c>
      <c r="D41" s="302" t="str">
        <f>ERMs!E23&amp;"; "&amp;ERMs!E24&amp;"; "&amp;ERMs!E20&amp;"; "&amp;ERMs!E22</f>
        <v>Slab-below-grade: Per ASHRAE, C-; Slab-on-grade: Per ASHRAE, F- (res) &amp; F- (non-res); Floor Perimeter: Per ASHRAE, U- (res) &amp; U- (non-res); Floor above cond. Space: Per ASHRAE, U- (res) &amp; U- (non-res)</v>
      </c>
    </row>
    <row r="42" spans="2:4" ht="24">
      <c r="B42" s="152" t="s">
        <v>744</v>
      </c>
      <c r="C42" s="304" t="str">
        <f>ERMs!C21</f>
        <v>, U-</v>
      </c>
      <c r="D42" s="302" t="str">
        <f>ERMs!E21</f>
        <v>Roof Insulation: Per ASHRAE, U-</v>
      </c>
    </row>
    <row r="43" spans="2:4" ht="84">
      <c r="B43" s="152" t="s">
        <v>613</v>
      </c>
      <c r="C43" s="304" t="str">
        <f>"Common area: "&amp;ERMs!C51&amp;"; In-unit: "&amp;ERMs!C55&amp;"; Garage Lighting: "&amp;ERMs!C54&amp;"; Exit Signs: "&amp;ERMs!C52</f>
        <v>Common area: Corridors: , ; In-unit: In-unit Lighting:  W/SF; Garage Lighting: Garage Lighting:  W/SF; Exit Signs: Exit Signs:  kW</v>
      </c>
      <c r="D43" s="302" t="str">
        <f>"Common Area: "&amp;ERMs!E51&amp;"; "&amp;ERMs!E55&amp;"; "&amp;ERMs!E54&amp;"; "&amp;ERMs!E52</f>
        <v>Common Area: Corridors - 0.66, ; In-unit Lighting: 0.6 W/SF; Garage Lighting:  W/SF; Exit Signs:  kW</v>
      </c>
    </row>
    <row r="44" spans="2:4">
      <c r="B44" s="152" t="s">
        <v>597</v>
      </c>
      <c r="C44" s="305">
        <f>ERMs!C50</f>
        <v>0</v>
      </c>
      <c r="D44" s="302" t="str">
        <f>ERMs!E50</f>
        <v>Lighting Controls: N/A</v>
      </c>
    </row>
    <row r="45" spans="2:4">
      <c r="B45" s="152" t="s">
        <v>745</v>
      </c>
      <c r="C45" s="304" t="str">
        <f>ERMs!C53</f>
        <v>Exterior Lighting:  kW</v>
      </c>
      <c r="D45" s="302" t="str">
        <f>ERMs!E53</f>
        <v>Exterior Lighting:  kW</v>
      </c>
    </row>
    <row r="46" spans="2:4" ht="24">
      <c r="B46" s="152" t="s">
        <v>45</v>
      </c>
      <c r="C46" s="304" t="str">
        <f>ERMs!C5&amp;"; "&amp;ERMs!C6&amp;"; "&amp;ERMs!C7&amp;"; "&amp;ERMs!C9&amp;" ;"&amp;ERMs!C10&amp;"; "&amp;ERMs!C11</f>
        <v>N/A; N/A; N/A; N/A ;N/A; N/A</v>
      </c>
      <c r="D46" s="302" t="str">
        <f>ERMs!E5&amp;"; "&amp;ERMs!E6&amp;"; "&amp;ERMs!E7&amp;"; "&amp;ERMs!E10&amp;"; "&amp;ERMs!E10&amp;"; "&amp;ERMs!E11</f>
        <v>N/A; N/A; N/A; N/A; N/A; N/A</v>
      </c>
    </row>
    <row r="47" spans="2:4">
      <c r="B47" s="152" t="s">
        <v>746</v>
      </c>
      <c r="C47" s="304" t="str">
        <f>'Model Inputs'!E65</f>
        <v/>
      </c>
      <c r="D47" s="302">
        <f>'Model Inputs'!D65</f>
        <v>0</v>
      </c>
    </row>
    <row r="48" spans="2:4">
      <c r="B48" s="152" t="s">
        <v>747</v>
      </c>
      <c r="C48" s="304" t="str">
        <f>ERMs!C82</f>
        <v xml:space="preserve">, </v>
      </c>
      <c r="D48" s="302">
        <f>ERMs!E82</f>
        <v>0</v>
      </c>
    </row>
    <row r="49" spans="2:4" ht="36">
      <c r="B49" s="152" t="s">
        <v>748</v>
      </c>
      <c r="C49" s="304" t="str">
        <f>ERMs!C30</f>
        <v>Primary system:   ( COP); Tertiary System:   (0% Et)</v>
      </c>
      <c r="D49" s="302" t="str">
        <f>ERMs!E30</f>
        <v xml:space="preserve">  ( COP)</v>
      </c>
    </row>
    <row r="50" spans="2:4" ht="84">
      <c r="B50" s="152" t="s">
        <v>749</v>
      </c>
      <c r="C50" s="302" t="str">
        <f>ERMs!C62&amp;"; "&amp;ERMs!C63&amp;"; "&amp;ERMs!C64&amp;"; "&amp;ERMs!C65</f>
        <v>Kitchen: 0 CFM (0)
Bathroom: 0 CFM (0); Non-corridor:  CFM; Corridor: 0 CFM; 0</v>
      </c>
      <c r="D50" s="302" t="str">
        <f>ERMs!E62&amp;"; "&amp;ERMs!E63&amp;"; "&amp;ERMs!E64&amp;"; "&amp;ERMs!E65</f>
        <v xml:space="preserve">Kitchen: 0 CFM (0)
Bathroom: 20 CFM (0); Non-corridor Exhaust: N/A CFM; Corridor Supply Ventilation: 0 CFM; Fresh air supplied to apts by: </v>
      </c>
    </row>
    <row r="51" spans="2:4" ht="96">
      <c r="B51" s="152" t="s">
        <v>750</v>
      </c>
      <c r="C51" s="302" t="str">
        <f>"Heating pump: "&amp;ERMs!C57&amp;"; DHW pump: "&amp;ERMs!C59&amp;"; "&amp;ERMs!C35</f>
        <v>Heating pump:    NEMA  Motor,  W/GPM; DHW pump:     hp NEMA  efficient motor, 0.0%;  kW/CFM</v>
      </c>
      <c r="D51" s="302" t="str">
        <f>"Heating pump: "&amp;ERMs!E57&amp;"; DHW pump: "&amp;ERMs!E59&amp;"; "&amp;ERMs!E35</f>
        <v>Heating pump: NEMA Standard Motor, 19 W/GPM; DHW pump:   hp NEMA  efficiency motor, 0.0% efficient; Space heating fan power: 0.0003 kW/CFM</v>
      </c>
    </row>
    <row r="52" spans="2:4" ht="36">
      <c r="B52" s="152" t="s">
        <v>751</v>
      </c>
      <c r="C52" s="304" t="str">
        <f>ERMs!C14&amp;"; Hot Water Demand: "&amp;'Model Inputs'!E139</f>
        <v xml:space="preserve">  ( kBtu)
Et- 0%; Hot Water Demand: </v>
      </c>
      <c r="D52" s="302" t="str">
        <f>ERMs!E14&amp;"; Hot Water Demand: "&amp;'Model Inputs'!D139</f>
        <v xml:space="preserve"> 
Et-0%; Hot Water Demand: </v>
      </c>
    </row>
  </sheetData>
  <dataValidations count="1">
    <dataValidation allowBlank="1" showInputMessage="1" showErrorMessage="1" promptTitle="Annual Energy Cost Difference" prompt="The value in this cell must equal the sum of the cost savings in the Recommendation Summary table." sqref="E14"/>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0" tint="-0.249977111117893"/>
  </sheetPr>
  <dimension ref="A1:AA191"/>
  <sheetViews>
    <sheetView showGridLines="0" zoomScaleNormal="100" workbookViewId="0">
      <selection activeCell="B1" sqref="B1"/>
    </sheetView>
  </sheetViews>
  <sheetFormatPr defaultRowHeight="12"/>
  <cols>
    <col min="1" max="1" width="2.5703125" style="448" customWidth="1"/>
    <col min="2" max="2" width="41.5703125" style="448" customWidth="1"/>
    <col min="3" max="3" width="7.7109375" style="450" customWidth="1"/>
    <col min="4" max="4" width="42.140625" style="448" customWidth="1"/>
    <col min="5" max="6" width="24.140625" style="448" customWidth="1"/>
    <col min="7" max="7" width="22.7109375" style="448" customWidth="1"/>
    <col min="8" max="8" width="11.42578125" style="448" bestFit="1" customWidth="1"/>
    <col min="9" max="9" width="12.140625" style="448" customWidth="1"/>
    <col min="10" max="10" width="13.28515625" style="448" customWidth="1"/>
    <col min="11" max="11" width="10.85546875" style="448" customWidth="1"/>
    <col min="12" max="24" width="9.140625" style="448"/>
    <col min="25" max="28" width="9.140625" style="448" customWidth="1"/>
    <col min="29" max="16384" width="9.140625" style="448"/>
  </cols>
  <sheetData>
    <row r="1" spans="1:7" ht="18.75">
      <c r="A1" s="564"/>
      <c r="B1" s="565" t="s">
        <v>517</v>
      </c>
      <c r="C1" s="566"/>
      <c r="D1" s="564"/>
      <c r="E1" s="564"/>
      <c r="F1" s="564"/>
      <c r="G1" s="564"/>
    </row>
    <row r="2" spans="1:7" ht="13.5" customHeight="1">
      <c r="A2" s="564"/>
      <c r="B2" s="567"/>
      <c r="C2" s="566"/>
      <c r="D2" s="564"/>
      <c r="E2" s="564"/>
      <c r="F2" s="564"/>
      <c r="G2" s="564"/>
    </row>
    <row r="3" spans="1:7" ht="13.5" customHeight="1">
      <c r="A3" s="564"/>
      <c r="B3" s="568" t="s">
        <v>704</v>
      </c>
      <c r="C3" s="566"/>
      <c r="D3" s="564"/>
      <c r="E3" s="564"/>
      <c r="F3" s="564"/>
      <c r="G3" s="564"/>
    </row>
    <row r="4" spans="1:7" ht="13.5" customHeight="1">
      <c r="A4" s="564"/>
      <c r="B4" s="568" t="s">
        <v>705</v>
      </c>
      <c r="C4" s="566"/>
      <c r="D4" s="564"/>
      <c r="E4" s="564"/>
      <c r="F4" s="564"/>
      <c r="G4" s="564"/>
    </row>
    <row r="5" spans="1:7" ht="13.5" customHeight="1">
      <c r="A5" s="564"/>
      <c r="B5" s="568" t="s">
        <v>706</v>
      </c>
      <c r="C5" s="566"/>
      <c r="D5" s="564"/>
      <c r="E5" s="564"/>
      <c r="F5" s="564"/>
      <c r="G5" s="564"/>
    </row>
    <row r="6" spans="1:7" ht="13.5" customHeight="1">
      <c r="A6" s="564"/>
      <c r="B6" s="568" t="s">
        <v>703</v>
      </c>
      <c r="C6" s="566"/>
      <c r="D6" s="564"/>
      <c r="E6" s="564"/>
      <c r="F6" s="564"/>
      <c r="G6" s="564"/>
    </row>
    <row r="7" spans="1:7" ht="13.5" customHeight="1">
      <c r="A7" s="564"/>
      <c r="B7" s="568" t="s">
        <v>713</v>
      </c>
      <c r="C7" s="566"/>
      <c r="D7" s="564"/>
      <c r="E7" s="564"/>
      <c r="F7" s="564"/>
      <c r="G7" s="564"/>
    </row>
    <row r="8" spans="1:7" ht="13.5" customHeight="1">
      <c r="A8" s="564"/>
      <c r="B8" s="569" t="s">
        <v>1388</v>
      </c>
      <c r="C8" s="566"/>
      <c r="D8" s="564"/>
      <c r="E8" s="564"/>
      <c r="F8" s="564"/>
      <c r="G8" s="564"/>
    </row>
    <row r="9" spans="1:7" ht="13.5" customHeight="1" thickBot="1">
      <c r="A9" s="564"/>
      <c r="B9" s="568"/>
      <c r="C9" s="570"/>
      <c r="D9" s="564"/>
      <c r="E9" s="564"/>
      <c r="F9" s="564"/>
      <c r="G9" s="564"/>
    </row>
    <row r="10" spans="1:7" ht="28.5" customHeight="1" thickBot="1">
      <c r="A10" s="564"/>
      <c r="B10" s="1263" t="s">
        <v>1514</v>
      </c>
      <c r="C10" s="1264"/>
      <c r="D10" s="1264"/>
      <c r="E10" s="1264"/>
      <c r="F10" s="1265"/>
      <c r="G10" s="564"/>
    </row>
    <row r="11" spans="1:7" ht="16.5" customHeight="1" thickBot="1">
      <c r="A11" s="564"/>
      <c r="B11" s="1222"/>
      <c r="C11" s="1222"/>
      <c r="D11" s="1222"/>
      <c r="E11" s="1222"/>
      <c r="F11" s="1222"/>
      <c r="G11" s="564"/>
    </row>
    <row r="12" spans="1:7" ht="24" customHeight="1" thickBot="1">
      <c r="A12" s="564"/>
      <c r="B12" s="1257" t="s">
        <v>1515</v>
      </c>
      <c r="C12" s="1258"/>
      <c r="D12" s="1258"/>
      <c r="E12" s="1258"/>
      <c r="F12" s="1259"/>
      <c r="G12" s="1204"/>
    </row>
    <row r="14" spans="1:7" ht="24">
      <c r="B14" s="571" t="s">
        <v>363</v>
      </c>
      <c r="C14" s="575" t="s">
        <v>634</v>
      </c>
      <c r="D14" s="577" t="s">
        <v>626</v>
      </c>
      <c r="E14" s="576" t="s">
        <v>627</v>
      </c>
      <c r="F14" s="577">
        <f>'Basic Info'!C43</f>
        <v>0</v>
      </c>
      <c r="G14" s="451"/>
    </row>
    <row r="15" spans="1:7" ht="12" customHeight="1">
      <c r="B15" s="572" t="s">
        <v>329</v>
      </c>
      <c r="C15" s="1248"/>
      <c r="D15" s="452" t="s">
        <v>635</v>
      </c>
      <c r="E15" s="452" t="s">
        <v>635</v>
      </c>
      <c r="F15" s="453"/>
      <c r="G15" s="454"/>
    </row>
    <row r="16" spans="1:7">
      <c r="B16" s="573" t="s">
        <v>330</v>
      </c>
      <c r="C16" s="1250"/>
      <c r="D16" s="455"/>
      <c r="E16" s="455"/>
      <c r="F16" s="455"/>
      <c r="G16" s="454"/>
    </row>
    <row r="17" spans="2:7" ht="12" customHeight="1">
      <c r="B17" s="574" t="s">
        <v>630</v>
      </c>
      <c r="C17" s="1248"/>
      <c r="D17" s="452" t="s">
        <v>635</v>
      </c>
      <c r="E17" s="452" t="s">
        <v>635</v>
      </c>
      <c r="F17" s="456"/>
      <c r="G17" s="454"/>
    </row>
    <row r="18" spans="2:7">
      <c r="B18" s="574" t="s">
        <v>631</v>
      </c>
      <c r="C18" s="1250"/>
      <c r="D18" s="457"/>
      <c r="E18" s="457"/>
      <c r="F18" s="457"/>
      <c r="G18" s="454"/>
    </row>
    <row r="19" spans="2:7">
      <c r="B19" s="1048" t="s">
        <v>1389</v>
      </c>
      <c r="C19" s="594"/>
      <c r="D19" s="594"/>
      <c r="E19" s="594"/>
      <c r="F19" s="1049"/>
      <c r="G19" s="454"/>
    </row>
    <row r="20" spans="2:7" ht="12" customHeight="1">
      <c r="B20" s="573" t="s">
        <v>331</v>
      </c>
      <c r="C20" s="1248"/>
      <c r="D20" s="452" t="s">
        <v>635</v>
      </c>
      <c r="E20" s="452" t="s">
        <v>635</v>
      </c>
      <c r="F20" s="453"/>
      <c r="G20" s="454"/>
    </row>
    <row r="21" spans="2:7">
      <c r="B21" s="573" t="s">
        <v>628</v>
      </c>
      <c r="C21" s="1250"/>
      <c r="D21" s="458"/>
      <c r="E21" s="456"/>
      <c r="F21" s="458"/>
      <c r="G21" s="454"/>
    </row>
    <row r="22" spans="2:7" ht="12" customHeight="1">
      <c r="B22" s="573" t="s">
        <v>632</v>
      </c>
      <c r="C22" s="1248"/>
      <c r="D22" s="452" t="s">
        <v>635</v>
      </c>
      <c r="E22" s="452" t="s">
        <v>635</v>
      </c>
      <c r="F22" s="459"/>
      <c r="G22" s="454"/>
    </row>
    <row r="23" spans="2:7">
      <c r="B23" s="573" t="s">
        <v>633</v>
      </c>
      <c r="C23" s="1250"/>
      <c r="D23" s="455"/>
      <c r="E23" s="457"/>
      <c r="F23" s="455"/>
      <c r="G23" s="454"/>
    </row>
    <row r="24" spans="2:7" ht="21" customHeight="1">
      <c r="B24" s="573" t="s">
        <v>640</v>
      </c>
      <c r="C24" s="1248"/>
      <c r="D24" s="452" t="s">
        <v>635</v>
      </c>
      <c r="E24" s="452" t="s">
        <v>635</v>
      </c>
      <c r="F24" s="453"/>
      <c r="G24" s="454"/>
    </row>
    <row r="25" spans="2:7" ht="21" customHeight="1">
      <c r="B25" s="573" t="s">
        <v>641</v>
      </c>
      <c r="C25" s="1250"/>
      <c r="D25" s="460"/>
      <c r="E25" s="461"/>
      <c r="F25" s="460"/>
      <c r="G25" s="454"/>
    </row>
    <row r="26" spans="2:7" ht="21" customHeight="1">
      <c r="B26" s="573" t="s">
        <v>642</v>
      </c>
      <c r="C26" s="1248"/>
      <c r="D26" s="462" t="s">
        <v>635</v>
      </c>
      <c r="E26" s="463" t="s">
        <v>635</v>
      </c>
      <c r="F26" s="453"/>
      <c r="G26" s="454"/>
    </row>
    <row r="27" spans="2:7" ht="21" customHeight="1">
      <c r="B27" s="573" t="s">
        <v>643</v>
      </c>
      <c r="C27" s="1250"/>
      <c r="D27" s="460"/>
      <c r="E27" s="461"/>
      <c r="F27" s="460"/>
      <c r="G27" s="454"/>
    </row>
    <row r="28" spans="2:7" ht="21" customHeight="1">
      <c r="B28" s="573" t="s">
        <v>428</v>
      </c>
      <c r="C28" s="1248"/>
      <c r="D28" s="452" t="s">
        <v>635</v>
      </c>
      <c r="E28" s="211"/>
      <c r="F28" s="453"/>
      <c r="G28" s="454"/>
    </row>
    <row r="29" spans="2:7" ht="21" customHeight="1">
      <c r="B29" s="573" t="s">
        <v>629</v>
      </c>
      <c r="C29" s="1250"/>
      <c r="D29" s="458"/>
      <c r="E29" s="214"/>
      <c r="F29" s="458"/>
      <c r="G29" s="454"/>
    </row>
    <row r="30" spans="2:7" ht="21" customHeight="1">
      <c r="B30" s="573" t="s">
        <v>367</v>
      </c>
      <c r="C30" s="1248"/>
      <c r="D30" s="452" t="s">
        <v>635</v>
      </c>
      <c r="E30" s="214"/>
      <c r="F30" s="453"/>
      <c r="G30" s="454"/>
    </row>
    <row r="31" spans="2:7" ht="21" customHeight="1">
      <c r="B31" s="573" t="s">
        <v>368</v>
      </c>
      <c r="C31" s="1250"/>
      <c r="D31" s="455"/>
      <c r="E31" s="214"/>
      <c r="F31" s="455"/>
      <c r="G31" s="454"/>
    </row>
    <row r="32" spans="2:7" ht="26.25" customHeight="1">
      <c r="B32" s="573" t="s">
        <v>332</v>
      </c>
      <c r="C32" s="594"/>
      <c r="D32" s="464"/>
      <c r="E32" s="214"/>
      <c r="F32" s="464"/>
      <c r="G32" s="465"/>
    </row>
    <row r="33" spans="2:7" ht="12" customHeight="1">
      <c r="B33" s="573" t="s">
        <v>333</v>
      </c>
      <c r="C33" s="1248"/>
      <c r="D33" s="453"/>
      <c r="E33" s="214"/>
      <c r="F33" s="453"/>
      <c r="G33" s="454"/>
    </row>
    <row r="34" spans="2:7">
      <c r="B34" s="573" t="s">
        <v>334</v>
      </c>
      <c r="C34" s="1249"/>
      <c r="D34" s="452" t="s">
        <v>635</v>
      </c>
      <c r="E34" s="212"/>
      <c r="F34" s="453"/>
      <c r="G34" s="454"/>
    </row>
    <row r="35" spans="2:7">
      <c r="B35" s="573" t="s">
        <v>335</v>
      </c>
      <c r="C35" s="1249"/>
      <c r="D35" s="455"/>
      <c r="E35" s="212"/>
      <c r="F35" s="455"/>
      <c r="G35" s="454"/>
    </row>
    <row r="36" spans="2:7">
      <c r="B36" s="573" t="s">
        <v>336</v>
      </c>
      <c r="C36" s="1250"/>
      <c r="D36" s="466"/>
      <c r="E36" s="214"/>
      <c r="F36" s="466"/>
      <c r="G36" s="454"/>
    </row>
    <row r="37" spans="2:7">
      <c r="B37" s="573" t="s">
        <v>337</v>
      </c>
      <c r="C37" s="467"/>
      <c r="D37" s="453"/>
      <c r="E37" s="213"/>
      <c r="F37" s="453"/>
      <c r="G37" s="454"/>
    </row>
    <row r="38" spans="2:7" ht="12" customHeight="1">
      <c r="B38" s="573" t="s">
        <v>359</v>
      </c>
      <c r="C38" s="1248"/>
      <c r="D38" s="453"/>
      <c r="E38" s="453"/>
      <c r="F38" s="453"/>
      <c r="G38" s="454"/>
    </row>
    <row r="39" spans="2:7">
      <c r="B39" s="443" t="s">
        <v>360</v>
      </c>
      <c r="C39" s="1250"/>
      <c r="D39" s="455"/>
      <c r="E39" s="457"/>
      <c r="F39" s="455"/>
      <c r="G39" s="454"/>
    </row>
    <row r="40" spans="2:7">
      <c r="B40" s="468"/>
      <c r="C40" s="61"/>
      <c r="D40" s="469"/>
      <c r="E40" s="469"/>
      <c r="F40" s="469"/>
      <c r="G40" s="454"/>
    </row>
    <row r="41" spans="2:7">
      <c r="F41" s="470"/>
    </row>
    <row r="42" spans="2:7">
      <c r="B42" s="571" t="s">
        <v>364</v>
      </c>
      <c r="C42" s="579"/>
      <c r="D42" s="577" t="s">
        <v>89</v>
      </c>
      <c r="E42" s="577">
        <f>F14</f>
        <v>0</v>
      </c>
      <c r="F42" s="451"/>
    </row>
    <row r="43" spans="2:7">
      <c r="B43" s="573" t="s">
        <v>618</v>
      </c>
      <c r="C43" s="246"/>
      <c r="D43" s="1028">
        <v>0.6</v>
      </c>
      <c r="E43" s="1000"/>
      <c r="F43" s="471"/>
    </row>
    <row r="44" spans="2:7">
      <c r="B44" s="573" t="s">
        <v>752</v>
      </c>
      <c r="C44" s="1261"/>
      <c r="D44" s="1028">
        <v>0.66</v>
      </c>
      <c r="E44" s="1000"/>
      <c r="F44" s="471"/>
    </row>
    <row r="45" spans="2:7">
      <c r="B45" s="578" t="s">
        <v>638</v>
      </c>
      <c r="C45" s="1262"/>
      <c r="D45" s="472"/>
      <c r="E45" s="473"/>
      <c r="F45" s="471"/>
    </row>
    <row r="46" spans="2:7">
      <c r="B46" s="573" t="s">
        <v>339</v>
      </c>
      <c r="C46" s="246"/>
      <c r="D46" s="452" t="s">
        <v>274</v>
      </c>
      <c r="E46" s="453"/>
      <c r="F46" s="454"/>
    </row>
    <row r="47" spans="2:7">
      <c r="B47" s="578" t="s">
        <v>636</v>
      </c>
      <c r="C47" s="474"/>
      <c r="D47" s="1196"/>
      <c r="E47" s="1196"/>
      <c r="F47" s="454"/>
    </row>
    <row r="48" spans="2:7">
      <c r="B48" s="578" t="s">
        <v>637</v>
      </c>
      <c r="C48" s="474"/>
      <c r="D48" s="475"/>
      <c r="E48" s="475"/>
      <c r="F48" s="454"/>
    </row>
    <row r="49" spans="2:10">
      <c r="B49" s="573" t="s">
        <v>338</v>
      </c>
      <c r="C49" s="246"/>
      <c r="D49" s="1172"/>
      <c r="E49" s="1172"/>
      <c r="F49" s="476"/>
    </row>
    <row r="52" spans="2:10" ht="24">
      <c r="B52" s="571" t="s">
        <v>361</v>
      </c>
      <c r="C52" s="579" t="s">
        <v>634</v>
      </c>
      <c r="D52" s="577" t="s">
        <v>89</v>
      </c>
      <c r="E52" s="577">
        <f>E42</f>
        <v>0</v>
      </c>
      <c r="F52" s="577" t="s">
        <v>317</v>
      </c>
      <c r="G52" s="577" t="s">
        <v>327</v>
      </c>
      <c r="H52" s="577" t="s">
        <v>328</v>
      </c>
      <c r="I52" s="577" t="s">
        <v>239</v>
      </c>
      <c r="J52" s="581" t="s">
        <v>614</v>
      </c>
    </row>
    <row r="53" spans="2:10">
      <c r="B53" s="573" t="s">
        <v>356</v>
      </c>
      <c r="C53" s="477"/>
      <c r="D53" s="223">
        <v>529</v>
      </c>
      <c r="E53" s="223">
        <v>423</v>
      </c>
      <c r="F53" s="170"/>
      <c r="G53" s="166"/>
      <c r="H53" s="167"/>
      <c r="I53" s="197"/>
      <c r="J53" s="235"/>
    </row>
    <row r="54" spans="2:10">
      <c r="B54" s="573" t="s">
        <v>357</v>
      </c>
      <c r="C54" s="1248"/>
      <c r="D54" s="223">
        <v>206</v>
      </c>
      <c r="E54" s="223">
        <v>164</v>
      </c>
      <c r="F54" s="200"/>
      <c r="G54" s="168"/>
      <c r="H54" s="169"/>
      <c r="I54" s="198"/>
      <c r="J54" s="212"/>
    </row>
    <row r="55" spans="2:10">
      <c r="B55" s="573" t="s">
        <v>619</v>
      </c>
      <c r="C55" s="1250"/>
      <c r="D55" s="222">
        <v>1290</v>
      </c>
      <c r="E55" s="583">
        <v>860</v>
      </c>
      <c r="F55" s="225"/>
      <c r="G55" s="226"/>
      <c r="H55" s="226"/>
      <c r="I55" s="226"/>
      <c r="J55" s="227"/>
    </row>
    <row r="56" spans="2:10">
      <c r="B56" s="1048" t="s">
        <v>1459</v>
      </c>
      <c r="C56" s="1251"/>
      <c r="D56" s="223">
        <v>81</v>
      </c>
      <c r="E56" s="223">
        <v>57</v>
      </c>
      <c r="F56" s="1141"/>
      <c r="G56" s="1142"/>
      <c r="H56" s="1142"/>
      <c r="I56" s="1142"/>
      <c r="J56" s="212"/>
    </row>
    <row r="57" spans="2:10">
      <c r="B57" s="1048" t="s">
        <v>1460</v>
      </c>
      <c r="C57" s="1253"/>
      <c r="D57" s="222">
        <v>2436</v>
      </c>
      <c r="E57" s="222">
        <v>1127</v>
      </c>
      <c r="F57" s="487"/>
      <c r="G57" s="294"/>
      <c r="H57" s="294"/>
      <c r="I57" s="294"/>
      <c r="J57" s="227"/>
    </row>
    <row r="58" spans="2:10">
      <c r="B58" s="573" t="s">
        <v>1457</v>
      </c>
      <c r="C58" s="1248"/>
      <c r="D58" s="223">
        <v>196</v>
      </c>
      <c r="E58" s="223">
        <v>138</v>
      </c>
      <c r="F58" s="1141"/>
      <c r="G58" s="1142"/>
      <c r="H58" s="1142"/>
      <c r="I58" s="1142"/>
      <c r="J58" s="212"/>
    </row>
    <row r="59" spans="2:10">
      <c r="B59" s="573" t="s">
        <v>1458</v>
      </c>
      <c r="C59" s="1250"/>
      <c r="D59" s="222">
        <v>5903</v>
      </c>
      <c r="E59" s="222">
        <v>2732</v>
      </c>
      <c r="F59" s="225"/>
      <c r="G59" s="226"/>
      <c r="H59" s="226"/>
      <c r="I59" s="232"/>
      <c r="J59" s="227"/>
    </row>
    <row r="60" spans="2:10">
      <c r="B60" s="573" t="s">
        <v>358</v>
      </c>
      <c r="C60" s="200"/>
      <c r="D60" s="164"/>
      <c r="E60" s="171"/>
      <c r="F60" s="201"/>
      <c r="G60" s="201"/>
      <c r="H60" s="203"/>
      <c r="I60" s="234"/>
      <c r="J60" s="227"/>
    </row>
    <row r="61" spans="2:10">
      <c r="B61" s="580" t="s">
        <v>711</v>
      </c>
      <c r="C61" s="1246"/>
      <c r="D61" s="164"/>
      <c r="E61" s="582" t="str">
        <f>IF(D61="","",D61)</f>
        <v/>
      </c>
      <c r="F61" s="199"/>
      <c r="G61" s="228"/>
      <c r="H61" s="229"/>
      <c r="I61" s="233"/>
      <c r="J61" s="227"/>
    </row>
    <row r="62" spans="2:10" ht="23.25" customHeight="1">
      <c r="B62" s="580" t="s">
        <v>712</v>
      </c>
      <c r="C62" s="1260"/>
      <c r="D62" s="1173"/>
      <c r="E62" s="1174" t="str">
        <f>IF(D62="","",D62)</f>
        <v/>
      </c>
      <c r="F62" s="295"/>
      <c r="G62" s="294"/>
      <c r="H62" s="233"/>
      <c r="I62" s="233"/>
      <c r="J62" s="227"/>
    </row>
    <row r="63" spans="2:10">
      <c r="B63" s="172" t="s">
        <v>732</v>
      </c>
      <c r="C63" s="1247"/>
      <c r="D63" s="220">
        <v>45</v>
      </c>
      <c r="E63" s="221">
        <f>D63</f>
        <v>45</v>
      </c>
      <c r="F63" s="199"/>
      <c r="G63" s="230"/>
      <c r="H63" s="231"/>
      <c r="I63" s="231"/>
      <c r="J63" s="227"/>
    </row>
    <row r="64" spans="2:10">
      <c r="B64" s="172" t="s">
        <v>433</v>
      </c>
      <c r="C64" s="246"/>
      <c r="D64" s="165"/>
      <c r="E64" s="165"/>
      <c r="F64" s="202"/>
      <c r="G64" s="201"/>
      <c r="H64" s="201"/>
      <c r="I64" s="203"/>
      <c r="J64" s="212"/>
    </row>
    <row r="65" spans="2:27">
      <c r="B65" s="573" t="s">
        <v>617</v>
      </c>
      <c r="C65" s="594"/>
      <c r="D65" s="255"/>
      <c r="E65" s="584" t="str">
        <f>IF(D65="","",D65)</f>
        <v/>
      </c>
      <c r="F65" s="478"/>
      <c r="G65" s="229"/>
      <c r="H65" s="229"/>
      <c r="I65" s="229"/>
      <c r="J65" s="227"/>
    </row>
    <row r="66" spans="2:27">
      <c r="G66" s="479"/>
      <c r="H66" s="479"/>
      <c r="I66" s="479"/>
      <c r="J66" s="479"/>
      <c r="K66" s="479"/>
    </row>
    <row r="67" spans="2:27" ht="27.75" customHeight="1">
      <c r="B67" s="1266" t="s">
        <v>1465</v>
      </c>
      <c r="C67" s="1266"/>
      <c r="D67" s="1266"/>
      <c r="E67" s="1266"/>
      <c r="F67" s="1266"/>
      <c r="G67" s="1266"/>
      <c r="H67" s="1266"/>
      <c r="I67" s="1266"/>
    </row>
    <row r="68" spans="2:27">
      <c r="B68" s="480"/>
      <c r="C68" s="480"/>
      <c r="D68" s="480"/>
      <c r="E68" s="480"/>
      <c r="F68" s="480"/>
      <c r="G68" s="480"/>
      <c r="H68" s="480"/>
      <c r="I68" s="480"/>
    </row>
    <row r="69" spans="2:27" ht="36">
      <c r="B69" s="571" t="s">
        <v>424</v>
      </c>
      <c r="C69" s="579" t="s">
        <v>634</v>
      </c>
      <c r="D69" s="577" t="s">
        <v>89</v>
      </c>
      <c r="E69" s="577">
        <f>E52</f>
        <v>0</v>
      </c>
      <c r="F69" s="577" t="s">
        <v>327</v>
      </c>
      <c r="G69" s="577" t="s">
        <v>328</v>
      </c>
      <c r="H69" s="577" t="s">
        <v>239</v>
      </c>
      <c r="I69" s="577" t="s">
        <v>432</v>
      </c>
      <c r="J69" s="577" t="s">
        <v>663</v>
      </c>
    </row>
    <row r="70" spans="2:27">
      <c r="B70" s="585" t="s">
        <v>391</v>
      </c>
      <c r="C70" s="1248"/>
      <c r="D70" s="453"/>
      <c r="E70" s="453"/>
      <c r="F70" s="166"/>
      <c r="G70" s="167"/>
      <c r="H70" s="197"/>
      <c r="I70" s="453"/>
      <c r="J70" s="166"/>
    </row>
    <row r="71" spans="2:27">
      <c r="B71" s="585" t="s">
        <v>660</v>
      </c>
      <c r="C71" s="1249"/>
      <c r="D71" s="481"/>
      <c r="E71" s="481"/>
      <c r="F71" s="482"/>
      <c r="G71" s="482"/>
      <c r="H71" s="482"/>
      <c r="I71" s="483"/>
      <c r="J71" s="484"/>
    </row>
    <row r="72" spans="2:27">
      <c r="B72" s="485" t="s">
        <v>1463</v>
      </c>
      <c r="C72" s="1249"/>
      <c r="D72" s="486"/>
      <c r="E72" s="486"/>
      <c r="F72" s="487"/>
      <c r="G72" s="483"/>
      <c r="H72" s="483"/>
      <c r="I72" s="483"/>
      <c r="J72" s="484"/>
      <c r="X72" s="564" t="str">
        <f>LEFT(RIGHT(B72,LEN(B72)-SEARCH("(",B72,1)),LEN(RIGHT(B72,LEN(B72)-SEARCH("(",B72,1)))-1)</f>
        <v>COP</v>
      </c>
      <c r="Y72" s="564" t="str">
        <f>IF(OR(X72="Ec",X72="Et",X72="AFUE"),"% "&amp;X72,X72)</f>
        <v>COP</v>
      </c>
      <c r="Z72" s="564" t="str">
        <f>IF(OR(X72="AFUE",X72="Et",X72="Ec"),100*D72&amp;Y72,D72&amp;" "&amp;Y72)</f>
        <v xml:space="preserve"> COP</v>
      </c>
      <c r="AA72" s="564" t="str">
        <f>IF(OR(X72="AFUE",X72="Et",X72="Ec"),100*E72&amp;Y72,E72&amp;" "&amp;Y72)</f>
        <v xml:space="preserve"> COP</v>
      </c>
    </row>
    <row r="73" spans="2:27">
      <c r="B73" s="586" t="s">
        <v>417</v>
      </c>
      <c r="C73" s="1250"/>
      <c r="D73" s="488"/>
      <c r="E73" s="488"/>
      <c r="F73" s="489"/>
      <c r="G73" s="489"/>
      <c r="H73" s="489"/>
      <c r="I73" s="489"/>
      <c r="J73" s="490"/>
    </row>
    <row r="74" spans="2:27">
      <c r="B74" s="586" t="s">
        <v>392</v>
      </c>
      <c r="C74" s="1248"/>
      <c r="D74" s="452" t="s">
        <v>274</v>
      </c>
      <c r="E74" s="453"/>
      <c r="F74" s="491"/>
      <c r="G74" s="492"/>
      <c r="H74" s="492"/>
      <c r="I74" s="453"/>
      <c r="J74" s="166"/>
    </row>
    <row r="75" spans="2:27">
      <c r="B75" s="586" t="s">
        <v>661</v>
      </c>
      <c r="C75" s="1249"/>
      <c r="D75" s="452" t="s">
        <v>274</v>
      </c>
      <c r="E75" s="453"/>
      <c r="F75" s="493"/>
      <c r="G75" s="482"/>
      <c r="H75" s="482"/>
      <c r="I75" s="483"/>
      <c r="J75" s="494"/>
    </row>
    <row r="76" spans="2:27">
      <c r="B76" s="485" t="s">
        <v>714</v>
      </c>
      <c r="C76" s="1249"/>
      <c r="D76" s="452" t="s">
        <v>274</v>
      </c>
      <c r="E76" s="486"/>
      <c r="F76" s="483"/>
      <c r="G76" s="483"/>
      <c r="H76" s="483"/>
      <c r="I76" s="483"/>
      <c r="J76" s="484"/>
      <c r="X76" s="564" t="str">
        <f>LEFT(RIGHT(B76,LEN(B76)-SEARCH("(",B76,1)),LEN(RIGHT(B76,LEN(B76)-SEARCH("(",B76,1)))-1)</f>
        <v>Et</v>
      </c>
      <c r="Y76" s="564" t="str">
        <f>IF(OR(X76="Ec",X76="Et",X76="AFUE"),"% "&amp;X76,X76)</f>
        <v>% Et</v>
      </c>
      <c r="Z76" s="564" t="str">
        <f>IF(D76="N/A","N/A",IF(OR(X76="AFUE",X76="Et",X76="Ec"),100*D76&amp;Y76,D76&amp;" "&amp;Y76))</f>
        <v>N/A</v>
      </c>
      <c r="AA76" s="564" t="str">
        <f>IF(E76="N/A","N/A",IF(OR(X76="AFUE",X76="Et",X76="Ec"),100*E76&amp;Y76,E76&amp;" "&amp;Y76))</f>
        <v>0% Et</v>
      </c>
    </row>
    <row r="77" spans="2:27">
      <c r="B77" s="586" t="s">
        <v>418</v>
      </c>
      <c r="C77" s="1250"/>
      <c r="D77" s="1147" t="s">
        <v>274</v>
      </c>
      <c r="E77" s="488"/>
      <c r="F77" s="489"/>
      <c r="G77" s="489"/>
      <c r="H77" s="489"/>
      <c r="I77" s="489"/>
      <c r="J77" s="490"/>
    </row>
    <row r="78" spans="2:27">
      <c r="B78" s="586" t="s">
        <v>393</v>
      </c>
      <c r="C78" s="1248"/>
      <c r="D78" s="452" t="s">
        <v>274</v>
      </c>
      <c r="E78" s="453"/>
      <c r="F78" s="495"/>
      <c r="G78" s="453"/>
      <c r="H78" s="453"/>
      <c r="I78" s="453"/>
      <c r="J78" s="496" t="s">
        <v>165</v>
      </c>
    </row>
    <row r="79" spans="2:27">
      <c r="B79" s="586" t="s">
        <v>662</v>
      </c>
      <c r="C79" s="1249"/>
      <c r="D79" s="1148" t="s">
        <v>274</v>
      </c>
      <c r="E79" s="481"/>
      <c r="F79" s="493"/>
      <c r="G79" s="482"/>
      <c r="H79" s="482"/>
      <c r="I79" s="483"/>
      <c r="J79" s="494"/>
    </row>
    <row r="80" spans="2:27">
      <c r="B80" s="485" t="s">
        <v>659</v>
      </c>
      <c r="C80" s="1249"/>
      <c r="D80" s="452" t="s">
        <v>274</v>
      </c>
      <c r="E80" s="486"/>
      <c r="F80" s="483"/>
      <c r="G80" s="483"/>
      <c r="H80" s="483"/>
      <c r="I80" s="483"/>
      <c r="J80" s="484"/>
      <c r="X80" s="564" t="str">
        <f>LEFT(RIGHT(B80,LEN(B80)-SEARCH("(",B80,1)),LEN(RIGHT(B80,LEN(B80)-SEARCH("(",B80,1)))-1)</f>
        <v>Et</v>
      </c>
      <c r="Y80" s="564" t="str">
        <f>IF(OR(X80="Ec",X80="Et",X80="AFUE"),"% "&amp;X80,X80)</f>
        <v>% Et</v>
      </c>
      <c r="Z80" s="564" t="str">
        <f>IF(D80="N/A","N/A",IF(OR(X80="AFUE",X80="Et",X80="Ec"),100*D80&amp;Y80,D80&amp;" "&amp;Y80))</f>
        <v>N/A</v>
      </c>
      <c r="AA80" s="564" t="str">
        <f>IF(E80="N/A","N/A",IF(OR(X80="AFUE",X80="Et",X80="Ec"),100*E80&amp;Y80,E80&amp;" "&amp;Y80))</f>
        <v>0% Et</v>
      </c>
    </row>
    <row r="81" spans="2:27">
      <c r="B81" s="586" t="s">
        <v>419</v>
      </c>
      <c r="C81" s="1250"/>
      <c r="D81" s="1147" t="s">
        <v>274</v>
      </c>
      <c r="E81" s="488"/>
      <c r="F81" s="489"/>
      <c r="G81" s="489"/>
      <c r="H81" s="489"/>
      <c r="I81" s="489"/>
      <c r="J81" s="490"/>
    </row>
    <row r="83" spans="2:27" ht="24.75" customHeight="1">
      <c r="B83" s="1266" t="s">
        <v>1466</v>
      </c>
      <c r="C83" s="1266"/>
      <c r="D83" s="1266"/>
      <c r="E83" s="1266"/>
      <c r="F83" s="1266"/>
      <c r="G83" s="1266"/>
      <c r="H83" s="1266"/>
      <c r="I83" s="1266"/>
      <c r="J83" s="497"/>
    </row>
    <row r="85" spans="2:27" ht="24">
      <c r="B85" s="588" t="s">
        <v>425</v>
      </c>
      <c r="C85" s="579" t="s">
        <v>634</v>
      </c>
      <c r="D85" s="577" t="s">
        <v>89</v>
      </c>
      <c r="E85" s="577">
        <f>E100</f>
        <v>0</v>
      </c>
      <c r="F85" s="577" t="s">
        <v>327</v>
      </c>
      <c r="G85" s="577" t="s">
        <v>328</v>
      </c>
      <c r="H85" s="577" t="s">
        <v>239</v>
      </c>
      <c r="I85" s="577" t="s">
        <v>432</v>
      </c>
    </row>
    <row r="86" spans="2:27">
      <c r="B86" s="586" t="s">
        <v>421</v>
      </c>
      <c r="C86" s="1248"/>
      <c r="D86" s="453"/>
      <c r="E86" s="453"/>
      <c r="F86" s="166"/>
      <c r="G86" s="498"/>
      <c r="H86" s="167"/>
      <c r="I86" s="499"/>
    </row>
    <row r="87" spans="2:27">
      <c r="B87" s="589" t="s">
        <v>669</v>
      </c>
      <c r="C87" s="1249"/>
      <c r="D87" s="459"/>
      <c r="E87" s="459"/>
      <c r="F87" s="493"/>
      <c r="G87" s="482"/>
      <c r="H87" s="482"/>
      <c r="I87" s="494"/>
    </row>
    <row r="88" spans="2:27">
      <c r="B88" s="485" t="s">
        <v>1464</v>
      </c>
      <c r="C88" s="1249"/>
      <c r="D88" s="1168"/>
      <c r="E88" s="1168"/>
      <c r="F88" s="487"/>
      <c r="G88" s="483"/>
      <c r="H88" s="483"/>
      <c r="I88" s="484"/>
      <c r="Y88" s="564" t="str">
        <f>LEFT(RIGHT(B88,LEN(B88)-SEARCH("(",B88,1)),LEN(RIGHT(B88,LEN(B88)-SEARCH("(",B88,1)))-1)</f>
        <v>EER</v>
      </c>
      <c r="Z88" s="564" t="str">
        <f>IF(OR(X88="AFUE",X88="Et",X88="Ec"),100*D88&amp;Y88,D88&amp;" "&amp;Y88)</f>
        <v xml:space="preserve"> EER</v>
      </c>
      <c r="AA88" s="564" t="str">
        <f>IF(OR(X88="AFUE",X88="Et",X88="Ec"),100*E88&amp;Y88,E88&amp;" "&amp;Y88)</f>
        <v xml:space="preserve"> EER</v>
      </c>
    </row>
    <row r="89" spans="2:27">
      <c r="B89" s="586" t="s">
        <v>420</v>
      </c>
      <c r="C89" s="1250"/>
      <c r="D89" s="500"/>
      <c r="E89" s="500"/>
      <c r="F89" s="501"/>
      <c r="G89" s="489"/>
      <c r="H89" s="489"/>
      <c r="I89" s="490"/>
    </row>
    <row r="90" spans="2:27">
      <c r="B90" s="586" t="s">
        <v>422</v>
      </c>
      <c r="C90" s="1248"/>
      <c r="D90" s="1149" t="s">
        <v>274</v>
      </c>
      <c r="E90" s="453"/>
      <c r="F90" s="502"/>
      <c r="G90" s="503"/>
      <c r="H90" s="504"/>
      <c r="I90" s="169"/>
    </row>
    <row r="91" spans="2:27">
      <c r="B91" s="589" t="s">
        <v>670</v>
      </c>
      <c r="C91" s="1249"/>
      <c r="D91" s="1149" t="s">
        <v>274</v>
      </c>
      <c r="E91" s="459"/>
      <c r="F91" s="478"/>
      <c r="G91" s="505"/>
      <c r="H91" s="505"/>
      <c r="I91" s="506"/>
    </row>
    <row r="92" spans="2:27">
      <c r="B92" s="485" t="s">
        <v>1293</v>
      </c>
      <c r="C92" s="1249"/>
      <c r="D92" s="1169" t="s">
        <v>274</v>
      </c>
      <c r="E92" s="1168"/>
      <c r="F92" s="507"/>
      <c r="G92" s="483"/>
      <c r="H92" s="483"/>
      <c r="I92" s="484"/>
      <c r="Y92" s="564" t="str">
        <f>LEFT(RIGHT(B92,LEN(B92)-SEARCH("(",B92,1)),LEN(RIGHT(B92,LEN(B92)-SEARCH("(",B92,1)))-1)</f>
        <v>EER</v>
      </c>
      <c r="Z92" s="564" t="str">
        <f>IF(OR(X92="AFUE",X92="Et",X92="Ec"),100*D92&amp;Y92,D92&amp;" "&amp;Y92)</f>
        <v>N/A EER</v>
      </c>
      <c r="AA92" s="564" t="str">
        <f>IF(OR(X92="AFUE",X92="Et",X92="Ec"),100*E92&amp;Y92,E92&amp;" "&amp;Y92)</f>
        <v xml:space="preserve"> EER</v>
      </c>
    </row>
    <row r="93" spans="2:27">
      <c r="B93" s="586" t="s">
        <v>423</v>
      </c>
      <c r="C93" s="1250"/>
      <c r="D93" s="452" t="s">
        <v>274</v>
      </c>
      <c r="E93" s="500"/>
      <c r="F93" s="501"/>
      <c r="G93" s="508"/>
      <c r="H93" s="508"/>
      <c r="I93" s="509"/>
    </row>
    <row r="94" spans="2:27">
      <c r="B94" s="586" t="s">
        <v>1089</v>
      </c>
      <c r="C94" s="1248"/>
      <c r="D94" s="452" t="s">
        <v>274</v>
      </c>
      <c r="E94" s="453"/>
      <c r="F94" s="502"/>
      <c r="G94" s="503"/>
      <c r="H94" s="504"/>
      <c r="I94" s="169"/>
    </row>
    <row r="95" spans="2:27">
      <c r="B95" s="589" t="s">
        <v>1090</v>
      </c>
      <c r="C95" s="1249"/>
      <c r="D95" s="1149" t="s">
        <v>274</v>
      </c>
      <c r="E95" s="459"/>
      <c r="F95" s="478"/>
      <c r="G95" s="505"/>
      <c r="H95" s="505"/>
      <c r="I95" s="506"/>
    </row>
    <row r="96" spans="2:27">
      <c r="B96" s="485" t="s">
        <v>1294</v>
      </c>
      <c r="C96" s="1249"/>
      <c r="D96" s="1170" t="s">
        <v>274</v>
      </c>
      <c r="E96" s="1168"/>
      <c r="F96" s="507"/>
      <c r="G96" s="483"/>
      <c r="H96" s="483"/>
      <c r="I96" s="484"/>
      <c r="Y96" s="564" t="str">
        <f>LEFT(RIGHT(B96,LEN(B96)-SEARCH("(",B96,1)),LEN(RIGHT(B96,LEN(B96)-SEARCH("(",B96,1)))-1)</f>
        <v>EER</v>
      </c>
      <c r="Z96" s="564" t="str">
        <f>IF(OR(X96="AFUE",X96="Et",X96="Ec"),100*D96&amp;Y96,D96&amp;" "&amp;Y96)</f>
        <v>N/A EER</v>
      </c>
      <c r="AA96" s="564" t="str">
        <f>IF(OR(X96="AFUE",X96="Et",X96="Ec"),100*E96&amp;Y96,E96&amp;" "&amp;Y96)</f>
        <v xml:space="preserve"> EER</v>
      </c>
    </row>
    <row r="97" spans="2:9">
      <c r="B97" s="586" t="s">
        <v>1091</v>
      </c>
      <c r="C97" s="1250"/>
      <c r="D97" s="452" t="s">
        <v>274</v>
      </c>
      <c r="E97" s="500"/>
      <c r="F97" s="501"/>
      <c r="G97" s="508"/>
      <c r="H97" s="508"/>
      <c r="I97" s="509"/>
    </row>
    <row r="100" spans="2:9" ht="24">
      <c r="B100" s="571" t="s">
        <v>666</v>
      </c>
      <c r="C100" s="579" t="s">
        <v>634</v>
      </c>
      <c r="D100" s="577" t="s">
        <v>89</v>
      </c>
      <c r="E100" s="577">
        <f>E69</f>
        <v>0</v>
      </c>
      <c r="F100" s="577" t="s">
        <v>317</v>
      </c>
      <c r="G100" s="577" t="s">
        <v>327</v>
      </c>
      <c r="H100" s="577" t="s">
        <v>328</v>
      </c>
    </row>
    <row r="101" spans="2:9">
      <c r="B101" s="586" t="s">
        <v>344</v>
      </c>
      <c r="C101" s="1248"/>
      <c r="D101" s="1211">
        <v>180</v>
      </c>
      <c r="E101" s="510"/>
      <c r="F101" s="511"/>
      <c r="G101" s="512"/>
      <c r="H101" s="513"/>
    </row>
    <row r="102" spans="2:9">
      <c r="B102" s="586" t="s">
        <v>345</v>
      </c>
      <c r="C102" s="1250"/>
      <c r="D102" s="1211">
        <v>130</v>
      </c>
      <c r="E102" s="510"/>
      <c r="F102" s="514"/>
      <c r="G102" s="515"/>
      <c r="H102" s="516"/>
    </row>
    <row r="103" spans="2:9">
      <c r="B103" s="586" t="s">
        <v>416</v>
      </c>
      <c r="C103" s="1248"/>
      <c r="D103" s="1212" t="s">
        <v>413</v>
      </c>
      <c r="E103" s="517"/>
      <c r="F103" s="514"/>
      <c r="G103" s="515"/>
      <c r="H103" s="516"/>
    </row>
    <row r="104" spans="2:9" ht="24">
      <c r="B104" s="589" t="s">
        <v>672</v>
      </c>
      <c r="C104" s="1250"/>
      <c r="D104" s="1213" t="s">
        <v>673</v>
      </c>
      <c r="E104" s="518"/>
      <c r="F104" s="514"/>
      <c r="G104" s="515"/>
      <c r="H104" s="516"/>
    </row>
    <row r="105" spans="2:9">
      <c r="B105" s="589" t="s">
        <v>671</v>
      </c>
      <c r="C105" s="593"/>
      <c r="D105" s="1214" t="s">
        <v>371</v>
      </c>
      <c r="E105" s="519"/>
      <c r="F105" s="514"/>
      <c r="G105" s="515"/>
      <c r="H105" s="516"/>
    </row>
    <row r="106" spans="2:9">
      <c r="B106" s="586" t="s">
        <v>726</v>
      </c>
      <c r="C106" s="593"/>
      <c r="D106" s="1213" t="s">
        <v>664</v>
      </c>
      <c r="E106" s="1150" t="s">
        <v>664</v>
      </c>
      <c r="F106" s="514"/>
      <c r="G106" s="515"/>
      <c r="H106" s="516"/>
    </row>
    <row r="107" spans="2:9">
      <c r="B107" s="586" t="s">
        <v>731</v>
      </c>
      <c r="C107" s="593"/>
      <c r="D107" s="1215" t="s">
        <v>724</v>
      </c>
      <c r="E107" s="1151" t="s">
        <v>724</v>
      </c>
      <c r="F107" s="520"/>
      <c r="G107" s="515"/>
      <c r="H107" s="516"/>
    </row>
    <row r="108" spans="2:9">
      <c r="B108" s="586" t="s">
        <v>729</v>
      </c>
      <c r="C108" s="593"/>
      <c r="D108" s="1213" t="s">
        <v>665</v>
      </c>
      <c r="E108" s="1150" t="s">
        <v>665</v>
      </c>
      <c r="F108" s="514"/>
      <c r="G108" s="515"/>
      <c r="H108" s="516"/>
    </row>
    <row r="109" spans="2:9">
      <c r="B109" s="586" t="s">
        <v>727</v>
      </c>
      <c r="C109" s="593"/>
      <c r="D109" s="1213" t="s">
        <v>668</v>
      </c>
      <c r="E109" s="1150" t="s">
        <v>668</v>
      </c>
      <c r="F109" s="514"/>
      <c r="G109" s="515"/>
      <c r="H109" s="516"/>
    </row>
    <row r="110" spans="2:9">
      <c r="B110" s="586" t="s">
        <v>730</v>
      </c>
      <c r="C110" s="593"/>
      <c r="D110" s="1215" t="s">
        <v>725</v>
      </c>
      <c r="E110" s="1151" t="s">
        <v>725</v>
      </c>
      <c r="F110" s="520"/>
      <c r="G110" s="515"/>
      <c r="H110" s="516"/>
    </row>
    <row r="111" spans="2:9">
      <c r="B111" s="586" t="s">
        <v>728</v>
      </c>
      <c r="C111" s="593"/>
      <c r="D111" s="1213" t="s">
        <v>667</v>
      </c>
      <c r="E111" s="1150" t="s">
        <v>667</v>
      </c>
      <c r="F111" s="514"/>
      <c r="G111" s="515"/>
      <c r="H111" s="516"/>
    </row>
    <row r="112" spans="2:9">
      <c r="B112" s="590" t="s">
        <v>646</v>
      </c>
      <c r="C112" s="1248"/>
      <c r="D112" s="1217" t="s">
        <v>164</v>
      </c>
      <c r="E112" s="517"/>
      <c r="F112" s="521"/>
      <c r="G112" s="521"/>
      <c r="H112" s="521"/>
    </row>
    <row r="113" spans="2:26">
      <c r="B113" s="586" t="s">
        <v>403</v>
      </c>
      <c r="C113" s="1249"/>
      <c r="D113" s="1218">
        <v>19</v>
      </c>
      <c r="E113" s="522"/>
      <c r="F113" s="523"/>
      <c r="G113" s="524"/>
      <c r="H113" s="525"/>
    </row>
    <row r="114" spans="2:26">
      <c r="B114" s="586" t="s">
        <v>399</v>
      </c>
      <c r="C114" s="1250"/>
      <c r="D114" s="1219" t="s">
        <v>282</v>
      </c>
      <c r="E114" s="526"/>
      <c r="F114" s="523"/>
      <c r="G114" s="524"/>
      <c r="H114" s="525"/>
    </row>
    <row r="115" spans="2:26">
      <c r="B115" s="586" t="s">
        <v>342</v>
      </c>
      <c r="C115" s="1248"/>
      <c r="D115" s="1212" t="s">
        <v>394</v>
      </c>
      <c r="E115" s="517"/>
      <c r="F115" s="523"/>
      <c r="G115" s="524"/>
      <c r="H115" s="525"/>
    </row>
    <row r="116" spans="2:26">
      <c r="B116" s="586" t="s">
        <v>343</v>
      </c>
      <c r="C116" s="1250"/>
      <c r="D116" s="1220"/>
      <c r="E116" s="527"/>
      <c r="F116" s="523"/>
      <c r="G116" s="524"/>
      <c r="H116" s="525"/>
    </row>
    <row r="117" spans="2:26">
      <c r="B117" s="589" t="s">
        <v>676</v>
      </c>
      <c r="C117" s="528"/>
      <c r="D117" s="1171" t="s">
        <v>408</v>
      </c>
      <c r="E117" s="529"/>
      <c r="F117" s="523"/>
      <c r="G117" s="524"/>
      <c r="H117" s="525"/>
    </row>
    <row r="118" spans="2:26">
      <c r="B118" s="589" t="s">
        <v>677</v>
      </c>
      <c r="C118" s="528"/>
      <c r="D118" s="1216">
        <v>2.9999999999999997E-4</v>
      </c>
      <c r="E118" s="530"/>
      <c r="F118" s="523"/>
      <c r="G118" s="524"/>
      <c r="H118" s="525"/>
    </row>
    <row r="119" spans="2:26">
      <c r="B119" s="586" t="s">
        <v>674</v>
      </c>
      <c r="C119" s="467"/>
      <c r="D119" s="1212" t="s">
        <v>408</v>
      </c>
      <c r="E119" s="517"/>
      <c r="F119" s="531"/>
      <c r="G119" s="532"/>
      <c r="H119" s="533"/>
      <c r="I119" s="534"/>
    </row>
    <row r="120" spans="2:26">
      <c r="B120" s="444" t="s">
        <v>675</v>
      </c>
      <c r="C120" s="467"/>
      <c r="D120" s="1216">
        <v>2.9999999999999997E-4</v>
      </c>
      <c r="E120" s="530"/>
      <c r="F120" s="535"/>
      <c r="G120" s="532"/>
      <c r="H120" s="533"/>
      <c r="I120" s="534"/>
    </row>
    <row r="121" spans="2:26">
      <c r="D121" s="564"/>
    </row>
    <row r="122" spans="2:26" ht="24">
      <c r="B122" s="588" t="s">
        <v>426</v>
      </c>
      <c r="C122" s="579" t="s">
        <v>634</v>
      </c>
      <c r="D122" s="577" t="s">
        <v>89</v>
      </c>
      <c r="E122" s="577">
        <f>E85</f>
        <v>0</v>
      </c>
      <c r="F122" s="577" t="s">
        <v>327</v>
      </c>
      <c r="G122" s="577" t="s">
        <v>328</v>
      </c>
      <c r="H122" s="571" t="s">
        <v>239</v>
      </c>
      <c r="I122" s="577" t="s">
        <v>656</v>
      </c>
    </row>
    <row r="123" spans="2:26">
      <c r="B123" s="586" t="s">
        <v>340</v>
      </c>
      <c r="C123" s="1248"/>
      <c r="D123" s="166"/>
      <c r="E123" s="166"/>
      <c r="F123" s="166"/>
      <c r="G123" s="167"/>
      <c r="H123" s="167"/>
      <c r="I123" s="167"/>
    </row>
    <row r="124" spans="2:26">
      <c r="B124" s="485" t="s">
        <v>655</v>
      </c>
      <c r="C124" s="1249"/>
      <c r="D124" s="536"/>
      <c r="E124" s="536"/>
      <c r="F124" s="493"/>
      <c r="G124" s="482"/>
      <c r="H124" s="482"/>
      <c r="I124" s="494"/>
      <c r="Y124" s="564" t="str">
        <f>LEFT(RIGHT(B124,LEN(B124)-SEARCH("(",B124,1)),LEN(RIGHT(B124,LEN(B124)-SEARCH("(",B124,1)))-1)</f>
        <v>Et</v>
      </c>
      <c r="Z124" s="564" t="str">
        <f>IF(OR(Y124="Ec",Y124="Et",Y124="AFUE"),"% "&amp;Y124,Y124)</f>
        <v>% Et</v>
      </c>
    </row>
    <row r="125" spans="2:26">
      <c r="B125" s="591" t="s">
        <v>625</v>
      </c>
      <c r="C125" s="1249"/>
      <c r="D125" s="537"/>
      <c r="E125" s="537"/>
      <c r="F125" s="487"/>
      <c r="G125" s="483"/>
      <c r="H125" s="483"/>
      <c r="I125" s="484"/>
    </row>
    <row r="126" spans="2:26">
      <c r="B126" s="586" t="s">
        <v>341</v>
      </c>
      <c r="C126" s="1249"/>
      <c r="D126" s="538"/>
      <c r="E126" s="539"/>
      <c r="F126" s="487"/>
      <c r="G126" s="483"/>
      <c r="H126" s="483"/>
      <c r="I126" s="484"/>
    </row>
    <row r="127" spans="2:26">
      <c r="B127" s="586" t="s">
        <v>620</v>
      </c>
      <c r="C127" s="1250"/>
      <c r="D127" s="540"/>
      <c r="E127" s="540"/>
      <c r="F127" s="487"/>
      <c r="G127" s="483"/>
      <c r="H127" s="483"/>
      <c r="I127" s="484"/>
    </row>
    <row r="128" spans="2:26">
      <c r="B128" s="586" t="s">
        <v>346</v>
      </c>
      <c r="C128" s="467"/>
      <c r="D128" s="1152">
        <v>12.5</v>
      </c>
      <c r="E128" s="541"/>
      <c r="F128" s="487"/>
      <c r="G128" s="483"/>
      <c r="H128" s="483"/>
      <c r="I128" s="484"/>
    </row>
    <row r="129" spans="2:11" ht="12" customHeight="1">
      <c r="B129" s="590" t="s">
        <v>647</v>
      </c>
      <c r="C129" s="1248"/>
      <c r="D129" s="1148" t="str">
        <f>IF(E129="","",E129)</f>
        <v/>
      </c>
      <c r="E129" s="481"/>
      <c r="F129" s="542"/>
      <c r="G129" s="542"/>
      <c r="H129" s="483"/>
      <c r="I129" s="484"/>
    </row>
    <row r="130" spans="2:11" ht="12.75" customHeight="1">
      <c r="B130" s="590" t="s">
        <v>651</v>
      </c>
      <c r="C130" s="1249"/>
      <c r="D130" s="481"/>
      <c r="E130" s="543"/>
      <c r="F130" s="487"/>
      <c r="G130" s="483"/>
      <c r="H130" s="483"/>
      <c r="I130" s="484"/>
    </row>
    <row r="131" spans="2:11">
      <c r="B131" s="586" t="s">
        <v>657</v>
      </c>
      <c r="C131" s="1249"/>
      <c r="D131" s="544"/>
      <c r="E131" s="545"/>
      <c r="F131" s="487"/>
      <c r="G131" s="483"/>
      <c r="H131" s="483"/>
      <c r="I131" s="484"/>
    </row>
    <row r="132" spans="2:11">
      <c r="B132" s="586" t="s">
        <v>648</v>
      </c>
      <c r="C132" s="1250"/>
      <c r="D132" s="481"/>
      <c r="E132" s="166"/>
      <c r="F132" s="487"/>
      <c r="G132" s="483"/>
      <c r="H132" s="483"/>
      <c r="I132" s="484"/>
    </row>
    <row r="133" spans="2:11">
      <c r="B133" s="586" t="s">
        <v>649</v>
      </c>
      <c r="C133" s="1248"/>
      <c r="D133" s="481"/>
      <c r="E133" s="543"/>
      <c r="F133" s="487"/>
      <c r="G133" s="483"/>
      <c r="H133" s="483"/>
      <c r="I133" s="484"/>
    </row>
    <row r="134" spans="2:11">
      <c r="B134" s="586" t="s">
        <v>650</v>
      </c>
      <c r="C134" s="1250"/>
      <c r="D134" s="546"/>
      <c r="E134" s="546"/>
      <c r="F134" s="487"/>
      <c r="G134" s="483"/>
      <c r="H134" s="483"/>
      <c r="I134" s="484"/>
    </row>
    <row r="135" spans="2:11">
      <c r="B135" s="586" t="s">
        <v>621</v>
      </c>
      <c r="C135" s="1248"/>
      <c r="D135" s="1153">
        <v>2.5</v>
      </c>
      <c r="E135" s="547"/>
      <c r="F135" s="487"/>
      <c r="G135" s="483"/>
      <c r="H135" s="483"/>
      <c r="I135" s="484"/>
    </row>
    <row r="136" spans="2:11">
      <c r="B136" s="586" t="s">
        <v>622</v>
      </c>
      <c r="C136" s="1249"/>
      <c r="D136" s="1153">
        <v>2.5</v>
      </c>
      <c r="E136" s="547"/>
      <c r="F136" s="487"/>
      <c r="G136" s="483"/>
      <c r="H136" s="483"/>
      <c r="I136" s="484"/>
    </row>
    <row r="137" spans="2:11">
      <c r="B137" s="586" t="s">
        <v>623</v>
      </c>
      <c r="C137" s="1250"/>
      <c r="D137" s="1153">
        <v>2.5</v>
      </c>
      <c r="E137" s="547"/>
      <c r="F137" s="487"/>
      <c r="G137" s="483"/>
      <c r="H137" s="483"/>
      <c r="I137" s="484"/>
    </row>
    <row r="138" spans="2:11">
      <c r="B138" s="586" t="s">
        <v>624</v>
      </c>
      <c r="C138" s="1246"/>
      <c r="D138" s="1154">
        <v>1.6</v>
      </c>
      <c r="E138" s="548"/>
      <c r="F138" s="487"/>
      <c r="G138" s="483"/>
      <c r="H138" s="483"/>
      <c r="I138" s="484"/>
    </row>
    <row r="139" spans="2:11">
      <c r="B139" s="586" t="s">
        <v>658</v>
      </c>
      <c r="C139" s="1247"/>
      <c r="D139" s="549"/>
      <c r="E139" s="549"/>
      <c r="F139" s="501"/>
      <c r="G139" s="489"/>
      <c r="H139" s="489"/>
      <c r="I139" s="490"/>
    </row>
    <row r="141" spans="2:11" ht="24">
      <c r="B141" s="588" t="s">
        <v>430</v>
      </c>
      <c r="C141" s="1031" t="s">
        <v>634</v>
      </c>
      <c r="D141" s="577" t="s">
        <v>89</v>
      </c>
      <c r="E141" s="577">
        <f>E122</f>
        <v>0</v>
      </c>
      <c r="F141" s="577" t="s">
        <v>317</v>
      </c>
      <c r="G141" s="577" t="s">
        <v>327</v>
      </c>
      <c r="H141" s="577" t="s">
        <v>328</v>
      </c>
      <c r="I141" s="571" t="s">
        <v>239</v>
      </c>
      <c r="J141" s="571" t="s">
        <v>1330</v>
      </c>
      <c r="K141" s="571" t="s">
        <v>1271</v>
      </c>
    </row>
    <row r="142" spans="2:11">
      <c r="B142" s="1029" t="s">
        <v>1328</v>
      </c>
      <c r="C142" s="1254"/>
      <c r="D142" s="1155">
        <f>TRUNC('Infiltration&amp;Ventilation'!D38,1)</f>
        <v>20</v>
      </c>
      <c r="E142" s="1155">
        <f>TRUNC('Infiltration&amp;Ventilation'!D37,1)</f>
        <v>0</v>
      </c>
      <c r="F142" s="166"/>
      <c r="G142" s="166"/>
      <c r="H142" s="167"/>
      <c r="I142" s="551"/>
      <c r="J142" s="587">
        <f>'Infiltration&amp;Ventilation'!D35</f>
        <v>0</v>
      </c>
      <c r="K142" s="587">
        <f>'Infiltration&amp;Ventilation'!D36</f>
        <v>0</v>
      </c>
    </row>
    <row r="143" spans="2:11">
      <c r="B143" s="1029" t="s">
        <v>1329</v>
      </c>
      <c r="C143" s="1254"/>
      <c r="D143" s="1155">
        <f>TRUNC('Infiltration&amp;Ventilation'!C38,1)</f>
        <v>0</v>
      </c>
      <c r="E143" s="1155">
        <f>TRUNC('Infiltration&amp;Ventilation'!C37,1)</f>
        <v>0</v>
      </c>
      <c r="F143" s="453"/>
      <c r="G143" s="453"/>
      <c r="H143" s="167"/>
      <c r="I143" s="551"/>
      <c r="J143" s="587">
        <f>'Infiltration&amp;Ventilation'!C35</f>
        <v>0</v>
      </c>
      <c r="K143" s="587">
        <f>'Infiltration&amp;Ventilation'!C36</f>
        <v>0</v>
      </c>
    </row>
    <row r="144" spans="2:11">
      <c r="B144" s="1036" t="s">
        <v>1365</v>
      </c>
      <c r="C144" s="1040"/>
      <c r="D144" s="1155">
        <f>'Infiltration&amp;Ventilation'!C57</f>
        <v>0</v>
      </c>
      <c r="E144" s="1155">
        <f>'Infiltration&amp;Ventilation'!D57</f>
        <v>0</v>
      </c>
      <c r="F144" s="487"/>
      <c r="G144" s="483"/>
      <c r="H144" s="483"/>
      <c r="I144" s="483"/>
      <c r="J144" s="483"/>
      <c r="K144" s="484"/>
    </row>
    <row r="145" spans="2:11">
      <c r="B145" s="1030" t="s">
        <v>1322</v>
      </c>
      <c r="C145" s="1034"/>
      <c r="D145" s="1156">
        <f>TRUNC('Infiltration&amp;Ventilation'!C56,1)</f>
        <v>0</v>
      </c>
      <c r="E145" s="1156">
        <f>TRUNC('Infiltration&amp;Ventilation'!D56,1)</f>
        <v>0</v>
      </c>
      <c r="F145" s="487"/>
      <c r="G145" s="483"/>
      <c r="H145" s="483"/>
      <c r="I145" s="483"/>
      <c r="J145" s="483"/>
      <c r="K145" s="484"/>
    </row>
    <row r="146" spans="2:11" ht="24">
      <c r="B146" s="1029" t="s">
        <v>1325</v>
      </c>
      <c r="C146" s="1040"/>
      <c r="D146" s="1157">
        <v>0</v>
      </c>
      <c r="E146" s="1158">
        <f>TRUNC('Infiltration&amp;Ventilation'!D58,2)</f>
        <v>0</v>
      </c>
      <c r="F146" s="487"/>
      <c r="G146" s="483"/>
      <c r="H146" s="483"/>
      <c r="I146" s="483"/>
      <c r="J146" s="483"/>
      <c r="K146" s="484"/>
    </row>
    <row r="147" spans="2:11">
      <c r="B147" s="1029" t="s">
        <v>1327</v>
      </c>
      <c r="C147" s="1032"/>
      <c r="D147" s="1155">
        <f>TRUNC('Infiltration&amp;Ventilation'!C59,1)</f>
        <v>0</v>
      </c>
      <c r="E147" s="1155">
        <f>TRUNC('Infiltration&amp;Ventilation'!D59,1)</f>
        <v>0</v>
      </c>
      <c r="F147" s="487"/>
      <c r="G147" s="483"/>
      <c r="H147" s="483"/>
      <c r="I147" s="483"/>
      <c r="J147" s="483"/>
      <c r="K147" s="484"/>
    </row>
    <row r="148" spans="2:11">
      <c r="B148" s="1029" t="s">
        <v>1359</v>
      </c>
      <c r="C148" s="1040"/>
      <c r="D148" s="1159">
        <f>'Infiltration&amp;Ventilation'!C60</f>
        <v>0</v>
      </c>
      <c r="E148" s="1159">
        <f>'Infiltration&amp;Ventilation'!D60</f>
        <v>0</v>
      </c>
      <c r="F148" s="487"/>
      <c r="G148" s="483"/>
      <c r="H148" s="483"/>
      <c r="I148" s="483"/>
      <c r="J148" s="483"/>
      <c r="K148" s="484"/>
    </row>
    <row r="149" spans="2:11">
      <c r="B149" s="1029" t="s">
        <v>1326</v>
      </c>
      <c r="C149" s="1032"/>
      <c r="D149" s="1155">
        <f>TRUNC('Infiltration&amp;Ventilation'!C61,1)</f>
        <v>0</v>
      </c>
      <c r="E149" s="1155">
        <f>TRUNC('Infiltration&amp;Ventilation'!D61,1)</f>
        <v>0</v>
      </c>
      <c r="F149" s="487"/>
      <c r="G149" s="483"/>
      <c r="H149" s="483"/>
      <c r="I149" s="483"/>
      <c r="J149" s="483"/>
      <c r="K149" s="484"/>
    </row>
    <row r="150" spans="2:11">
      <c r="B150" s="1029" t="s">
        <v>1323</v>
      </c>
      <c r="C150" s="1040"/>
      <c r="D150" s="1159">
        <f>'Infiltration&amp;Ventilation'!C62</f>
        <v>0</v>
      </c>
      <c r="E150" s="1159">
        <f>'Infiltration&amp;Ventilation'!D62</f>
        <v>0</v>
      </c>
      <c r="F150" s="487"/>
      <c r="G150" s="483"/>
      <c r="H150" s="483"/>
      <c r="I150" s="483"/>
      <c r="J150" s="483"/>
      <c r="K150" s="484"/>
    </row>
    <row r="151" spans="2:11">
      <c r="B151" s="1029" t="s">
        <v>1324</v>
      </c>
      <c r="C151" s="1033"/>
      <c r="D151" s="1160" t="str">
        <f>IF(E151="","",E151)</f>
        <v/>
      </c>
      <c r="E151" s="486"/>
      <c r="F151" s="507"/>
      <c r="G151" s="483"/>
      <c r="H151" s="483"/>
      <c r="I151" s="483"/>
      <c r="J151" s="483"/>
      <c r="K151" s="484"/>
    </row>
    <row r="152" spans="2:11">
      <c r="B152" s="1029" t="s">
        <v>1360</v>
      </c>
      <c r="C152" s="1040"/>
      <c r="D152" s="1161">
        <f>'Infiltration&amp;Ventilation'!C63</f>
        <v>0</v>
      </c>
      <c r="E152" s="1161">
        <f>'Infiltration&amp;Ventilation'!D63</f>
        <v>0</v>
      </c>
      <c r="F152" s="487"/>
      <c r="G152" s="483"/>
      <c r="H152" s="483"/>
      <c r="I152" s="483"/>
      <c r="J152" s="483"/>
      <c r="K152" s="484"/>
    </row>
    <row r="153" spans="2:11" ht="51" customHeight="1">
      <c r="B153" s="1029" t="s">
        <v>683</v>
      </c>
      <c r="C153" s="1037"/>
      <c r="D153" s="1155">
        <f>TRUNC('Infiltration&amp;Ventilation'!E61,1)</f>
        <v>0</v>
      </c>
      <c r="E153" s="1155">
        <f>TRUNC('Infiltration&amp;Ventilation'!F61,1)</f>
        <v>0</v>
      </c>
      <c r="F153" s="487"/>
      <c r="G153" s="483"/>
      <c r="H153" s="483"/>
      <c r="I153" s="483"/>
      <c r="J153" s="483"/>
      <c r="K153" s="484"/>
    </row>
    <row r="154" spans="2:11">
      <c r="B154" s="1036" t="s">
        <v>1367</v>
      </c>
      <c r="C154" s="1041"/>
      <c r="D154" s="1155">
        <f>'Infiltration&amp;Ventilation'!E57</f>
        <v>0</v>
      </c>
      <c r="E154" s="1155">
        <f>'Infiltration&amp;Ventilation'!F57</f>
        <v>0</v>
      </c>
      <c r="F154" s="487"/>
      <c r="G154" s="483"/>
      <c r="H154" s="483"/>
      <c r="I154" s="483"/>
      <c r="J154" s="483"/>
      <c r="K154" s="484"/>
    </row>
    <row r="155" spans="2:11" ht="24">
      <c r="B155" s="1029" t="s">
        <v>1334</v>
      </c>
      <c r="C155" s="1255"/>
      <c r="D155" s="1162">
        <f>'Infiltration&amp;Ventilation'!E62</f>
        <v>0</v>
      </c>
      <c r="E155" s="1162">
        <f>'Infiltration&amp;Ventilation'!F62</f>
        <v>0</v>
      </c>
      <c r="F155" s="487"/>
      <c r="G155" s="483"/>
      <c r="H155" s="483"/>
      <c r="I155" s="483"/>
      <c r="J155" s="483"/>
      <c r="K155" s="484"/>
    </row>
    <row r="156" spans="2:11">
      <c r="B156" s="1029" t="s">
        <v>1248</v>
      </c>
      <c r="C156" s="1256"/>
      <c r="D156" s="1020" t="s">
        <v>274</v>
      </c>
      <c r="E156" s="550"/>
      <c r="F156" s="453"/>
      <c r="G156" s="483"/>
      <c r="H156" s="483"/>
      <c r="I156" s="483"/>
      <c r="J156" s="483"/>
      <c r="K156" s="484"/>
    </row>
    <row r="157" spans="2:11">
      <c r="B157" s="1036" t="s">
        <v>1368</v>
      </c>
      <c r="C157" s="1040"/>
      <c r="D157" s="1042"/>
      <c r="E157" s="1042"/>
      <c r="F157" s="487"/>
      <c r="G157" s="483"/>
      <c r="H157" s="483"/>
      <c r="I157" s="483"/>
      <c r="J157" s="483"/>
      <c r="K157" s="484"/>
    </row>
    <row r="158" spans="2:11">
      <c r="B158" s="1029" t="s">
        <v>1249</v>
      </c>
      <c r="C158" s="1037"/>
      <c r="D158" s="1163" t="s">
        <v>274</v>
      </c>
      <c r="E158" s="554"/>
      <c r="F158" s="487"/>
      <c r="G158" s="483"/>
      <c r="H158" s="483"/>
      <c r="I158" s="483"/>
      <c r="J158" s="483"/>
      <c r="K158" s="484"/>
    </row>
    <row r="159" spans="2:11">
      <c r="B159" s="1029" t="s">
        <v>1250</v>
      </c>
      <c r="C159" s="170"/>
      <c r="D159" s="1164" t="s">
        <v>274</v>
      </c>
      <c r="E159" s="552"/>
      <c r="F159" s="487"/>
      <c r="G159" s="483"/>
      <c r="H159" s="483"/>
      <c r="I159" s="483"/>
      <c r="J159" s="483"/>
      <c r="K159" s="484"/>
    </row>
    <row r="160" spans="2:11">
      <c r="B160" s="1029" t="s">
        <v>1251</v>
      </c>
      <c r="C160" s="1034"/>
      <c r="D160" s="1165" t="s">
        <v>274</v>
      </c>
      <c r="E160" s="555"/>
      <c r="F160" s="487"/>
      <c r="G160" s="483"/>
      <c r="H160" s="483"/>
      <c r="I160" s="483"/>
      <c r="J160" s="483"/>
      <c r="K160" s="484"/>
    </row>
    <row r="161" spans="2:11">
      <c r="B161" s="591" t="s">
        <v>1336</v>
      </c>
      <c r="C161" s="1035"/>
      <c r="D161" s="557"/>
      <c r="E161" s="558"/>
      <c r="F161" s="487"/>
      <c r="G161" s="483"/>
      <c r="H161" s="483"/>
      <c r="I161" s="483"/>
      <c r="J161" s="483"/>
      <c r="K161" s="484"/>
    </row>
    <row r="162" spans="2:11">
      <c r="B162" s="591" t="s">
        <v>1337</v>
      </c>
      <c r="C162" s="1035"/>
      <c r="D162" s="1021"/>
      <c r="E162" s="1022"/>
      <c r="F162" s="487"/>
      <c r="G162" s="483"/>
      <c r="H162" s="483"/>
      <c r="I162" s="483"/>
      <c r="J162" s="483"/>
      <c r="K162" s="484"/>
    </row>
    <row r="163" spans="2:11">
      <c r="B163" s="591" t="s">
        <v>1338</v>
      </c>
      <c r="C163" s="1035"/>
      <c r="D163" s="1021"/>
      <c r="E163" s="1022"/>
      <c r="F163" s="487"/>
      <c r="G163" s="483"/>
      <c r="H163" s="483"/>
      <c r="I163" s="483"/>
      <c r="J163" s="483"/>
      <c r="K163" s="484"/>
    </row>
    <row r="164" spans="2:11">
      <c r="B164" s="586" t="s">
        <v>1335</v>
      </c>
      <c r="C164" s="1251"/>
      <c r="D164" s="559" t="s">
        <v>274</v>
      </c>
      <c r="E164" s="556"/>
      <c r="F164" s="487"/>
      <c r="G164" s="483"/>
      <c r="H164" s="483"/>
      <c r="I164" s="483"/>
      <c r="J164" s="483"/>
      <c r="K164" s="484"/>
    </row>
    <row r="165" spans="2:11">
      <c r="B165" s="1175" t="s">
        <v>1467</v>
      </c>
      <c r="C165" s="1249"/>
      <c r="D165" s="1176" t="s">
        <v>274</v>
      </c>
      <c r="E165" s="1177"/>
      <c r="F165" s="487"/>
      <c r="G165" s="483"/>
      <c r="H165" s="483"/>
      <c r="I165" s="483"/>
      <c r="J165" s="483"/>
      <c r="K165" s="484"/>
    </row>
    <row r="166" spans="2:11">
      <c r="B166" s="586" t="s">
        <v>689</v>
      </c>
      <c r="C166" s="1252"/>
      <c r="D166" s="559" t="s">
        <v>274</v>
      </c>
      <c r="E166" s="464"/>
      <c r="F166" s="487"/>
      <c r="G166" s="483"/>
      <c r="H166" s="483"/>
      <c r="I166" s="483"/>
      <c r="J166" s="483"/>
      <c r="K166" s="484"/>
    </row>
    <row r="167" spans="2:11">
      <c r="B167" s="586" t="s">
        <v>1339</v>
      </c>
      <c r="C167" s="1252"/>
      <c r="D167" s="1166" t="s">
        <v>274</v>
      </c>
      <c r="E167" s="1023"/>
      <c r="F167" s="487"/>
      <c r="G167" s="483"/>
      <c r="H167" s="483"/>
      <c r="I167" s="483"/>
      <c r="J167" s="483"/>
      <c r="K167" s="484"/>
    </row>
    <row r="168" spans="2:11">
      <c r="B168" s="586" t="s">
        <v>1340</v>
      </c>
      <c r="C168" s="1253"/>
      <c r="D168" s="1166" t="s">
        <v>274</v>
      </c>
      <c r="E168" s="1023"/>
      <c r="F168" s="487"/>
      <c r="G168" s="483"/>
      <c r="H168" s="483"/>
      <c r="I168" s="483"/>
      <c r="J168" s="483"/>
      <c r="K168" s="484"/>
    </row>
    <row r="169" spans="2:11" ht="62.25" customHeight="1">
      <c r="B169" s="586" t="s">
        <v>688</v>
      </c>
      <c r="C169" s="1251"/>
      <c r="D169" s="550" t="str">
        <f>IF('Basic Info'!$C$25=0,"N/A","")</f>
        <v>N/A</v>
      </c>
      <c r="E169" s="560"/>
      <c r="F169" s="453"/>
      <c r="G169" s="483"/>
      <c r="H169" s="483"/>
      <c r="I169" s="483"/>
      <c r="J169" s="483"/>
      <c r="K169" s="484"/>
    </row>
    <row r="170" spans="2:11">
      <c r="B170" s="586" t="s">
        <v>684</v>
      </c>
      <c r="C170" s="1252"/>
      <c r="D170" s="554" t="str">
        <f>IF('Basic Info'!$C$25=0,"N/A","")</f>
        <v>N/A</v>
      </c>
      <c r="E170" s="554"/>
      <c r="F170" s="487"/>
      <c r="G170" s="483"/>
      <c r="H170" s="483"/>
      <c r="I170" s="483"/>
      <c r="J170" s="483"/>
      <c r="K170" s="484"/>
    </row>
    <row r="171" spans="2:11">
      <c r="B171" s="586" t="s">
        <v>685</v>
      </c>
      <c r="C171" s="1252"/>
      <c r="D171" s="1197" t="str">
        <f>IF('Basic Info'!$C$25=0,"N/A","")</f>
        <v>N/A</v>
      </c>
      <c r="E171" s="552"/>
      <c r="F171" s="487"/>
      <c r="G171" s="483"/>
      <c r="H171" s="483"/>
      <c r="I171" s="483"/>
      <c r="J171" s="483"/>
      <c r="K171" s="484"/>
    </row>
    <row r="172" spans="2:11">
      <c r="B172" s="592" t="s">
        <v>699</v>
      </c>
      <c r="C172" s="1253"/>
      <c r="D172" s="562" t="str">
        <f>IF('Basic Info'!$C$25=0,"N/A","")</f>
        <v>N/A</v>
      </c>
      <c r="E172" s="1043"/>
      <c r="F172" s="487"/>
      <c r="G172" s="483"/>
      <c r="H172" s="483"/>
      <c r="I172" s="483"/>
      <c r="J172" s="483"/>
      <c r="K172" s="484"/>
    </row>
    <row r="173" spans="2:11">
      <c r="B173" s="592" t="s">
        <v>686</v>
      </c>
      <c r="C173" s="1251"/>
      <c r="D173" s="1020" t="str">
        <f>IF('Basic Info'!$C$25=0,"N/A","Yes")</f>
        <v>N/A</v>
      </c>
      <c r="E173" s="556"/>
      <c r="F173" s="487"/>
      <c r="G173" s="483"/>
      <c r="H173" s="483"/>
      <c r="I173" s="483"/>
      <c r="J173" s="483"/>
      <c r="K173" s="484"/>
    </row>
    <row r="174" spans="2:11">
      <c r="B174" s="592" t="s">
        <v>687</v>
      </c>
      <c r="C174" s="1253"/>
      <c r="D174" s="1167" t="str">
        <f>IF('Basic Info'!C25=0,"N/A","8.4 hr/day")</f>
        <v>N/A</v>
      </c>
      <c r="E174" s="561"/>
      <c r="F174" s="487"/>
      <c r="G174" s="483"/>
      <c r="H174" s="483"/>
      <c r="I174" s="483"/>
      <c r="J174" s="483"/>
      <c r="K174" s="484"/>
    </row>
    <row r="175" spans="2:11">
      <c r="B175" s="592" t="s">
        <v>690</v>
      </c>
      <c r="C175" s="1248"/>
      <c r="D175" s="559" t="s">
        <v>274</v>
      </c>
      <c r="E175" s="556"/>
      <c r="F175" s="487"/>
      <c r="G175" s="483"/>
      <c r="H175" s="483"/>
      <c r="I175" s="483"/>
      <c r="J175" s="483"/>
      <c r="K175" s="484"/>
    </row>
    <row r="176" spans="2:11">
      <c r="B176" s="592" t="s">
        <v>691</v>
      </c>
      <c r="C176" s="1249"/>
      <c r="D176" s="561"/>
      <c r="E176" s="561"/>
      <c r="F176" s="487"/>
      <c r="G176" s="483"/>
      <c r="H176" s="483"/>
      <c r="I176" s="483"/>
      <c r="J176" s="483"/>
      <c r="K176" s="484"/>
    </row>
    <row r="177" spans="2:11" ht="39" customHeight="1">
      <c r="B177" s="592" t="s">
        <v>692</v>
      </c>
      <c r="C177" s="1250"/>
      <c r="D177" s="553"/>
      <c r="E177" s="562"/>
      <c r="F177" s="563"/>
      <c r="G177" s="489"/>
      <c r="H177" s="489"/>
      <c r="I177" s="489"/>
      <c r="J177" s="489"/>
      <c r="K177" s="490"/>
    </row>
    <row r="179" spans="2:11" ht="24">
      <c r="B179" s="588" t="s">
        <v>326</v>
      </c>
      <c r="C179" s="579" t="s">
        <v>634</v>
      </c>
      <c r="D179" s="577" t="s">
        <v>89</v>
      </c>
      <c r="E179" s="577">
        <f>E141</f>
        <v>0</v>
      </c>
    </row>
    <row r="180" spans="2:11" ht="12" customHeight="1">
      <c r="B180" s="586" t="s">
        <v>1331</v>
      </c>
      <c r="C180" s="467"/>
      <c r="D180" s="556"/>
      <c r="E180" s="556"/>
    </row>
    <row r="181" spans="2:11" ht="12" customHeight="1">
      <c r="B181" s="586" t="s">
        <v>1332</v>
      </c>
      <c r="C181" s="467"/>
      <c r="D181" s="556"/>
      <c r="E181" s="556"/>
    </row>
    <row r="182" spans="2:11" ht="12" customHeight="1">
      <c r="B182" s="586" t="s">
        <v>1333</v>
      </c>
      <c r="C182" s="467"/>
      <c r="D182" s="556"/>
      <c r="E182" s="556"/>
    </row>
    <row r="183" spans="2:11">
      <c r="B183" s="586" t="s">
        <v>373</v>
      </c>
      <c r="C183" s="1246"/>
      <c r="D183" s="556"/>
      <c r="E183" s="556"/>
    </row>
    <row r="184" spans="2:11">
      <c r="B184" s="444" t="s">
        <v>431</v>
      </c>
      <c r="C184" s="1247"/>
      <c r="D184" s="556"/>
      <c r="E184" s="556"/>
    </row>
    <row r="186" spans="2:11">
      <c r="B186" s="1239" t="s">
        <v>1135</v>
      </c>
      <c r="C186" s="1240"/>
      <c r="D186" s="1240"/>
      <c r="E186" s="1240"/>
      <c r="F186" s="1240"/>
      <c r="G186" s="1241"/>
    </row>
    <row r="187" spans="2:11">
      <c r="B187" s="423"/>
      <c r="C187" s="424"/>
      <c r="D187" s="424"/>
      <c r="E187" s="424"/>
      <c r="F187" s="424"/>
      <c r="G187" s="425"/>
    </row>
    <row r="188" spans="2:11">
      <c r="B188" s="426"/>
      <c r="C188" s="427"/>
      <c r="D188" s="427"/>
      <c r="E188" s="427"/>
      <c r="F188" s="427"/>
      <c r="G188" s="428"/>
    </row>
    <row r="189" spans="2:11">
      <c r="B189" s="429"/>
      <c r="C189" s="427"/>
      <c r="D189" s="427"/>
      <c r="E189" s="427"/>
      <c r="F189" s="427"/>
      <c r="G189" s="428"/>
    </row>
    <row r="190" spans="2:11">
      <c r="B190" s="429"/>
      <c r="C190" s="427"/>
      <c r="D190" s="427"/>
      <c r="E190" s="427"/>
      <c r="F190" s="427"/>
      <c r="G190" s="428"/>
    </row>
    <row r="191" spans="2:11">
      <c r="B191" s="430"/>
      <c r="C191" s="431"/>
      <c r="D191" s="431"/>
      <c r="E191" s="431"/>
      <c r="F191" s="431"/>
      <c r="G191" s="432"/>
    </row>
  </sheetData>
  <sheetProtection sheet="1" objects="1" scenarios="1" formatCells="0" formatColumns="0" formatRows="0" insertColumns="0" insertRows="0"/>
  <mergeCells count="42">
    <mergeCell ref="B10:F10"/>
    <mergeCell ref="C133:C134"/>
    <mergeCell ref="C129:C132"/>
    <mergeCell ref="C101:C102"/>
    <mergeCell ref="C70:C73"/>
    <mergeCell ref="C74:C77"/>
    <mergeCell ref="C78:C81"/>
    <mergeCell ref="C86:C89"/>
    <mergeCell ref="C90:C93"/>
    <mergeCell ref="C123:C127"/>
    <mergeCell ref="B67:I67"/>
    <mergeCell ref="C103:C104"/>
    <mergeCell ref="B83:I83"/>
    <mergeCell ref="C94:C97"/>
    <mergeCell ref="C115:C116"/>
    <mergeCell ref="C112:C114"/>
    <mergeCell ref="C24:C25"/>
    <mergeCell ref="C26:C27"/>
    <mergeCell ref="C61:C63"/>
    <mergeCell ref="C28:C29"/>
    <mergeCell ref="C30:C31"/>
    <mergeCell ref="C33:C36"/>
    <mergeCell ref="C54:C55"/>
    <mergeCell ref="C38:C39"/>
    <mergeCell ref="C44:C45"/>
    <mergeCell ref="C56:C57"/>
    <mergeCell ref="C58:C59"/>
    <mergeCell ref="C15:C16"/>
    <mergeCell ref="C17:C18"/>
    <mergeCell ref="C20:C21"/>
    <mergeCell ref="C22:C23"/>
    <mergeCell ref="B12:F12"/>
    <mergeCell ref="B186:G186"/>
    <mergeCell ref="C138:C139"/>
    <mergeCell ref="C183:C184"/>
    <mergeCell ref="C135:C137"/>
    <mergeCell ref="C175:C177"/>
    <mergeCell ref="C164:C168"/>
    <mergeCell ref="C142:C143"/>
    <mergeCell ref="C155:C156"/>
    <mergeCell ref="C173:C174"/>
    <mergeCell ref="C169:C172"/>
  </mergeCells>
  <conditionalFormatting sqref="D63:E63">
    <cfRule type="expression" dxfId="54" priority="37">
      <formula>$B$63="Electric Stove (kWh/yr)"</formula>
    </cfRule>
  </conditionalFormatting>
  <conditionalFormatting sqref="E113:E116">
    <cfRule type="expression" dxfId="53" priority="35">
      <formula>$E$112="No"</formula>
    </cfRule>
  </conditionalFormatting>
  <conditionalFormatting sqref="D130:E134">
    <cfRule type="expression" dxfId="52" priority="33">
      <formula>$E$129="No"</formula>
    </cfRule>
  </conditionalFormatting>
  <conditionalFormatting sqref="D124:E124">
    <cfRule type="expression" dxfId="51" priority="32">
      <formula>$B$124="DHW System Efficiency (EF)"</formula>
    </cfRule>
  </conditionalFormatting>
  <conditionalFormatting sqref="D72:E72">
    <cfRule type="expression" dxfId="50" priority="25">
      <formula>$B$72="Primary Heating System Efficiency (HSPF)"</formula>
    </cfRule>
    <cfRule type="expression" dxfId="49" priority="26">
      <formula>$B$72="Primary Heating System Efficiency (COP)"</formula>
    </cfRule>
    <cfRule type="expression" dxfId="48" priority="27">
      <formula>$B$72="Primary Heating System Efficiency (Ec)"</formula>
    </cfRule>
    <cfRule type="expression" dxfId="47" priority="28">
      <formula>$B$72="Primary Heating System Efficiency (Et)"</formula>
    </cfRule>
    <cfRule type="expression" dxfId="46" priority="29">
      <formula>$B$72="Primary Heating System Efficiency (AFUE)"</formula>
    </cfRule>
  </conditionalFormatting>
  <conditionalFormatting sqref="D80:E80">
    <cfRule type="expression" dxfId="45" priority="15">
      <formula>$B$80="Tertiary Heating System Efficiency (HSPF)"</formula>
    </cfRule>
    <cfRule type="expression" dxfId="44" priority="16">
      <formula>$B$80="Tertiary Heating System Efficiency (COP)"</formula>
    </cfRule>
    <cfRule type="expression" dxfId="43" priority="17">
      <formula>$B$80="Tertiary Heating System Efficiency (Ec)"</formula>
    </cfRule>
    <cfRule type="expression" dxfId="42" priority="18">
      <formula>$B$80="Tertiary Heating System Efficiency (Et)"</formula>
    </cfRule>
    <cfRule type="expression" dxfId="41" priority="19">
      <formula>$B$80="Tertiary Heating System Efficiency (AFUE)"</formula>
    </cfRule>
  </conditionalFormatting>
  <conditionalFormatting sqref="D76:E76">
    <cfRule type="expression" dxfId="40" priority="20">
      <formula>$B$76="Secondary Heating System Efficiency (HSPF)"</formula>
    </cfRule>
    <cfRule type="expression" dxfId="39" priority="21">
      <formula>$B$76="Secondary Heating System Efficiency (COP)"</formula>
    </cfRule>
    <cfRule type="expression" dxfId="38" priority="22">
      <formula>$B$76="Secondary Heating System Efficiency (Ec)"</formula>
    </cfRule>
    <cfRule type="expression" dxfId="37" priority="23">
      <formula>$B$76="Secondary Heating System Efficiency (Et)"</formula>
    </cfRule>
    <cfRule type="expression" dxfId="36" priority="24">
      <formula>$B$76="Secondary Heating System Efficiency (AFUE)"</formula>
    </cfRule>
  </conditionalFormatting>
  <conditionalFormatting sqref="D88:E88">
    <cfRule type="expression" dxfId="35" priority="13">
      <formula>$B$88="Primary Cooling System Efficiency (EER)"</formula>
    </cfRule>
  </conditionalFormatting>
  <conditionalFormatting sqref="D92:E92">
    <cfRule type="expression" dxfId="34" priority="12">
      <formula>$B$92="Secondary Cooling System Efficiency (EER)"</formula>
    </cfRule>
  </conditionalFormatting>
  <conditionalFormatting sqref="E96">
    <cfRule type="expression" dxfId="33" priority="11">
      <formula>$B$96="Tertiary Cooling System Efficiency (EER)"</formula>
    </cfRule>
  </conditionalFormatting>
  <conditionalFormatting sqref="D146">
    <cfRule type="expression" dxfId="32" priority="5">
      <formula>$J$142="Intermittent"</formula>
    </cfRule>
  </conditionalFormatting>
  <conditionalFormatting sqref="D96">
    <cfRule type="expression" dxfId="31" priority="4">
      <formula>$B$96="Tertiary Cooling System Efficiency (EER)"</formula>
    </cfRule>
  </conditionalFormatting>
  <dataValidations count="19">
    <dataValidation type="list" allowBlank="1" showInputMessage="1" showErrorMessage="1" sqref="H123 I58 I53:I54 I64 H86 H70:H71 H78:H79 H74:H75 H90:H91 I142:I144 H94:H95 I56">
      <formula1>EStar</formula1>
    </dataValidation>
    <dataValidation type="list" allowBlank="1" showInputMessage="1" showErrorMessage="1" sqref="D132:E132 D114:E114">
      <formula1>PumpClass</formula1>
    </dataValidation>
    <dataValidation type="list" allowBlank="1" showInputMessage="1" showErrorMessage="1" sqref="D133:E133 D115:E115">
      <formula1>Pump</formula1>
    </dataValidation>
    <dataValidation type="list" allowBlank="1" showInputMessage="1" showErrorMessage="1" sqref="D112:E112 E129">
      <formula1>"Please select,Yes, No"</formula1>
    </dataValidation>
    <dataValidation type="list" allowBlank="1" showInputMessage="1" showErrorMessage="1" sqref="B124">
      <formula1>"DHW System Efficiency (EF), DHW System Efficiency (Et)"</formula1>
    </dataValidation>
    <dataValidation type="list" allowBlank="1" showInputMessage="1" showErrorMessage="1" sqref="I123">
      <formula1>"In-Unit, Central"</formula1>
    </dataValidation>
    <dataValidation type="list" allowBlank="1" showInputMessage="1" showErrorMessage="1" sqref="D119:E119 D117:E117">
      <formula1>FanControl</formula1>
    </dataValidation>
    <dataValidation type="list" allowBlank="1" showInputMessage="1" showErrorMessage="1" sqref="D103:E103">
      <formula1>HeatingControl</formula1>
    </dataValidation>
    <dataValidation type="list" allowBlank="1" showInputMessage="1" showErrorMessage="1" sqref="B88">
      <formula1>"Primary Cooling System Efficiency (EER), Primary Cooling System Efficiency (SEER)"</formula1>
    </dataValidation>
    <dataValidation type="list" allowBlank="1" showInputMessage="1" showErrorMessage="1" sqref="B92">
      <formula1>"Secondary Cooling System Efficiency (EER), Secondary Cooling System Efficiency (SEER)"</formula1>
    </dataValidation>
    <dataValidation type="list" allowBlank="1" showInputMessage="1" showErrorMessage="1" sqref="B72">
      <formula1>"Primary Heating System Efficiency (AFUE), , Primary Heating System Efficiency (COP), Primary Heating System Efficiency (Ec), Primary Heating System Efficiency (Et), Primary Heating System Efficiency (HSPF)"</formula1>
    </dataValidation>
    <dataValidation type="list" allowBlank="1" showInputMessage="1" showErrorMessage="1" sqref="B76">
      <formula1>"Secondary Heating System Efficiency (AFUE), Secondary Heating System Efficiency (COP), Secondary Heating System Efficiency (Ec), Secondary Heating System Efficiency (Et), Secondary Heating System Efficiency (HSPF)"</formula1>
    </dataValidation>
    <dataValidation type="list" allowBlank="1" showInputMessage="1" showErrorMessage="1" sqref="B80">
      <formula1>"Tertiary Heating System Efficiency (AFUE), Tertiary Heating System Efficiency (COP), Tertiary Heating System Efficiency (Ec), Tertiary Heating System Efficiency (Et), Tertiary Heating System Efficiency (HSPF)"</formula1>
    </dataValidation>
    <dataValidation type="list" allowBlank="1" showInputMessage="1" showErrorMessage="1" sqref="J70 J74 J78">
      <formula1>"Yes, No"</formula1>
    </dataValidation>
    <dataValidation type="list" allowBlank="1" showInputMessage="1" showErrorMessage="1" sqref="B63">
      <formula1>"Please Select Type of Stove, Electric Stove (kWh/yr), Gas Stove (therm/yr)"</formula1>
    </dataValidation>
    <dataValidation type="whole" allowBlank="1" showInputMessage="1" showErrorMessage="1" sqref="C53:C54 C58 C60:C61 C64:C65">
      <formula1>1</formula1>
      <formula2>50</formula2>
    </dataValidation>
    <dataValidation type="list" allowBlank="1" showInputMessage="1" showErrorMessage="1" sqref="B96">
      <formula1>"Tertiary Cooling System Efficiency (EER), Tertiary Cooling System Efficiency (SEER)"</formula1>
    </dataValidation>
    <dataValidation type="list" allowBlank="1" showInputMessage="1" showErrorMessage="1" sqref="E164">
      <formula1>"Yes,No"</formula1>
    </dataValidation>
    <dataValidation type="list" allowBlank="1" showInputMessage="1" showErrorMessage="1" sqref="D164">
      <formula1>"N/A,Yes,No"</formula1>
    </dataValidation>
  </dataValidations>
  <pageMargins left="0.7" right="0.7" top="0.75" bottom="0.75" header="0.3" footer="0.3"/>
  <pageSetup orientation="portrait" r:id="rId1"/>
  <ignoredErrors>
    <ignoredError sqref="D169:D174"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3" id="{F3DD7AAA-2C52-4177-A349-91FE16267624}">
            <xm:f>'Basic Info'!$C$25=0</xm:f>
            <x14:dxf>
              <fill>
                <patternFill patternType="none">
                  <bgColor auto="1"/>
                </patternFill>
              </fill>
            </x14:dxf>
          </x14:cfRule>
          <xm:sqref>D169:D174</xm:sqref>
        </x14:conditionalFormatting>
        <x14:conditionalFormatting xmlns:xm="http://schemas.microsoft.com/office/excel/2006/main">
          <x14:cfRule type="expression" priority="2" id="{17EB09BD-F9EF-489A-B1AA-69E7092CB127}">
            <xm:f>'Basic Info'!$C$25=0</xm:f>
            <x14:dxf>
              <fill>
                <patternFill patternType="none">
                  <bgColor auto="1"/>
                </patternFill>
              </fill>
            </x14:dxf>
          </x14:cfRule>
          <xm:sqref>E169:E174</xm:sqref>
        </x14:conditionalFormatting>
        <x14:conditionalFormatting xmlns:xm="http://schemas.microsoft.com/office/excel/2006/main">
          <x14:cfRule type="expression" priority="1" id="{8E9CF530-F566-4AD6-AFF7-81EBE9DFD760}">
            <xm:f>'Basic Info'!$C$25=0</xm:f>
            <x14:dxf>
              <fill>
                <patternFill patternType="none">
                  <bgColor auto="1"/>
                </patternFill>
              </fill>
            </x14:dxf>
          </x14:cfRule>
          <xm:sqref>F169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249977111117893"/>
    <pageSetUpPr fitToPage="1"/>
  </sheetPr>
  <dimension ref="A1:AM140"/>
  <sheetViews>
    <sheetView showGridLines="0" zoomScaleNormal="100" workbookViewId="0">
      <selection activeCell="I13" sqref="I13:L13"/>
    </sheetView>
  </sheetViews>
  <sheetFormatPr defaultRowHeight="12"/>
  <cols>
    <col min="1" max="1" width="2" style="411" customWidth="1"/>
    <col min="2" max="2" width="28.42578125" style="411" customWidth="1"/>
    <col min="3" max="3" width="17.140625" style="411" customWidth="1"/>
    <col min="4" max="4" width="15.7109375" style="411" customWidth="1"/>
    <col min="5" max="5" width="16.42578125" style="411" customWidth="1"/>
    <col min="6" max="6" width="9.42578125" style="411" customWidth="1"/>
    <col min="7" max="7" width="15.7109375" style="411" customWidth="1"/>
    <col min="8" max="8" width="15.140625" style="411" customWidth="1"/>
    <col min="9" max="10" width="9.42578125" style="411" customWidth="1"/>
    <col min="11" max="11" width="13" style="411" customWidth="1"/>
    <col min="12" max="12" width="3.5703125" style="411" customWidth="1"/>
    <col min="13" max="13" width="9.140625" style="411"/>
    <col min="14" max="15" width="16" style="411" customWidth="1"/>
    <col min="16" max="29" width="9.140625" style="411"/>
    <col min="30" max="30" width="40.140625" style="448" customWidth="1"/>
    <col min="31" max="31" width="47.85546875" style="448" customWidth="1"/>
    <col min="32" max="35" width="9.140625" style="411"/>
    <col min="36" max="39" width="9.140625" style="411" customWidth="1"/>
    <col min="40" max="16384" width="9.140625" style="411"/>
  </cols>
  <sheetData>
    <row r="1" spans="1:12" ht="19.5" thickBot="1">
      <c r="B1" s="410"/>
    </row>
    <row r="2" spans="1:12" ht="12" customHeight="1">
      <c r="B2" s="1525" t="s">
        <v>1228</v>
      </c>
      <c r="C2" s="1526"/>
      <c r="D2" s="1526"/>
      <c r="E2" s="1526"/>
      <c r="F2" s="1526"/>
      <c r="G2" s="1526"/>
      <c r="H2" s="1526"/>
      <c r="I2" s="1526"/>
      <c r="J2" s="1526"/>
      <c r="K2" s="1526"/>
      <c r="L2" s="1527"/>
    </row>
    <row r="3" spans="1:12" ht="21" customHeight="1" thickBot="1">
      <c r="B3" s="1528"/>
      <c r="C3" s="1529"/>
      <c r="D3" s="1529"/>
      <c r="E3" s="1529"/>
      <c r="F3" s="1529"/>
      <c r="G3" s="1529"/>
      <c r="H3" s="1529"/>
      <c r="I3" s="1529"/>
      <c r="J3" s="1529"/>
      <c r="K3" s="1529"/>
      <c r="L3" s="1530"/>
    </row>
    <row r="4" spans="1:12" ht="12.75" thickBot="1">
      <c r="A4" s="416"/>
    </row>
    <row r="5" spans="1:12" ht="13.5" customHeight="1" thickBot="1">
      <c r="B5" s="1534" t="s">
        <v>197</v>
      </c>
      <c r="C5" s="1535"/>
      <c r="D5" s="1535"/>
      <c r="E5" s="1535"/>
      <c r="F5" s="1535"/>
      <c r="G5" s="1535"/>
      <c r="H5" s="1535"/>
      <c r="I5" s="1535"/>
      <c r="J5" s="1535"/>
      <c r="K5" s="1535"/>
      <c r="L5" s="1536"/>
    </row>
    <row r="6" spans="1:12" ht="13.5" customHeight="1">
      <c r="B6" s="1379" t="s">
        <v>198</v>
      </c>
      <c r="C6" s="1380"/>
      <c r="D6" s="1374"/>
      <c r="E6" s="1375"/>
      <c r="F6" s="1375"/>
      <c r="G6" s="1391" t="s">
        <v>201</v>
      </c>
      <c r="H6" s="1380"/>
      <c r="I6" s="1438">
        <f>'Basic Info'!C32</f>
        <v>0</v>
      </c>
      <c r="J6" s="1439"/>
      <c r="K6" s="1439"/>
      <c r="L6" s="1440"/>
    </row>
    <row r="7" spans="1:12" ht="12.75" customHeight="1">
      <c r="B7" s="1389" t="s">
        <v>562</v>
      </c>
      <c r="C7" s="1390"/>
      <c r="D7" s="1376" t="str">
        <f>IF('Basic Info'!C70="","",'Basic Info'!C70)</f>
        <v/>
      </c>
      <c r="E7" s="1377"/>
      <c r="F7" s="1378"/>
      <c r="G7" s="1400" t="s">
        <v>199</v>
      </c>
      <c r="H7" s="1401"/>
      <c r="I7" s="1394">
        <f>'Basic Info'!C75</f>
        <v>0</v>
      </c>
      <c r="J7" s="1395"/>
      <c r="K7" s="1395"/>
      <c r="L7" s="1396"/>
    </row>
    <row r="8" spans="1:12">
      <c r="B8" s="1389" t="s">
        <v>203</v>
      </c>
      <c r="C8" s="1390"/>
      <c r="D8" s="1428">
        <f>'Basic Info'!C33</f>
        <v>0</v>
      </c>
      <c r="E8" s="1429"/>
      <c r="F8" s="1434"/>
      <c r="G8" s="1402" t="s">
        <v>200</v>
      </c>
      <c r="H8" s="1390"/>
      <c r="I8" s="1397">
        <f>'Basic Info'!D75</f>
        <v>0</v>
      </c>
      <c r="J8" s="1398"/>
      <c r="K8" s="1398"/>
      <c r="L8" s="1399"/>
    </row>
    <row r="9" spans="1:12">
      <c r="A9" s="416"/>
      <c r="B9" s="1389" t="s">
        <v>1193</v>
      </c>
      <c r="C9" s="1390"/>
      <c r="D9" s="1428" t="str">
        <f>'Basic Info'!C34 &amp; ", " &amp; 'Basic Info'!C36</f>
        <v xml:space="preserve">, </v>
      </c>
      <c r="E9" s="1429"/>
      <c r="F9" s="1434"/>
      <c r="G9" s="1402" t="s">
        <v>202</v>
      </c>
      <c r="H9" s="1390"/>
      <c r="I9" s="1397">
        <f>'Basic Info'!E75</f>
        <v>0</v>
      </c>
      <c r="J9" s="1398"/>
      <c r="K9" s="1398"/>
      <c r="L9" s="1399"/>
    </row>
    <row r="10" spans="1:12" ht="13.5" customHeight="1" thickBot="1">
      <c r="A10" s="416"/>
      <c r="B10" s="1520" t="s">
        <v>1192</v>
      </c>
      <c r="C10" s="1521"/>
      <c r="D10" s="1522">
        <f>'Basic Info'!C35</f>
        <v>0</v>
      </c>
      <c r="E10" s="1523"/>
      <c r="F10" s="1524"/>
      <c r="G10" s="1423" t="s">
        <v>204</v>
      </c>
      <c r="H10" s="1416"/>
      <c r="I10" s="1435">
        <f>'Basic Info'!F75</f>
        <v>0</v>
      </c>
      <c r="J10" s="1436"/>
      <c r="K10" s="1436"/>
      <c r="L10" s="1437"/>
    </row>
    <row r="11" spans="1:12" ht="13.5" customHeight="1" thickBot="1">
      <c r="B11" s="1534" t="s">
        <v>205</v>
      </c>
      <c r="C11" s="1535"/>
      <c r="D11" s="1535"/>
      <c r="E11" s="1535"/>
      <c r="F11" s="1535"/>
      <c r="G11" s="1535"/>
      <c r="H11" s="1535"/>
      <c r="I11" s="1535"/>
      <c r="J11" s="1535"/>
      <c r="K11" s="1535"/>
      <c r="L11" s="1536"/>
    </row>
    <row r="12" spans="1:12" ht="12.75" customHeight="1">
      <c r="B12" s="1379" t="s">
        <v>288</v>
      </c>
      <c r="C12" s="1380"/>
      <c r="D12" s="1441">
        <f>'Basic Info'!D74</f>
        <v>0</v>
      </c>
      <c r="E12" s="1442"/>
      <c r="F12" s="1443"/>
      <c r="G12" s="1391" t="s">
        <v>286</v>
      </c>
      <c r="H12" s="1380"/>
      <c r="I12" s="1438">
        <f>'Basic Info'!C38</f>
        <v>0</v>
      </c>
      <c r="J12" s="1439"/>
      <c r="K12" s="1439"/>
      <c r="L12" s="1440"/>
    </row>
    <row r="13" spans="1:12">
      <c r="B13" s="1389" t="s">
        <v>206</v>
      </c>
      <c r="C13" s="1390"/>
      <c r="D13" s="1397">
        <f>'Basic Info'!C74</f>
        <v>0</v>
      </c>
      <c r="E13" s="1398"/>
      <c r="F13" s="1427"/>
      <c r="G13" s="1402" t="s">
        <v>207</v>
      </c>
      <c r="H13" s="1390"/>
      <c r="I13" s="1428" t="s">
        <v>1516</v>
      </c>
      <c r="J13" s="1429"/>
      <c r="K13" s="1429"/>
      <c r="L13" s="1430"/>
    </row>
    <row r="14" spans="1:12">
      <c r="B14" s="1389" t="s">
        <v>202</v>
      </c>
      <c r="C14" s="1390"/>
      <c r="D14" s="1397">
        <f>'Basic Info'!E74</f>
        <v>0</v>
      </c>
      <c r="E14" s="1398"/>
      <c r="F14" s="1427"/>
      <c r="G14" s="1402" t="s">
        <v>768</v>
      </c>
      <c r="H14" s="1390"/>
      <c r="I14" s="1428">
        <f>'Basic Info'!C39</f>
        <v>0</v>
      </c>
      <c r="J14" s="1429"/>
      <c r="K14" s="1429"/>
      <c r="L14" s="1430"/>
    </row>
    <row r="15" spans="1:12" ht="13.5" customHeight="1" thickBot="1">
      <c r="A15" s="416"/>
      <c r="B15" s="1415" t="s">
        <v>204</v>
      </c>
      <c r="C15" s="1416"/>
      <c r="D15" s="1424">
        <f>'Basic Info'!F74</f>
        <v>0</v>
      </c>
      <c r="E15" s="1425"/>
      <c r="F15" s="1426"/>
      <c r="G15" s="1423" t="s">
        <v>758</v>
      </c>
      <c r="H15" s="1416"/>
      <c r="I15" s="1431">
        <f>'Basic Info'!C58</f>
        <v>0</v>
      </c>
      <c r="J15" s="1432"/>
      <c r="K15" s="1432"/>
      <c r="L15" s="1433"/>
    </row>
    <row r="16" spans="1:12" ht="13.5" customHeight="1" thickBot="1">
      <c r="A16" s="416"/>
      <c r="B16" s="1534" t="s">
        <v>208</v>
      </c>
      <c r="C16" s="1535"/>
      <c r="D16" s="1535"/>
      <c r="E16" s="1535"/>
      <c r="F16" s="1535"/>
      <c r="G16" s="1535"/>
      <c r="H16" s="1535"/>
      <c r="I16" s="1535"/>
      <c r="J16" s="1535"/>
      <c r="K16" s="1535"/>
      <c r="L16" s="1536"/>
    </row>
    <row r="17" spans="1:12" ht="12" customHeight="1">
      <c r="A17" s="416"/>
      <c r="B17" s="1413" t="s">
        <v>209</v>
      </c>
      <c r="C17" s="1414"/>
      <c r="D17" s="1417">
        <f>'Basic Info'!C48</f>
        <v>0</v>
      </c>
      <c r="E17" s="1418"/>
      <c r="F17" s="1419"/>
      <c r="G17" s="1543" t="s">
        <v>519</v>
      </c>
      <c r="H17" s="1414"/>
      <c r="I17" s="1420">
        <f>'Basic Info'!C27</f>
        <v>0</v>
      </c>
      <c r="J17" s="1421"/>
      <c r="K17" s="1421"/>
      <c r="L17" s="1422"/>
    </row>
    <row r="18" spans="1:12">
      <c r="A18" s="416"/>
      <c r="B18" s="1411" t="s">
        <v>210</v>
      </c>
      <c r="C18" s="1412"/>
      <c r="D18" s="1403">
        <f>'Basic Info'!C51</f>
        <v>0</v>
      </c>
      <c r="E18" s="1404"/>
      <c r="F18" s="1405"/>
      <c r="G18" s="1406" t="s">
        <v>109</v>
      </c>
      <c r="H18" s="1407"/>
      <c r="I18" s="1408">
        <f>'Basic Info'!C12</f>
        <v>0</v>
      </c>
      <c r="J18" s="1409"/>
      <c r="K18" s="1409"/>
      <c r="L18" s="1410"/>
    </row>
    <row r="19" spans="1:12">
      <c r="A19" s="416"/>
      <c r="B19" s="1411" t="s">
        <v>212</v>
      </c>
      <c r="C19" s="1412"/>
      <c r="D19" s="1403">
        <f>'Basic Info'!C53</f>
        <v>0</v>
      </c>
      <c r="E19" s="1404"/>
      <c r="F19" s="1405"/>
      <c r="G19" s="1406" t="s">
        <v>211</v>
      </c>
      <c r="H19" s="1407"/>
      <c r="I19" s="1408">
        <f>SUM('Basic Info'!C13:C22)</f>
        <v>0</v>
      </c>
      <c r="J19" s="1409"/>
      <c r="K19" s="1409"/>
      <c r="L19" s="1410"/>
    </row>
    <row r="20" spans="1:12">
      <c r="A20" s="416"/>
      <c r="B20" s="1411" t="s">
        <v>214</v>
      </c>
      <c r="C20" s="1412"/>
      <c r="D20" s="1403">
        <f>'Basic Info'!C54</f>
        <v>0</v>
      </c>
      <c r="E20" s="1404"/>
      <c r="F20" s="1405"/>
      <c r="G20" s="1406" t="s">
        <v>213</v>
      </c>
      <c r="H20" s="1407"/>
      <c r="I20" s="1408">
        <f>'Basic Info'!C26</f>
        <v>0</v>
      </c>
      <c r="J20" s="1409"/>
      <c r="K20" s="1409"/>
      <c r="L20" s="1410"/>
    </row>
    <row r="21" spans="1:12" ht="12.75" customHeight="1">
      <c r="A21" s="416"/>
      <c r="B21" s="1411" t="s">
        <v>215</v>
      </c>
      <c r="C21" s="1412"/>
      <c r="D21" s="1403">
        <f>'Basic Info'!C55</f>
        <v>0</v>
      </c>
      <c r="E21" s="1404"/>
      <c r="F21" s="1405"/>
      <c r="G21" s="1406" t="s">
        <v>147</v>
      </c>
      <c r="H21" s="1407"/>
      <c r="I21" s="1408">
        <f>'Basic Info'!C25</f>
        <v>0</v>
      </c>
      <c r="J21" s="1409"/>
      <c r="K21" s="1409"/>
      <c r="L21" s="1410"/>
    </row>
    <row r="22" spans="1:12" ht="12.75" customHeight="1">
      <c r="A22" s="416"/>
      <c r="B22" s="1411" t="s">
        <v>216</v>
      </c>
      <c r="C22" s="1412"/>
      <c r="D22" s="1403">
        <f>'Basic Info'!C56</f>
        <v>0</v>
      </c>
      <c r="E22" s="1404"/>
      <c r="F22" s="1405"/>
      <c r="G22" s="1544" t="s">
        <v>759</v>
      </c>
      <c r="H22" s="1412"/>
      <c r="I22" s="1408">
        <f>'Basic Info'!C28</f>
        <v>0</v>
      </c>
      <c r="J22" s="1409"/>
      <c r="K22" s="1409"/>
      <c r="L22" s="1410"/>
    </row>
    <row r="23" spans="1:12" ht="12.75" customHeight="1">
      <c r="A23" s="416"/>
      <c r="B23" s="1411" t="s">
        <v>256</v>
      </c>
      <c r="C23" s="1412"/>
      <c r="D23" s="1403">
        <f>'Basic Info'!C53</f>
        <v>0</v>
      </c>
      <c r="E23" s="1404"/>
      <c r="F23" s="1405"/>
      <c r="G23" s="1406" t="s">
        <v>217</v>
      </c>
      <c r="H23" s="1407"/>
      <c r="I23" s="1408">
        <f>SUMIF('Basic Info'!D12:D26, "Heated &amp; Cooled", 'Basic Info'!C12:C26)</f>
        <v>0</v>
      </c>
      <c r="J23" s="1409"/>
      <c r="K23" s="1409"/>
      <c r="L23" s="1410"/>
    </row>
    <row r="24" spans="1:12" ht="13.5" customHeight="1">
      <c r="A24" s="416"/>
      <c r="B24" s="1444"/>
      <c r="C24" s="1445"/>
      <c r="D24" s="1445"/>
      <c r="E24" s="1445"/>
      <c r="F24" s="1446"/>
      <c r="G24" s="1406" t="s">
        <v>218</v>
      </c>
      <c r="H24" s="1407"/>
      <c r="I24" s="1408">
        <f>SUMIF('Basic Info'!D12:D26, "Heated-Only", 'Basic Info'!C12:C26)</f>
        <v>0</v>
      </c>
      <c r="J24" s="1409"/>
      <c r="K24" s="1409"/>
      <c r="L24" s="1410"/>
    </row>
    <row r="25" spans="1:12" ht="13.5" customHeight="1" thickBot="1">
      <c r="A25" s="416"/>
      <c r="B25" s="1447"/>
      <c r="C25" s="1448"/>
      <c r="D25" s="1448"/>
      <c r="E25" s="1448"/>
      <c r="F25" s="1449"/>
      <c r="G25" s="1450" t="s">
        <v>219</v>
      </c>
      <c r="H25" s="1451"/>
      <c r="I25" s="1452">
        <f>SUMIF('Basic Info'!D12:D26, "Cooled-Only", 'Basic Info'!C12:C26)</f>
        <v>0</v>
      </c>
      <c r="J25" s="1453"/>
      <c r="K25" s="1453"/>
      <c r="L25" s="1454"/>
    </row>
    <row r="26" spans="1:12" ht="13.5" customHeight="1" thickBot="1">
      <c r="B26" s="1458" t="s">
        <v>220</v>
      </c>
      <c r="C26" s="1459"/>
      <c r="D26" s="606" t="s">
        <v>142</v>
      </c>
      <c r="E26" s="606" t="s">
        <v>221</v>
      </c>
      <c r="F26" s="606" t="s">
        <v>222</v>
      </c>
      <c r="G26" s="606" t="s">
        <v>223</v>
      </c>
      <c r="H26" s="606" t="s">
        <v>224</v>
      </c>
      <c r="I26" s="1474" t="s">
        <v>141</v>
      </c>
      <c r="J26" s="1475"/>
      <c r="K26" s="1475"/>
      <c r="L26" s="1476"/>
    </row>
    <row r="27" spans="1:12" ht="12.75" customHeight="1">
      <c r="A27" s="416"/>
      <c r="B27" s="1413" t="s">
        <v>42</v>
      </c>
      <c r="C27" s="1414"/>
      <c r="D27" s="607">
        <f>'Basic Info'!C4</f>
        <v>0</v>
      </c>
      <c r="E27" s="607">
        <f>'Basic Info'!C5</f>
        <v>0</v>
      </c>
      <c r="F27" s="607">
        <f>'Basic Info'!C6</f>
        <v>0</v>
      </c>
      <c r="G27" s="607">
        <f>'Basic Info'!C7</f>
        <v>0</v>
      </c>
      <c r="H27" s="607">
        <f>'Basic Info'!C8</f>
        <v>0</v>
      </c>
      <c r="I27" s="1468">
        <f>SUM(D27:H27)</f>
        <v>0</v>
      </c>
      <c r="J27" s="1469"/>
      <c r="K27" s="1469"/>
      <c r="L27" s="1470"/>
    </row>
    <row r="28" spans="1:12" ht="12.75" customHeight="1" thickBot="1">
      <c r="A28" s="416"/>
      <c r="B28" s="1463" t="s">
        <v>520</v>
      </c>
      <c r="C28" s="1464"/>
      <c r="D28" s="84"/>
      <c r="E28" s="84"/>
      <c r="F28" s="84"/>
      <c r="G28" s="84"/>
      <c r="H28" s="84"/>
      <c r="I28" s="1471" t="e">
        <f>(D28*D27+E28*E27+F28*F27+G28*G27+H28*H27)/I27</f>
        <v>#DIV/0!</v>
      </c>
      <c r="J28" s="1472"/>
      <c r="K28" s="1472"/>
      <c r="L28" s="1473"/>
    </row>
    <row r="29" spans="1:12" ht="12.75" customHeight="1" thickBot="1">
      <c r="A29" s="416"/>
      <c r="B29" s="1537" t="s">
        <v>1253</v>
      </c>
      <c r="C29" s="1538"/>
      <c r="D29" s="1538"/>
      <c r="E29" s="1538"/>
      <c r="F29" s="1538"/>
      <c r="G29" s="1538"/>
      <c r="H29" s="1538"/>
      <c r="I29" s="1538"/>
      <c r="J29" s="1538"/>
      <c r="K29" s="1538"/>
      <c r="L29" s="1539"/>
    </row>
    <row r="30" spans="1:12" ht="13.5" customHeight="1">
      <c r="A30" s="416"/>
      <c r="B30" s="1465" t="s">
        <v>1229</v>
      </c>
      <c r="C30" s="1466"/>
      <c r="D30" s="1467"/>
      <c r="E30" s="611">
        <f>I17-I21</f>
        <v>0</v>
      </c>
      <c r="F30" s="1545" t="s">
        <v>138</v>
      </c>
      <c r="G30" s="1546"/>
      <c r="H30" s="1546"/>
      <c r="I30" s="1546"/>
      <c r="J30" s="1546"/>
      <c r="K30" s="1546"/>
      <c r="L30" s="1547"/>
    </row>
    <row r="31" spans="1:12" ht="12" customHeight="1">
      <c r="B31" s="1460" t="s">
        <v>18</v>
      </c>
      <c r="C31" s="1461"/>
      <c r="D31" s="1462"/>
      <c r="E31" s="612">
        <f>'Basic Info'!C4+'Basic Info'!C5+2*'Basic Info'!C6+3*'Basic Info'!C7+4*'Basic Info'!C8</f>
        <v>0</v>
      </c>
      <c r="F31" s="1482" t="s">
        <v>1236</v>
      </c>
      <c r="G31" s="1483"/>
      <c r="H31" s="1483"/>
      <c r="I31" s="1483"/>
      <c r="J31" s="1483"/>
      <c r="K31" s="1483"/>
      <c r="L31" s="1484"/>
    </row>
    <row r="32" spans="1:12" ht="12" customHeight="1">
      <c r="B32" s="1460" t="s">
        <v>1230</v>
      </c>
      <c r="C32" s="1461"/>
      <c r="D32" s="1462"/>
      <c r="E32" s="324">
        <f>D17</f>
        <v>0</v>
      </c>
      <c r="F32" s="1485"/>
      <c r="G32" s="1486"/>
      <c r="H32" s="1486"/>
      <c r="I32" s="1486"/>
      <c r="J32" s="1486"/>
      <c r="K32" s="1486"/>
      <c r="L32" s="1487"/>
    </row>
    <row r="33" spans="1:39" ht="12" customHeight="1">
      <c r="B33" s="608" t="s">
        <v>1233</v>
      </c>
      <c r="C33" s="609"/>
      <c r="D33" s="610"/>
      <c r="E33" s="324">
        <f>I27</f>
        <v>0</v>
      </c>
      <c r="F33" s="1485"/>
      <c r="G33" s="1486"/>
      <c r="H33" s="1486"/>
      <c r="I33" s="1486"/>
      <c r="J33" s="1486"/>
      <c r="K33" s="1486"/>
      <c r="L33" s="1487"/>
    </row>
    <row r="34" spans="1:39" ht="12" customHeight="1">
      <c r="B34" s="1460" t="s">
        <v>1231</v>
      </c>
      <c r="C34" s="1461"/>
      <c r="D34" s="1462"/>
      <c r="E34" s="69"/>
      <c r="F34" s="1485"/>
      <c r="G34" s="1486"/>
      <c r="H34" s="1486"/>
      <c r="I34" s="1486"/>
      <c r="J34" s="1486"/>
      <c r="K34" s="1486"/>
      <c r="L34" s="1487"/>
    </row>
    <row r="35" spans="1:39" ht="12" customHeight="1">
      <c r="B35" s="1460" t="s">
        <v>1232</v>
      </c>
      <c r="C35" s="1461"/>
      <c r="D35" s="1462"/>
      <c r="E35" s="69"/>
      <c r="F35" s="1485"/>
      <c r="G35" s="1486"/>
      <c r="H35" s="1486"/>
      <c r="I35" s="1486"/>
      <c r="J35" s="1486"/>
      <c r="K35" s="1486"/>
      <c r="L35" s="1487"/>
    </row>
    <row r="36" spans="1:39" ht="12" customHeight="1">
      <c r="B36" s="1460" t="s">
        <v>1234</v>
      </c>
      <c r="C36" s="1461"/>
      <c r="D36" s="1462"/>
      <c r="E36" s="613">
        <f>G108</f>
        <v>0</v>
      </c>
      <c r="F36" s="1485"/>
      <c r="G36" s="1486"/>
      <c r="H36" s="1486"/>
      <c r="I36" s="1486"/>
      <c r="J36" s="1486"/>
      <c r="K36" s="1486"/>
      <c r="L36" s="1487"/>
    </row>
    <row r="37" spans="1:39" ht="12.75" customHeight="1" thickBot="1">
      <c r="A37" s="416"/>
      <c r="B37" s="1479" t="s">
        <v>1235</v>
      </c>
      <c r="C37" s="1480"/>
      <c r="D37" s="1481"/>
      <c r="E37" s="614">
        <f>G109+G110</f>
        <v>0</v>
      </c>
      <c r="F37" s="1488"/>
      <c r="G37" s="1489"/>
      <c r="H37" s="1489"/>
      <c r="I37" s="1489"/>
      <c r="J37" s="1489"/>
      <c r="K37" s="1489"/>
      <c r="L37" s="1490"/>
    </row>
    <row r="38" spans="1:39" ht="13.5" customHeight="1" thickBot="1">
      <c r="A38" s="416"/>
      <c r="B38" s="1534" t="s">
        <v>27</v>
      </c>
      <c r="C38" s="1535"/>
      <c r="D38" s="1535"/>
      <c r="E38" s="1535"/>
      <c r="F38" s="1535"/>
      <c r="G38" s="1535"/>
      <c r="H38" s="1535"/>
      <c r="I38" s="1535"/>
      <c r="J38" s="1535"/>
      <c r="K38" s="1535"/>
      <c r="L38" s="1536"/>
    </row>
    <row r="39" spans="1:39" ht="27" customHeight="1">
      <c r="B39" s="1491" t="s">
        <v>225</v>
      </c>
      <c r="C39" s="1385"/>
      <c r="D39" s="615" t="s">
        <v>226</v>
      </c>
      <c r="E39" s="1384" t="s">
        <v>227</v>
      </c>
      <c r="F39" s="1477"/>
      <c r="G39" s="1385"/>
      <c r="H39" s="1384" t="s">
        <v>228</v>
      </c>
      <c r="I39" s="1477"/>
      <c r="J39" s="1477"/>
      <c r="K39" s="1477"/>
      <c r="L39" s="1478"/>
      <c r="AD39" s="448" t="str">
        <f t="shared" ref="AD39:AD92" si="0">E41</f>
        <v xml:space="preserve">Per ASHRAE, </v>
      </c>
      <c r="AE39" s="448" t="str">
        <f>H41</f>
        <v xml:space="preserve"> , </v>
      </c>
      <c r="AL39" s="411" t="s">
        <v>267</v>
      </c>
      <c r="AM39" s="411" t="s">
        <v>264</v>
      </c>
    </row>
    <row r="40" spans="1:39">
      <c r="B40" s="1455" t="s">
        <v>229</v>
      </c>
      <c r="C40" s="1456"/>
      <c r="D40" s="1456"/>
      <c r="E40" s="1456"/>
      <c r="F40" s="1456"/>
      <c r="G40" s="1456"/>
      <c r="H40" s="1456"/>
      <c r="I40" s="1456"/>
      <c r="J40" s="1456"/>
      <c r="K40" s="1456"/>
      <c r="L40" s="1457"/>
      <c r="AD40" s="448" t="str">
        <f t="shared" si="0"/>
        <v xml:space="preserve">Per ASHRAE, </v>
      </c>
      <c r="AE40" s="448" t="str">
        <f t="shared" ref="AE40:AE112" si="1">H42</f>
        <v xml:space="preserve"> , </v>
      </c>
      <c r="AL40" s="411" t="s">
        <v>263</v>
      </c>
      <c r="AM40" s="411" t="s">
        <v>132</v>
      </c>
    </row>
    <row r="41" spans="1:39" ht="12" customHeight="1">
      <c r="B41" s="1320" t="s">
        <v>366</v>
      </c>
      <c r="C41" s="1321"/>
      <c r="D41" s="324" t="s">
        <v>231</v>
      </c>
      <c r="E41" s="1296" t="str">
        <f>CONCATENATE('Model Inputs'!D15,", ",'Model Inputs'!D16)</f>
        <v xml:space="preserve">Per ASHRAE, </v>
      </c>
      <c r="F41" s="1297"/>
      <c r="G41" s="1298"/>
      <c r="H41" s="1287" t="str">
        <f>CONCATENATE('Model Inputs'!F15," , ",'Model Inputs'!F16)</f>
        <v xml:space="preserve"> , </v>
      </c>
      <c r="I41" s="1288"/>
      <c r="J41" s="1288"/>
      <c r="K41" s="1288"/>
      <c r="L41" s="1289"/>
      <c r="AD41" s="448" t="str">
        <f t="shared" si="0"/>
        <v xml:space="preserve">Per ASHRAE, </v>
      </c>
      <c r="AE41" s="448" t="str">
        <f t="shared" si="1"/>
        <v xml:space="preserve"> , </v>
      </c>
    </row>
    <row r="42" spans="1:39" ht="12" customHeight="1">
      <c r="B42" s="1270" t="s">
        <v>369</v>
      </c>
      <c r="C42" s="1271"/>
      <c r="D42" s="324" t="s">
        <v>717</v>
      </c>
      <c r="E42" s="1296" t="str">
        <f>IF('Model Inputs'!F20="N/A","N/A",CONCATENATE('Model Inputs'!D20,", ",'Model Inputs'!D21))</f>
        <v xml:space="preserve">Per ASHRAE, </v>
      </c>
      <c r="F42" s="1297"/>
      <c r="G42" s="1298"/>
      <c r="H42" s="1287" t="str">
        <f>IF('Model Inputs'!F20="N/A","N/A",CONCATENATE('Model Inputs'!F20," , ",'Model Inputs'!F21))</f>
        <v xml:space="preserve"> , </v>
      </c>
      <c r="I42" s="1288"/>
      <c r="J42" s="1288"/>
      <c r="K42" s="1288"/>
      <c r="L42" s="1289"/>
      <c r="AD42" s="448" t="str">
        <f t="shared" si="0"/>
        <v xml:space="preserve">Per ASHRAE, </v>
      </c>
      <c r="AE42" s="448" t="str">
        <f t="shared" si="1"/>
        <v xml:space="preserve"> , </v>
      </c>
      <c r="AL42" s="411" t="s">
        <v>268</v>
      </c>
      <c r="AM42" s="411" t="s">
        <v>266</v>
      </c>
    </row>
    <row r="43" spans="1:39">
      <c r="B43" s="1270" t="s">
        <v>370</v>
      </c>
      <c r="C43" s="1271"/>
      <c r="D43" s="324" t="s">
        <v>231</v>
      </c>
      <c r="E43" s="1296" t="str">
        <f>IF('Model Inputs'!F22="N/A","N/A",CONCATENATE('Model Inputs'!D22,", ",'Model Inputs'!D23))</f>
        <v xml:space="preserve">Per ASHRAE, </v>
      </c>
      <c r="F43" s="1297"/>
      <c r="G43" s="1298"/>
      <c r="H43" s="1287" t="str">
        <f>IF('Model Inputs'!F22="N/A","N/A",CONCATENATE('Model Inputs'!F22," , ",'Model Inputs'!F23))</f>
        <v xml:space="preserve"> , </v>
      </c>
      <c r="I43" s="1288"/>
      <c r="J43" s="1288"/>
      <c r="K43" s="1288"/>
      <c r="L43" s="1289"/>
    </row>
    <row r="44" spans="1:39" ht="12" customHeight="1">
      <c r="B44" s="1270" t="s">
        <v>718</v>
      </c>
      <c r="C44" s="1271"/>
      <c r="D44" s="324" t="s">
        <v>715</v>
      </c>
      <c r="E44" s="1296" t="str">
        <f>IF('Model Inputs'!F24="N/A","N/A",CONCATENATE('Model Inputs'!D24,", ",'Model Inputs'!D25))</f>
        <v xml:space="preserve">Per ASHRAE, </v>
      </c>
      <c r="F44" s="1297"/>
      <c r="G44" s="1298"/>
      <c r="H44" s="1287" t="str">
        <f>IF('Model Inputs'!F24="N/A","N/A",CONCATENATE('Model Inputs'!F24," , ",'Model Inputs'!F25))</f>
        <v xml:space="preserve"> , </v>
      </c>
      <c r="I44" s="1288"/>
      <c r="J44" s="1288"/>
      <c r="K44" s="1288"/>
      <c r="L44" s="1289"/>
      <c r="AD44" s="448" t="str">
        <f t="shared" si="0"/>
        <v xml:space="preserve">Per ASHRAE, </v>
      </c>
      <c r="AE44" s="448" t="str">
        <f t="shared" si="1"/>
        <v xml:space="preserve"> , </v>
      </c>
      <c r="AL44" s="411" t="s">
        <v>266</v>
      </c>
    </row>
    <row r="45" spans="1:39" ht="12" customHeight="1">
      <c r="B45" s="1498" t="s">
        <v>719</v>
      </c>
      <c r="C45" s="1499"/>
      <c r="D45" s="324" t="s">
        <v>715</v>
      </c>
      <c r="E45" s="1296" t="str">
        <f>IF('Model Inputs'!F26="N/A","N/A",CONCATENATE('Model Inputs'!D26,", ",'Model Inputs'!D27))</f>
        <v xml:space="preserve">Per ASHRAE, </v>
      </c>
      <c r="F45" s="1297"/>
      <c r="G45" s="1298"/>
      <c r="H45" s="1287" t="str">
        <f>IF('Model Inputs'!F26="N/A","N/A",CONCATENATE('Model Inputs'!F26," , ",'Model Inputs'!F27))</f>
        <v xml:space="preserve"> , </v>
      </c>
      <c r="I45" s="1288"/>
      <c r="J45" s="1288"/>
      <c r="K45" s="1288"/>
      <c r="L45" s="1289"/>
      <c r="AD45" s="448" t="str">
        <f t="shared" si="0"/>
        <v xml:space="preserve">Per ASHRAE, </v>
      </c>
      <c r="AE45" s="448" t="str">
        <f t="shared" si="1"/>
        <v xml:space="preserve"> , </v>
      </c>
    </row>
    <row r="46" spans="1:39">
      <c r="B46" s="616" t="s">
        <v>429</v>
      </c>
      <c r="C46" s="617"/>
      <c r="D46" s="324" t="s">
        <v>717</v>
      </c>
      <c r="E46" s="1296" t="str">
        <f>IF('Model Inputs'!F28="N/A","N/A",CONCATENATE('Model Inputs'!D28,", ",'Model Inputs'!D29))</f>
        <v xml:space="preserve">Per ASHRAE, </v>
      </c>
      <c r="F46" s="1297"/>
      <c r="G46" s="1298"/>
      <c r="H46" s="1287" t="str">
        <f>IF('Model Inputs'!F28="N/A","N/A",CONCATENATE('Model Inputs'!F28," , ",'Model Inputs'!F29))</f>
        <v xml:space="preserve"> , </v>
      </c>
      <c r="I46" s="1288"/>
      <c r="J46" s="1288"/>
      <c r="K46" s="1288"/>
      <c r="L46" s="1289"/>
      <c r="AD46" s="448">
        <f t="shared" si="0"/>
        <v>0</v>
      </c>
      <c r="AE46" s="448">
        <f t="shared" si="1"/>
        <v>0</v>
      </c>
    </row>
    <row r="47" spans="1:39">
      <c r="B47" s="616" t="s">
        <v>367</v>
      </c>
      <c r="C47" s="617"/>
      <c r="D47" s="324" t="s">
        <v>231</v>
      </c>
      <c r="E47" s="1296" t="str">
        <f>CONCATENATE('Model Inputs'!D30,", ",'Model Inputs'!D31)</f>
        <v xml:space="preserve">Per ASHRAE, </v>
      </c>
      <c r="F47" s="1297"/>
      <c r="G47" s="1298"/>
      <c r="H47" s="1287" t="str">
        <f>CONCATENATE('Model Inputs'!F30," , ",'Model Inputs'!F31)</f>
        <v xml:space="preserve"> , </v>
      </c>
      <c r="I47" s="1288"/>
      <c r="J47" s="1288"/>
      <c r="K47" s="1288"/>
      <c r="L47" s="1289"/>
      <c r="AD47" s="448" t="str">
        <f t="shared" si="0"/>
        <v xml:space="preserve">, Per ASHRAE, </v>
      </c>
      <c r="AE47" s="448" t="str">
        <f t="shared" si="1"/>
        <v xml:space="preserve"> ,  , </v>
      </c>
    </row>
    <row r="48" spans="1:39">
      <c r="B48" s="1270" t="s">
        <v>760</v>
      </c>
      <c r="C48" s="1271"/>
      <c r="D48" s="324" t="s">
        <v>716</v>
      </c>
      <c r="E48" s="1503">
        <f>'Model Inputs'!D32</f>
        <v>0</v>
      </c>
      <c r="F48" s="1504"/>
      <c r="G48" s="1505"/>
      <c r="H48" s="1500">
        <f>'Model Inputs'!F32</f>
        <v>0</v>
      </c>
      <c r="I48" s="1501"/>
      <c r="J48" s="1501"/>
      <c r="K48" s="1501"/>
      <c r="L48" s="1502"/>
      <c r="AD48" s="448">
        <f t="shared" si="0"/>
        <v>0</v>
      </c>
      <c r="AE48" s="448">
        <f t="shared" si="1"/>
        <v>0</v>
      </c>
    </row>
    <row r="49" spans="1:31">
      <c r="B49" s="1270" t="s">
        <v>566</v>
      </c>
      <c r="C49" s="1271"/>
      <c r="D49" s="324" t="s">
        <v>231</v>
      </c>
      <c r="E49" s="1293" t="str">
        <f>CONCATENATE('Model Inputs'!D33,", ", 'Model Inputs'!D34,", ",'Model Inputs'!D35)</f>
        <v xml:space="preserve">, Per ASHRAE, </v>
      </c>
      <c r="F49" s="1294"/>
      <c r="G49" s="1295"/>
      <c r="H49" s="1506" t="str">
        <f>CONCATENATE('Model Inputs'!F33," , ", 'Model Inputs'!F34," , ",'Model Inputs'!F35)</f>
        <v xml:space="preserve"> ,  , </v>
      </c>
      <c r="I49" s="1507"/>
      <c r="J49" s="1507"/>
      <c r="K49" s="1507"/>
      <c r="L49" s="1508"/>
      <c r="AD49" s="448">
        <f t="shared" si="0"/>
        <v>0</v>
      </c>
      <c r="AE49" s="448">
        <f t="shared" si="1"/>
        <v>0</v>
      </c>
    </row>
    <row r="50" spans="1:31">
      <c r="A50" s="416"/>
      <c r="B50" s="1270" t="s">
        <v>565</v>
      </c>
      <c r="C50" s="1271"/>
      <c r="D50" s="324" t="s">
        <v>232</v>
      </c>
      <c r="E50" s="1330">
        <f>'Model Inputs'!D36</f>
        <v>0</v>
      </c>
      <c r="F50" s="1331"/>
      <c r="G50" s="1332"/>
      <c r="H50" s="1492">
        <f>'Model Inputs'!F36</f>
        <v>0</v>
      </c>
      <c r="I50" s="1493"/>
      <c r="J50" s="1493"/>
      <c r="K50" s="1493"/>
      <c r="L50" s="1494"/>
      <c r="AD50" s="448" t="str">
        <f t="shared" si="0"/>
        <v xml:space="preserve">, </v>
      </c>
      <c r="AE50" s="448" t="str">
        <f t="shared" si="1"/>
        <v xml:space="preserve"> , </v>
      </c>
    </row>
    <row r="51" spans="1:31">
      <c r="A51" s="416"/>
      <c r="B51" s="1270" t="s">
        <v>233</v>
      </c>
      <c r="C51" s="1271"/>
      <c r="D51" s="324"/>
      <c r="E51" s="1293">
        <f>'Model Inputs'!D37</f>
        <v>0</v>
      </c>
      <c r="F51" s="1294"/>
      <c r="G51" s="1295"/>
      <c r="H51" s="1272">
        <f>'Model Inputs'!F37</f>
        <v>0</v>
      </c>
      <c r="I51" s="1273"/>
      <c r="J51" s="1273"/>
      <c r="K51" s="1273"/>
      <c r="L51" s="1274"/>
      <c r="AD51" s="448">
        <f t="shared" si="0"/>
        <v>0</v>
      </c>
      <c r="AE51" s="448">
        <f t="shared" si="1"/>
        <v>0</v>
      </c>
    </row>
    <row r="52" spans="1:31" ht="12.75" customHeight="1">
      <c r="A52" s="416"/>
      <c r="B52" s="616" t="s">
        <v>372</v>
      </c>
      <c r="C52" s="617"/>
      <c r="D52" s="324" t="s">
        <v>231</v>
      </c>
      <c r="E52" s="1293" t="str">
        <f>CONCATENATE('Model Inputs'!D38,", ",'Model Inputs'!D39)</f>
        <v xml:space="preserve">, </v>
      </c>
      <c r="F52" s="1294"/>
      <c r="G52" s="1295"/>
      <c r="H52" s="1272" t="str">
        <f>CONCATENATE('Model Inputs'!F38," , ",'Model Inputs'!F39)</f>
        <v xml:space="preserve"> , </v>
      </c>
      <c r="I52" s="1273"/>
      <c r="J52" s="1273"/>
      <c r="K52" s="1273"/>
      <c r="L52" s="1274"/>
      <c r="AD52" s="448">
        <f t="shared" si="0"/>
        <v>0.6</v>
      </c>
      <c r="AE52" s="448">
        <f t="shared" si="1"/>
        <v>0</v>
      </c>
    </row>
    <row r="53" spans="1:31" ht="12.75" customHeight="1">
      <c r="A53" s="416"/>
      <c r="B53" s="1290" t="s">
        <v>234</v>
      </c>
      <c r="C53" s="1291"/>
      <c r="D53" s="1291"/>
      <c r="E53" s="1291"/>
      <c r="F53" s="1291"/>
      <c r="G53" s="1291"/>
      <c r="H53" s="1291"/>
      <c r="I53" s="1291"/>
      <c r="J53" s="1291"/>
      <c r="K53" s="1291"/>
      <c r="L53" s="1292"/>
    </row>
    <row r="54" spans="1:31" ht="12.75" customHeight="1">
      <c r="A54" s="416"/>
      <c r="B54" s="1320" t="s">
        <v>235</v>
      </c>
      <c r="C54" s="1321"/>
      <c r="D54" s="324" t="s">
        <v>518</v>
      </c>
      <c r="E54" s="1278">
        <f>'Model Inputs'!D43</f>
        <v>0.6</v>
      </c>
      <c r="F54" s="1279"/>
      <c r="G54" s="1280"/>
      <c r="H54" s="1275">
        <f>'Model Inputs'!E43</f>
        <v>0</v>
      </c>
      <c r="I54" s="1276"/>
      <c r="J54" s="1276"/>
      <c r="K54" s="1276"/>
      <c r="L54" s="1277"/>
      <c r="AD54" s="448" t="e">
        <f t="shared" si="0"/>
        <v>#DIV/0!</v>
      </c>
      <c r="AE54" s="448" t="e">
        <f t="shared" si="1"/>
        <v>#DIV/0!</v>
      </c>
    </row>
    <row r="55" spans="1:31" ht="12.75" customHeight="1">
      <c r="A55" s="416"/>
      <c r="B55" s="1270" t="s">
        <v>753</v>
      </c>
      <c r="C55" s="1271"/>
      <c r="D55" s="324" t="s">
        <v>518</v>
      </c>
      <c r="E55" s="1278">
        <f>'Model Inputs'!D44</f>
        <v>0.66</v>
      </c>
      <c r="F55" s="1279"/>
      <c r="G55" s="1280"/>
      <c r="H55" s="1275">
        <f>'Model Inputs'!E44</f>
        <v>0</v>
      </c>
      <c r="I55" s="1276"/>
      <c r="J55" s="1276"/>
      <c r="K55" s="1276"/>
      <c r="L55" s="1277"/>
      <c r="AD55" s="448">
        <f t="shared" si="0"/>
        <v>0</v>
      </c>
      <c r="AE55" s="448">
        <f t="shared" si="1"/>
        <v>0</v>
      </c>
    </row>
    <row r="56" spans="1:31" ht="12.75" customHeight="1">
      <c r="A56" s="416"/>
      <c r="B56" s="1270" t="s">
        <v>1237</v>
      </c>
      <c r="C56" s="1271"/>
      <c r="D56" s="324" t="s">
        <v>518</v>
      </c>
      <c r="E56" s="1495" t="e">
        <f>'Interior Lighting'!N28/'Interior Lighting'!S28</f>
        <v>#DIV/0!</v>
      </c>
      <c r="F56" s="1496"/>
      <c r="G56" s="1512"/>
      <c r="H56" s="1495" t="e">
        <f>'Interior Lighting'!J28/'Interior Lighting'!S28</f>
        <v>#DIV/0!</v>
      </c>
      <c r="I56" s="1496"/>
      <c r="J56" s="1496"/>
      <c r="K56" s="1496"/>
      <c r="L56" s="1497"/>
      <c r="M56" s="595" t="str">
        <f>IF('Interior Lighting'!S28=0,"",IF(H56&gt;1.2*E56, "Total specified lighting power for the combined common spaces is exceeding ASHRAE allowances by more than 20%. This is not permitted.", ""))</f>
        <v/>
      </c>
      <c r="AD56" s="448" t="str">
        <f>E59</f>
        <v>N/A</v>
      </c>
      <c r="AE56" s="448">
        <f>H59</f>
        <v>0</v>
      </c>
    </row>
    <row r="57" spans="1:31" ht="12.75" customHeight="1">
      <c r="A57" s="416"/>
      <c r="B57" s="1270" t="s">
        <v>1238</v>
      </c>
      <c r="C57" s="1271"/>
      <c r="D57" s="324" t="s">
        <v>107</v>
      </c>
      <c r="E57" s="1278">
        <f>'Model Inputs'!D49*1000</f>
        <v>0</v>
      </c>
      <c r="F57" s="1279"/>
      <c r="G57" s="1280"/>
      <c r="H57" s="1275">
        <f>'Model Inputs'!E49*1000</f>
        <v>0</v>
      </c>
      <c r="I57" s="1276"/>
      <c r="J57" s="1276"/>
      <c r="K57" s="1276"/>
      <c r="L57" s="1277"/>
      <c r="AD57" s="448" t="str">
        <f>E60</f>
        <v>N/A</v>
      </c>
      <c r="AE57" s="448" t="str">
        <f>H60</f>
        <v>N/A</v>
      </c>
    </row>
    <row r="58" spans="1:31" ht="12.75" customHeight="1">
      <c r="A58" s="416"/>
      <c r="B58" s="1270" t="s">
        <v>1239</v>
      </c>
      <c r="C58" s="1271"/>
      <c r="D58" s="324" t="s">
        <v>107</v>
      </c>
      <c r="E58" s="1278">
        <f>'Exterior Lighting'!E24</f>
        <v>0</v>
      </c>
      <c r="F58" s="1279"/>
      <c r="G58" s="1280"/>
      <c r="H58" s="1275">
        <f>'Exterior Lighting'!F24</f>
        <v>0</v>
      </c>
      <c r="I58" s="1276"/>
      <c r="J58" s="1276"/>
      <c r="K58" s="1276"/>
      <c r="L58" s="1277"/>
    </row>
    <row r="59" spans="1:31">
      <c r="A59" s="416"/>
      <c r="B59" s="1270" t="s">
        <v>237</v>
      </c>
      <c r="C59" s="1271"/>
      <c r="D59" s="324"/>
      <c r="E59" s="1281" t="str">
        <f>'Model Inputs'!D46</f>
        <v>N/A</v>
      </c>
      <c r="F59" s="1282"/>
      <c r="G59" s="1283"/>
      <c r="H59" s="1284">
        <f>'Model Inputs'!E46</f>
        <v>0</v>
      </c>
      <c r="I59" s="1285"/>
      <c r="J59" s="1285"/>
      <c r="K59" s="1285"/>
      <c r="L59" s="1286"/>
      <c r="AD59" s="448" t="str">
        <f t="shared" si="0"/>
        <v>N/A</v>
      </c>
      <c r="AE59" s="448" t="str">
        <f t="shared" si="1"/>
        <v>N/A</v>
      </c>
    </row>
    <row r="60" spans="1:31">
      <c r="A60" s="416"/>
      <c r="B60" s="1270" t="s">
        <v>238</v>
      </c>
      <c r="C60" s="1271"/>
      <c r="D60" s="324" t="s">
        <v>756</v>
      </c>
      <c r="E60" s="1287" t="str">
        <f>IF('Model Inputs'!F53=0,"N/A","Non-ENERGY STAR")</f>
        <v>N/A</v>
      </c>
      <c r="F60" s="1288"/>
      <c r="G60" s="1333"/>
      <c r="H60" s="1272" t="str">
        <f>IF('Model Inputs'!F53=0,"N/A",'Model Inputs'!I53)</f>
        <v>N/A</v>
      </c>
      <c r="I60" s="1273"/>
      <c r="J60" s="1273"/>
      <c r="K60" s="1273"/>
      <c r="L60" s="1274"/>
      <c r="AD60" s="448" t="str">
        <f t="shared" si="0"/>
        <v>N/A</v>
      </c>
      <c r="AE60" s="448" t="str">
        <f t="shared" si="1"/>
        <v>N/A</v>
      </c>
    </row>
    <row r="61" spans="1:31">
      <c r="A61" s="416"/>
      <c r="B61" s="1270" t="s">
        <v>240</v>
      </c>
      <c r="C61" s="1271"/>
      <c r="D61" s="324" t="s">
        <v>756</v>
      </c>
      <c r="E61" s="1287" t="str">
        <f>IF('Model Inputs'!F54=0,"N/A","Non-ENERGY STAR")</f>
        <v>N/A</v>
      </c>
      <c r="F61" s="1288"/>
      <c r="G61" s="1333"/>
      <c r="H61" s="1272" t="str">
        <f>IF('Model Inputs'!F54=0,"N/A",'Model Inputs'!I54)</f>
        <v>N/A</v>
      </c>
      <c r="I61" s="1273"/>
      <c r="J61" s="1273"/>
      <c r="K61" s="1273"/>
      <c r="L61" s="1274"/>
      <c r="AD61" s="448">
        <f t="shared" si="0"/>
        <v>0</v>
      </c>
      <c r="AE61" s="448">
        <f t="shared" si="1"/>
        <v>0</v>
      </c>
    </row>
    <row r="62" spans="1:31">
      <c r="A62" s="416"/>
      <c r="B62" s="1340" t="s">
        <v>570</v>
      </c>
      <c r="C62" s="1341"/>
      <c r="D62" s="324" t="s">
        <v>756</v>
      </c>
      <c r="E62" s="1287" t="str">
        <f>IF('Model Inputs'!F58=0,"N/A","Non-ENERGY STAR")</f>
        <v>N/A</v>
      </c>
      <c r="F62" s="1288"/>
      <c r="G62" s="1333"/>
      <c r="H62" s="1272" t="str">
        <f>IF('Model Inputs'!F58=0,"N/A",'Model Inputs'!I58)</f>
        <v>N/A</v>
      </c>
      <c r="I62" s="1273"/>
      <c r="J62" s="1273"/>
      <c r="K62" s="1273"/>
      <c r="L62" s="1274"/>
      <c r="AD62" s="448">
        <f t="shared" si="0"/>
        <v>0</v>
      </c>
      <c r="AE62" s="448">
        <f t="shared" si="1"/>
        <v>0</v>
      </c>
    </row>
    <row r="63" spans="1:31" ht="13.5" customHeight="1">
      <c r="A63" s="416"/>
      <c r="B63" s="1290" t="s">
        <v>563</v>
      </c>
      <c r="C63" s="1291"/>
      <c r="D63" s="1291"/>
      <c r="E63" s="1291"/>
      <c r="F63" s="1291"/>
      <c r="G63" s="1291"/>
      <c r="H63" s="1291"/>
      <c r="I63" s="1291"/>
      <c r="J63" s="1291"/>
      <c r="K63" s="1291"/>
      <c r="L63" s="1292"/>
      <c r="AD63" s="448" t="str">
        <f t="shared" si="0"/>
        <v>Supply, 0 CFM</v>
      </c>
      <c r="AE63" s="448" t="str">
        <f t="shared" si="1"/>
        <v>Supply, 0 CFM</v>
      </c>
    </row>
    <row r="64" spans="1:31" ht="12.75" customHeight="1">
      <c r="A64" s="416"/>
      <c r="B64" s="1320" t="s">
        <v>241</v>
      </c>
      <c r="C64" s="1321"/>
      <c r="D64" s="324"/>
      <c r="E64" s="1281">
        <f>'Model Inputs'!D70</f>
        <v>0</v>
      </c>
      <c r="F64" s="1282"/>
      <c r="G64" s="1283"/>
      <c r="H64" s="1284">
        <f>'Model Inputs'!E70</f>
        <v>0</v>
      </c>
      <c r="I64" s="1285"/>
      <c r="J64" s="1285"/>
      <c r="K64" s="1285"/>
      <c r="L64" s="1286"/>
    </row>
    <row r="65" spans="1:31" ht="12.75" customHeight="1">
      <c r="A65" s="416"/>
      <c r="B65" s="1270" t="s">
        <v>1240</v>
      </c>
      <c r="C65" s="1271"/>
      <c r="D65" s="324" t="s">
        <v>1241</v>
      </c>
      <c r="E65" s="1287" t="str">
        <f>"Supply, "&amp;('Model Inputs'!D153)&amp;" CFM"</f>
        <v>Supply, 0 CFM</v>
      </c>
      <c r="F65" s="1288"/>
      <c r="G65" s="1333"/>
      <c r="H65" s="1287" t="str">
        <f>"Supply, "&amp;('Model Inputs'!E153+'Model Inputs'!E156)&amp;" CFM"</f>
        <v>Supply, 0 CFM</v>
      </c>
      <c r="I65" s="1288"/>
      <c r="J65" s="1288"/>
      <c r="K65" s="1288"/>
      <c r="L65" s="1289"/>
      <c r="AD65" s="448" t="str">
        <f>E69</f>
        <v xml:space="preserve"> COP</v>
      </c>
      <c r="AE65" s="448" t="str">
        <f>H69</f>
        <v xml:space="preserve"> COP</v>
      </c>
    </row>
    <row r="66" spans="1:31" ht="12" customHeight="1">
      <c r="A66" s="416"/>
      <c r="B66" s="1270" t="s">
        <v>1242</v>
      </c>
      <c r="C66" s="1271"/>
      <c r="D66" s="324" t="s">
        <v>1243</v>
      </c>
      <c r="E66" s="1281" t="str">
        <f>IF('Model Inputs'!J142="","",'Model Inputs'!J142&amp;", "&amp;'Model Inputs'!D142&amp;" CFM, "&amp;'Model Inputs'!D145&amp;" CFM/W")</f>
        <v>0, 20 CFM, 0 CFM/W</v>
      </c>
      <c r="F66" s="1282"/>
      <c r="G66" s="1283"/>
      <c r="H66" s="1284" t="str">
        <f>IF('Model Inputs'!J143="","",'Model Inputs'!J143&amp;", "&amp;'Model Inputs'!E142&amp;" CFM, "&amp;'Model Inputs'!E145&amp;" CFM/W")</f>
        <v>0, 0 CFM, 0 CFM/W</v>
      </c>
      <c r="I66" s="1285"/>
      <c r="J66" s="1285"/>
      <c r="K66" s="1285"/>
      <c r="L66" s="1286"/>
    </row>
    <row r="67" spans="1:31" ht="12" customHeight="1">
      <c r="A67" s="416"/>
      <c r="B67" s="1270" t="s">
        <v>1244</v>
      </c>
      <c r="C67" s="1271"/>
      <c r="D67" s="324" t="s">
        <v>1243</v>
      </c>
      <c r="E67" s="1281" t="str">
        <f>IF('Model Inputs'!J143="","",'Model Inputs'!J143&amp;", "&amp;'Model Inputs'!D143&amp;" CFM, "&amp;'Model Inputs'!D145&amp;" CFM/W")</f>
        <v>0, 0 CFM, 0 CFM/W</v>
      </c>
      <c r="F67" s="1282"/>
      <c r="G67" s="1283"/>
      <c r="H67" s="1284" t="str">
        <f>IF('Model Inputs'!J143="","",'Model Inputs'!J143&amp;", "&amp;'Model Inputs'!E143&amp;" CFM, "&amp;'Model Inputs'!E145&amp;" CFM/W")</f>
        <v>0, 0 CFM, 0 CFM/W</v>
      </c>
      <c r="I67" s="1285"/>
      <c r="J67" s="1285"/>
      <c r="K67" s="1285"/>
      <c r="L67" s="1286"/>
    </row>
    <row r="68" spans="1:31" ht="13.5">
      <c r="A68" s="416"/>
      <c r="B68" s="1270" t="s">
        <v>755</v>
      </c>
      <c r="C68" s="1271"/>
      <c r="D68" s="324" t="s">
        <v>754</v>
      </c>
      <c r="E68" s="1509" t="e">
        <f>IF('Model Inputs'!D153="","",'Model Inputs'!D153/'Basic Info'!C16)</f>
        <v>#DIV/0!</v>
      </c>
      <c r="F68" s="1510"/>
      <c r="G68" s="1511"/>
      <c r="H68" s="1337" t="e">
        <f>IF('Model Inputs'!E153="","",'Model Inputs'!E153/'Basic Info'!C16)</f>
        <v>#DIV/0!</v>
      </c>
      <c r="I68" s="1338"/>
      <c r="J68" s="1338"/>
      <c r="K68" s="1338"/>
      <c r="L68" s="1339"/>
      <c r="AD68" s="448" t="str">
        <f t="shared" si="0"/>
        <v xml:space="preserve"> EER</v>
      </c>
      <c r="AE68" s="448" t="str">
        <f t="shared" si="1"/>
        <v xml:space="preserve"> EER</v>
      </c>
    </row>
    <row r="69" spans="1:31">
      <c r="A69" s="416"/>
      <c r="B69" s="1270" t="s">
        <v>410</v>
      </c>
      <c r="C69" s="1271"/>
      <c r="D69" s="324" t="s">
        <v>1295</v>
      </c>
      <c r="E69" s="1293" t="str">
        <f>'Model Inputs'!Z72</f>
        <v xml:space="preserve"> COP</v>
      </c>
      <c r="F69" s="1294"/>
      <c r="G69" s="1295"/>
      <c r="H69" s="1272" t="str">
        <f>'Model Inputs'!AA72</f>
        <v xml:space="preserve"> COP</v>
      </c>
      <c r="I69" s="1273"/>
      <c r="J69" s="1273"/>
      <c r="K69" s="1273"/>
      <c r="L69" s="1274"/>
      <c r="AD69" s="448">
        <f t="shared" si="0"/>
        <v>2.9999999999999997E-4</v>
      </c>
      <c r="AE69" s="448">
        <f t="shared" si="1"/>
        <v>0</v>
      </c>
    </row>
    <row r="70" spans="1:31">
      <c r="A70" s="416"/>
      <c r="B70" s="1270" t="s">
        <v>409</v>
      </c>
      <c r="C70" s="1271"/>
      <c r="D70" s="324" t="s">
        <v>242</v>
      </c>
      <c r="E70" s="1293" t="str">
        <f>'Model Inputs'!Z88</f>
        <v xml:space="preserve"> EER</v>
      </c>
      <c r="F70" s="1294"/>
      <c r="G70" s="1295"/>
      <c r="H70" s="1272" t="str">
        <f>'Model Inputs'!AA88</f>
        <v xml:space="preserve"> EER</v>
      </c>
      <c r="I70" s="1273"/>
      <c r="J70" s="1273"/>
      <c r="K70" s="1273"/>
      <c r="L70" s="1274"/>
      <c r="AD70" s="448">
        <f t="shared" si="0"/>
        <v>0</v>
      </c>
      <c r="AE70" s="448">
        <f t="shared" si="1"/>
        <v>0</v>
      </c>
    </row>
    <row r="71" spans="1:31">
      <c r="A71" s="416"/>
      <c r="B71" s="1325" t="s">
        <v>243</v>
      </c>
      <c r="C71" s="1326"/>
      <c r="D71" s="618" t="s">
        <v>720</v>
      </c>
      <c r="E71" s="1327">
        <f>'Model Inputs'!D118</f>
        <v>2.9999999999999997E-4</v>
      </c>
      <c r="F71" s="1328"/>
      <c r="G71" s="1329"/>
      <c r="H71" s="1327">
        <f>'Model Inputs'!E120</f>
        <v>0</v>
      </c>
      <c r="I71" s="1328"/>
      <c r="J71" s="1328"/>
      <c r="K71" s="1328"/>
      <c r="L71" s="1515"/>
      <c r="AD71" s="448">
        <f t="shared" si="0"/>
        <v>0</v>
      </c>
      <c r="AE71" s="448">
        <f t="shared" si="1"/>
        <v>0</v>
      </c>
    </row>
    <row r="72" spans="1:31">
      <c r="B72" s="1517" t="s">
        <v>244</v>
      </c>
      <c r="C72" s="1518"/>
      <c r="D72" s="1518"/>
      <c r="E72" s="1518"/>
      <c r="F72" s="1518"/>
      <c r="G72" s="1518"/>
      <c r="H72" s="1518"/>
      <c r="I72" s="1518"/>
      <c r="J72" s="1518"/>
      <c r="K72" s="1518"/>
      <c r="L72" s="1519"/>
      <c r="AD72" s="448" t="str">
        <f t="shared" si="0"/>
        <v>2.5 @ 80 psi</v>
      </c>
      <c r="AE72" s="448">
        <f t="shared" si="1"/>
        <v>0</v>
      </c>
    </row>
    <row r="73" spans="1:31">
      <c r="B73" s="1320" t="s">
        <v>265</v>
      </c>
      <c r="C73" s="1321"/>
      <c r="D73" s="324" t="s">
        <v>1296</v>
      </c>
      <c r="E73" s="1330">
        <f>'Model Inputs'!D124</f>
        <v>0</v>
      </c>
      <c r="F73" s="1331"/>
      <c r="G73" s="1332"/>
      <c r="H73" s="1492">
        <f>'Model Inputs'!E124</f>
        <v>0</v>
      </c>
      <c r="I73" s="1493"/>
      <c r="J73" s="1493"/>
      <c r="K73" s="1493"/>
      <c r="L73" s="1494"/>
    </row>
    <row r="74" spans="1:31">
      <c r="B74" s="1270" t="s">
        <v>92</v>
      </c>
      <c r="C74" s="1271"/>
      <c r="D74" s="324" t="s">
        <v>43</v>
      </c>
      <c r="E74" s="1322" t="s">
        <v>757</v>
      </c>
      <c r="F74" s="1323"/>
      <c r="G74" s="1324"/>
      <c r="H74" s="1334">
        <f>'Model Inputs'!E136</f>
        <v>0</v>
      </c>
      <c r="I74" s="1335"/>
      <c r="J74" s="1335"/>
      <c r="K74" s="1335"/>
      <c r="L74" s="1336"/>
      <c r="AD74" s="448" t="str">
        <f t="shared" si="0"/>
        <v>2.5 @ 80 psi</v>
      </c>
      <c r="AE74" s="448">
        <f t="shared" si="1"/>
        <v>0</v>
      </c>
    </row>
    <row r="75" spans="1:31">
      <c r="B75" s="1270" t="s">
        <v>653</v>
      </c>
      <c r="C75" s="1271"/>
      <c r="D75" s="619" t="s">
        <v>43</v>
      </c>
      <c r="E75" s="1322" t="s">
        <v>757</v>
      </c>
      <c r="F75" s="1323"/>
      <c r="G75" s="1324"/>
      <c r="H75" s="1334">
        <f>'Model Inputs'!E137</f>
        <v>0</v>
      </c>
      <c r="I75" s="1335"/>
      <c r="J75" s="1335"/>
      <c r="K75" s="1335"/>
      <c r="L75" s="1336"/>
      <c r="AD75" s="448">
        <f t="shared" si="0"/>
        <v>0</v>
      </c>
      <c r="AE75" s="448">
        <f t="shared" si="1"/>
        <v>0</v>
      </c>
    </row>
    <row r="76" spans="1:31" ht="12" customHeight="1">
      <c r="B76" s="1270" t="s">
        <v>90</v>
      </c>
      <c r="C76" s="1271"/>
      <c r="D76" s="324" t="s">
        <v>43</v>
      </c>
      <c r="E76" s="1322" t="s">
        <v>757</v>
      </c>
      <c r="F76" s="1323"/>
      <c r="G76" s="1324"/>
      <c r="H76" s="1334">
        <f>'Model Inputs'!E135</f>
        <v>0</v>
      </c>
      <c r="I76" s="1335"/>
      <c r="J76" s="1335"/>
      <c r="K76" s="1335"/>
      <c r="L76" s="1336"/>
      <c r="AD76" s="448">
        <f t="shared" si="0"/>
        <v>0</v>
      </c>
      <c r="AE76" s="448">
        <f t="shared" si="1"/>
        <v>0</v>
      </c>
    </row>
    <row r="77" spans="1:31">
      <c r="B77" s="1340" t="s">
        <v>245</v>
      </c>
      <c r="C77" s="1341"/>
      <c r="D77" s="324" t="s">
        <v>246</v>
      </c>
      <c r="E77" s="1287">
        <v>0</v>
      </c>
      <c r="F77" s="1288"/>
      <c r="G77" s="1333"/>
      <c r="H77" s="1386"/>
      <c r="I77" s="1387"/>
      <c r="J77" s="1387"/>
      <c r="K77" s="1387"/>
      <c r="L77" s="1516"/>
      <c r="AD77" s="448">
        <f t="shared" si="0"/>
        <v>0</v>
      </c>
      <c r="AE77" s="448">
        <f t="shared" si="1"/>
        <v>0</v>
      </c>
    </row>
    <row r="78" spans="1:31" ht="12" customHeight="1">
      <c r="B78" s="1290" t="s">
        <v>247</v>
      </c>
      <c r="C78" s="1291"/>
      <c r="D78" s="1291"/>
      <c r="E78" s="1291"/>
      <c r="F78" s="1291"/>
      <c r="G78" s="1291"/>
      <c r="H78" s="1291"/>
      <c r="I78" s="1291"/>
      <c r="J78" s="1291"/>
      <c r="K78" s="1291"/>
      <c r="L78" s="1292"/>
      <c r="AD78" s="448">
        <f t="shared" si="0"/>
        <v>0</v>
      </c>
      <c r="AE78" s="448">
        <f t="shared" si="1"/>
        <v>0</v>
      </c>
    </row>
    <row r="79" spans="1:31">
      <c r="B79" s="1320" t="s">
        <v>248</v>
      </c>
      <c r="C79" s="1321"/>
      <c r="D79" s="324"/>
      <c r="E79" s="1293">
        <f>'Model Inputs'!D183</f>
        <v>0</v>
      </c>
      <c r="F79" s="1294"/>
      <c r="G79" s="1295"/>
      <c r="H79" s="1272">
        <f>'Model Inputs'!E183</f>
        <v>0</v>
      </c>
      <c r="I79" s="1273"/>
      <c r="J79" s="1273"/>
      <c r="K79" s="1273"/>
      <c r="L79" s="1274"/>
      <c r="AD79" s="448">
        <f t="shared" si="0"/>
        <v>0</v>
      </c>
      <c r="AE79" s="448">
        <f t="shared" si="1"/>
        <v>0</v>
      </c>
    </row>
    <row r="80" spans="1:31">
      <c r="A80" s="416"/>
      <c r="B80" s="1340" t="s">
        <v>249</v>
      </c>
      <c r="C80" s="1341"/>
      <c r="D80" s="324" t="s">
        <v>39</v>
      </c>
      <c r="E80" s="1293">
        <f>'Model Inputs'!D184</f>
        <v>0</v>
      </c>
      <c r="F80" s="1294"/>
      <c r="G80" s="1295"/>
      <c r="H80" s="1272">
        <f>'Model Inputs'!E184</f>
        <v>0</v>
      </c>
      <c r="I80" s="1273"/>
      <c r="J80" s="1273"/>
      <c r="K80" s="1273"/>
      <c r="L80" s="1274"/>
      <c r="AD80" s="448">
        <f t="shared" si="0"/>
        <v>0</v>
      </c>
      <c r="AE80" s="448">
        <f t="shared" si="1"/>
        <v>0</v>
      </c>
    </row>
    <row r="81" spans="1:31">
      <c r="B81" s="1290" t="s">
        <v>654</v>
      </c>
      <c r="C81" s="1291"/>
      <c r="D81" s="1291"/>
      <c r="E81" s="1291"/>
      <c r="F81" s="1291"/>
      <c r="G81" s="1291"/>
      <c r="H81" s="1291"/>
      <c r="I81" s="1291"/>
      <c r="J81" s="1291"/>
      <c r="K81" s="1291"/>
      <c r="L81" s="1292"/>
      <c r="AD81" s="448">
        <f t="shared" si="0"/>
        <v>0</v>
      </c>
      <c r="AE81" s="448">
        <f t="shared" si="1"/>
        <v>0</v>
      </c>
    </row>
    <row r="82" spans="1:31">
      <c r="B82" s="1513"/>
      <c r="C82" s="1514"/>
      <c r="D82" s="596"/>
      <c r="E82" s="1386"/>
      <c r="F82" s="1387"/>
      <c r="G82" s="1388"/>
      <c r="H82" s="1381"/>
      <c r="I82" s="1382"/>
      <c r="J82" s="1382"/>
      <c r="K82" s="1382"/>
      <c r="L82" s="1383"/>
      <c r="AD82" s="448">
        <f t="shared" si="0"/>
        <v>0</v>
      </c>
      <c r="AE82" s="448">
        <f t="shared" si="1"/>
        <v>0</v>
      </c>
    </row>
    <row r="83" spans="1:31">
      <c r="A83" s="416"/>
      <c r="B83" s="1386"/>
      <c r="C83" s="1388"/>
      <c r="D83" s="596"/>
      <c r="E83" s="1386"/>
      <c r="F83" s="1387"/>
      <c r="G83" s="1388"/>
      <c r="H83" s="1381"/>
      <c r="I83" s="1382"/>
      <c r="J83" s="1382"/>
      <c r="K83" s="1382"/>
      <c r="L83" s="1383"/>
      <c r="AD83" s="448">
        <f t="shared" si="0"/>
        <v>0</v>
      </c>
      <c r="AE83" s="448">
        <f t="shared" si="1"/>
        <v>0</v>
      </c>
    </row>
    <row r="84" spans="1:31" ht="24">
      <c r="A84" s="416"/>
      <c r="B84" s="1513"/>
      <c r="C84" s="1514"/>
      <c r="D84" s="596"/>
      <c r="E84" s="1386"/>
      <c r="F84" s="1387"/>
      <c r="G84" s="1388"/>
      <c r="H84" s="1381"/>
      <c r="I84" s="1382"/>
      <c r="J84" s="1382"/>
      <c r="K84" s="1382"/>
      <c r="L84" s="1383"/>
      <c r="AD84" s="448" t="str">
        <f t="shared" si="0"/>
        <v xml:space="preserve">Baseline 
Annual Consumption </v>
      </c>
      <c r="AE84" s="448">
        <f t="shared" si="1"/>
        <v>0</v>
      </c>
    </row>
    <row r="85" spans="1:31" ht="13.5" customHeight="1" thickBot="1">
      <c r="B85" s="1540" t="s">
        <v>28</v>
      </c>
      <c r="C85" s="1541"/>
      <c r="D85" s="1541"/>
      <c r="E85" s="1541"/>
      <c r="F85" s="1541"/>
      <c r="G85" s="1541"/>
      <c r="H85" s="1541"/>
      <c r="I85" s="1541"/>
      <c r="J85" s="1541"/>
      <c r="K85" s="1541"/>
      <c r="L85" s="1542"/>
      <c r="AD85" s="448">
        <f t="shared" si="0"/>
        <v>0</v>
      </c>
      <c r="AE85" s="448">
        <f t="shared" si="1"/>
        <v>0</v>
      </c>
    </row>
    <row r="86" spans="1:31" ht="36.75" customHeight="1">
      <c r="B86" s="1491" t="s">
        <v>250</v>
      </c>
      <c r="C86" s="1385"/>
      <c r="D86" s="615" t="s">
        <v>44</v>
      </c>
      <c r="E86" s="1384" t="s">
        <v>3</v>
      </c>
      <c r="F86" s="1385"/>
      <c r="G86" s="1384" t="s">
        <v>4</v>
      </c>
      <c r="H86" s="1385"/>
      <c r="I86" s="1384" t="s">
        <v>762</v>
      </c>
      <c r="J86" s="1385"/>
      <c r="K86" s="1384" t="s">
        <v>761</v>
      </c>
      <c r="L86" s="1478"/>
      <c r="AD86" s="448" t="e">
        <f t="shared" si="0"/>
        <v>#DIV/0!</v>
      </c>
      <c r="AE86" s="448">
        <f t="shared" si="1"/>
        <v>0</v>
      </c>
    </row>
    <row r="87" spans="1:31">
      <c r="B87" s="1306" t="s">
        <v>5</v>
      </c>
      <c r="C87" s="1307"/>
      <c r="D87" s="1307"/>
      <c r="E87" s="1307"/>
      <c r="F87" s="1307"/>
      <c r="G87" s="1307"/>
      <c r="H87" s="1307"/>
      <c r="I87" s="1307"/>
      <c r="J87" s="1307"/>
      <c r="K87" s="1307"/>
      <c r="L87" s="1308"/>
      <c r="AD87" s="448" t="e">
        <f t="shared" si="0"/>
        <v>#DIV/0!</v>
      </c>
      <c r="AE87" s="448">
        <f t="shared" ref="AE87:AE92" si="2">H89</f>
        <v>0</v>
      </c>
    </row>
    <row r="88" spans="1:31">
      <c r="B88" s="1320" t="s">
        <v>6</v>
      </c>
      <c r="C88" s="1321"/>
      <c r="D88" s="620" t="s">
        <v>38</v>
      </c>
      <c r="E88" s="1360" t="e">
        <f>'Results from eQUEST'!T19</f>
        <v>#DIV/0!</v>
      </c>
      <c r="F88" s="1361"/>
      <c r="G88" s="1360">
        <f>'Results from eQUEST'!T22</f>
        <v>0</v>
      </c>
      <c r="H88" s="1361"/>
      <c r="I88" s="1311" t="e">
        <f t="shared" ref="I88:I97" si="3">IF(E88&gt;0, (E88-G88)/E88, "N/A")</f>
        <v>#DIV/0!</v>
      </c>
      <c r="J88" s="1312"/>
      <c r="K88" s="1311" t="e">
        <f t="shared" ref="K88:K97" si="4">$C$112*(E88-G88)/$E$125</f>
        <v>#DIV/0!</v>
      </c>
      <c r="L88" s="1315"/>
      <c r="AD88" s="448" t="e">
        <f t="shared" si="0"/>
        <v>#DIV/0!</v>
      </c>
      <c r="AE88" s="448">
        <f t="shared" si="2"/>
        <v>0</v>
      </c>
    </row>
    <row r="89" spans="1:31">
      <c r="B89" s="1270" t="s">
        <v>7</v>
      </c>
      <c r="C89" s="1271"/>
      <c r="D89" s="621" t="s">
        <v>38</v>
      </c>
      <c r="E89" s="1358" t="e">
        <f>'Results from eQUEST'!P19+'Results from eQUEST'!V19</f>
        <v>#DIV/0!</v>
      </c>
      <c r="F89" s="1359"/>
      <c r="G89" s="1358">
        <f>'Results from eQUEST'!P22+'Results from eQUEST'!V22</f>
        <v>0</v>
      </c>
      <c r="H89" s="1359"/>
      <c r="I89" s="1311" t="e">
        <f t="shared" si="3"/>
        <v>#DIV/0!</v>
      </c>
      <c r="J89" s="1312"/>
      <c r="K89" s="1311" t="e">
        <f t="shared" si="4"/>
        <v>#DIV/0!</v>
      </c>
      <c r="L89" s="1315"/>
      <c r="AD89" s="448" t="e">
        <f t="shared" si="0"/>
        <v>#DIV/0!</v>
      </c>
      <c r="AE89" s="448">
        <f t="shared" si="2"/>
        <v>0</v>
      </c>
    </row>
    <row r="90" spans="1:31">
      <c r="B90" s="1270" t="s">
        <v>8</v>
      </c>
      <c r="C90" s="1271"/>
      <c r="D90" s="621" t="s">
        <v>38</v>
      </c>
      <c r="E90" s="1358" t="e">
        <f>'Results from eQUEST'!Q19+'Results from eQUEST'!R19</f>
        <v>#DIV/0!</v>
      </c>
      <c r="F90" s="1359"/>
      <c r="G90" s="1358">
        <f>'Results from eQUEST'!Q22+'Results from eQUEST'!R22</f>
        <v>0</v>
      </c>
      <c r="H90" s="1359"/>
      <c r="I90" s="1311" t="e">
        <f t="shared" si="3"/>
        <v>#DIV/0!</v>
      </c>
      <c r="J90" s="1312"/>
      <c r="K90" s="1311" t="e">
        <f t="shared" si="4"/>
        <v>#DIV/0!</v>
      </c>
      <c r="L90" s="1315"/>
      <c r="AD90" s="448" t="e">
        <f t="shared" si="0"/>
        <v>#DIV/0!</v>
      </c>
      <c r="AE90" s="448">
        <f t="shared" si="2"/>
        <v>0</v>
      </c>
    </row>
    <row r="91" spans="1:31">
      <c r="B91" s="1270" t="s">
        <v>9</v>
      </c>
      <c r="C91" s="1271"/>
      <c r="D91" s="621" t="s">
        <v>38</v>
      </c>
      <c r="E91" s="1358" t="e">
        <f>'Results from eQUEST'!W19</f>
        <v>#DIV/0!</v>
      </c>
      <c r="F91" s="1359"/>
      <c r="G91" s="1358">
        <f>'Results from eQUEST'!W22</f>
        <v>0</v>
      </c>
      <c r="H91" s="1359"/>
      <c r="I91" s="1311" t="e">
        <f t="shared" si="3"/>
        <v>#DIV/0!</v>
      </c>
      <c r="J91" s="1312"/>
      <c r="K91" s="1311" t="e">
        <f t="shared" si="4"/>
        <v>#DIV/0!</v>
      </c>
      <c r="L91" s="1315"/>
      <c r="AD91" s="448" t="str">
        <f t="shared" si="0"/>
        <v>0</v>
      </c>
      <c r="AE91" s="448">
        <f t="shared" si="2"/>
        <v>0</v>
      </c>
    </row>
    <row r="92" spans="1:31">
      <c r="B92" s="1270" t="s">
        <v>10</v>
      </c>
      <c r="C92" s="1271"/>
      <c r="D92" s="621" t="s">
        <v>38</v>
      </c>
      <c r="E92" s="1309" t="e">
        <f>'Results from eQUEST'!M19+'Results from eQUEST'!N19</f>
        <v>#DIV/0!</v>
      </c>
      <c r="F92" s="1310"/>
      <c r="G92" s="1309">
        <f>'Results from eQUEST'!M22+'Results from eQUEST'!N22</f>
        <v>0</v>
      </c>
      <c r="H92" s="1310"/>
      <c r="I92" s="1311" t="e">
        <f t="shared" si="3"/>
        <v>#DIV/0!</v>
      </c>
      <c r="J92" s="1312"/>
      <c r="K92" s="1311" t="e">
        <f t="shared" si="4"/>
        <v>#DIV/0!</v>
      </c>
      <c r="L92" s="1315"/>
      <c r="AD92" s="448" t="e">
        <f t="shared" si="0"/>
        <v>#DIV/0!</v>
      </c>
      <c r="AE92" s="448">
        <f t="shared" si="2"/>
        <v>0</v>
      </c>
    </row>
    <row r="93" spans="1:31">
      <c r="B93" s="1270" t="s">
        <v>236</v>
      </c>
      <c r="C93" s="1271"/>
      <c r="D93" s="621" t="s">
        <v>38</v>
      </c>
      <c r="E93" s="1358" t="str">
        <f>IF('Results from eQUEST'!M15="","0",E57*12*365/1000)</f>
        <v>0</v>
      </c>
      <c r="F93" s="1359"/>
      <c r="G93" s="1358" t="str">
        <f>IF('Results from eQUEST'!M15="","0",H57*12*365/1000)</f>
        <v>0</v>
      </c>
      <c r="H93" s="1359"/>
      <c r="I93" s="1311" t="e">
        <f t="shared" si="3"/>
        <v>#DIV/0!</v>
      </c>
      <c r="J93" s="1312"/>
      <c r="K93" s="1311" t="e">
        <f t="shared" si="4"/>
        <v>#DIV/0!</v>
      </c>
      <c r="L93" s="1315"/>
    </row>
    <row r="94" spans="1:31">
      <c r="B94" s="1270" t="s">
        <v>45</v>
      </c>
      <c r="C94" s="1271"/>
      <c r="D94" s="621" t="s">
        <v>38</v>
      </c>
      <c r="E94" s="1358" t="e">
        <f>'Results from eQUEST'!$O$19+'Results from eQUEST'!$U$19-E97</f>
        <v>#DIV/0!</v>
      </c>
      <c r="F94" s="1359"/>
      <c r="G94" s="1358">
        <f>'Results from eQUEST'!$O$22+'Results from eQUEST'!$U$22-G97</f>
        <v>0</v>
      </c>
      <c r="H94" s="1359"/>
      <c r="I94" s="1311" t="e">
        <f t="shared" si="3"/>
        <v>#DIV/0!</v>
      </c>
      <c r="J94" s="1312"/>
      <c r="K94" s="1311" t="e">
        <f t="shared" si="4"/>
        <v>#DIV/0!</v>
      </c>
      <c r="L94" s="1315"/>
      <c r="AD94" s="448" t="e">
        <f t="shared" ref="AD94:AD99" si="5">E96</f>
        <v>#DIV/0!</v>
      </c>
      <c r="AE94" s="448">
        <f t="shared" ref="AE94:AE99" si="6">H96</f>
        <v>0</v>
      </c>
    </row>
    <row r="95" spans="1:31">
      <c r="B95" s="1270" t="s">
        <v>763</v>
      </c>
      <c r="C95" s="1271"/>
      <c r="D95" s="621" t="s">
        <v>38</v>
      </c>
      <c r="E95" s="1358" t="e">
        <f>'Results from eQUEST'!S19</f>
        <v>#DIV/0!</v>
      </c>
      <c r="F95" s="1359"/>
      <c r="G95" s="1358">
        <f>'Results from eQUEST'!S22</f>
        <v>0</v>
      </c>
      <c r="H95" s="1359"/>
      <c r="I95" s="1311" t="e">
        <f t="shared" si="3"/>
        <v>#DIV/0!</v>
      </c>
      <c r="J95" s="1312"/>
      <c r="K95" s="1311" t="e">
        <f t="shared" si="4"/>
        <v>#DIV/0!</v>
      </c>
      <c r="L95" s="1315"/>
      <c r="AD95" s="448">
        <f t="shared" si="5"/>
        <v>0</v>
      </c>
      <c r="AE95" s="448">
        <f t="shared" si="6"/>
        <v>0</v>
      </c>
    </row>
    <row r="96" spans="1:31">
      <c r="B96" s="1270" t="s">
        <v>564</v>
      </c>
      <c r="C96" s="1271"/>
      <c r="D96" s="621" t="s">
        <v>38</v>
      </c>
      <c r="E96" s="1358" t="e">
        <f>'Results from eQUEST'!X19-E93</f>
        <v>#DIV/0!</v>
      </c>
      <c r="F96" s="1359"/>
      <c r="G96" s="1358">
        <f>'Results from eQUEST'!X22-G93</f>
        <v>0</v>
      </c>
      <c r="H96" s="1359"/>
      <c r="I96" s="1311" t="e">
        <f t="shared" si="3"/>
        <v>#DIV/0!</v>
      </c>
      <c r="J96" s="1312"/>
      <c r="K96" s="1311" t="e">
        <f t="shared" si="4"/>
        <v>#DIV/0!</v>
      </c>
      <c r="L96" s="1315"/>
      <c r="AD96" s="448">
        <f t="shared" si="5"/>
        <v>0</v>
      </c>
      <c r="AE96" s="448">
        <f t="shared" si="6"/>
        <v>0</v>
      </c>
    </row>
    <row r="97" spans="1:31">
      <c r="B97" s="1340" t="s">
        <v>12</v>
      </c>
      <c r="C97" s="1341"/>
      <c r="D97" s="622" t="s">
        <v>38</v>
      </c>
      <c r="E97" s="1368">
        <f>1.05*'Basic Info'!C12+0.7*('Basic Info'!C13+'Basic Info'!C14+'Basic Info'!C16+'Basic Info'!C17+'Basic Info'!C18+'Basic Info'!C21+'Basic Info'!C22)+4.9*'Basic Info'!C19+1.6*('Basic Info'!C15+'Basic Info'!C20+'Basic Info'!C23+'Basic Info'!C24)</f>
        <v>0</v>
      </c>
      <c r="F97" s="1369"/>
      <c r="G97" s="1366">
        <f>E97</f>
        <v>0</v>
      </c>
      <c r="H97" s="1367"/>
      <c r="I97" s="1311" t="str">
        <f t="shared" si="3"/>
        <v>N/A</v>
      </c>
      <c r="J97" s="1312"/>
      <c r="K97" s="1311" t="e">
        <f t="shared" si="4"/>
        <v>#DIV/0!</v>
      </c>
      <c r="L97" s="1315"/>
      <c r="AD97" s="448" t="e">
        <f t="shared" si="5"/>
        <v>#DIV/0!</v>
      </c>
      <c r="AE97" s="448">
        <f t="shared" si="6"/>
        <v>0</v>
      </c>
    </row>
    <row r="98" spans="1:31">
      <c r="B98" s="1306" t="s">
        <v>13</v>
      </c>
      <c r="C98" s="1307"/>
      <c r="D98" s="1307"/>
      <c r="E98" s="1307"/>
      <c r="F98" s="1307"/>
      <c r="G98" s="1307"/>
      <c r="H98" s="1307"/>
      <c r="I98" s="1307"/>
      <c r="J98" s="1307"/>
      <c r="K98" s="1307"/>
      <c r="L98" s="1308"/>
      <c r="AD98" s="448" t="e">
        <f t="shared" si="5"/>
        <v>#DIV/0!</v>
      </c>
      <c r="AE98" s="448">
        <f t="shared" si="6"/>
        <v>0</v>
      </c>
    </row>
    <row r="99" spans="1:31">
      <c r="B99" s="1320" t="s">
        <v>7</v>
      </c>
      <c r="C99" s="1321"/>
      <c r="D99" s="621" t="s">
        <v>2</v>
      </c>
      <c r="E99" s="1360" t="e">
        <f>'Results from eQUEST'!$BB$19*100000/1000000+'Results from eQUEST'!$BH$19*100000/1000000-E104</f>
        <v>#DIV/0!</v>
      </c>
      <c r="F99" s="1361"/>
      <c r="G99" s="1360">
        <f>'Results from eQUEST'!$BB$22*100000/1000000+'Results from eQUEST'!$BH$22*100000/1000000-G104</f>
        <v>0</v>
      </c>
      <c r="H99" s="1361"/>
      <c r="I99" s="1311" t="e">
        <f>IF(E99&gt;0, (E99-G99)/E99, "N/A")</f>
        <v>#DIV/0!</v>
      </c>
      <c r="J99" s="1312"/>
      <c r="K99" s="1313" t="e">
        <f>$C$113*(E99-G99)*10/$E$125</f>
        <v>#DIV/0!</v>
      </c>
      <c r="L99" s="1314"/>
      <c r="AD99" s="448" t="e">
        <f t="shared" si="5"/>
        <v>#DIV/0!</v>
      </c>
      <c r="AE99" s="448">
        <f t="shared" si="6"/>
        <v>0</v>
      </c>
    </row>
    <row r="100" spans="1:31">
      <c r="B100" s="1270" t="s">
        <v>9</v>
      </c>
      <c r="C100" s="1271"/>
      <c r="D100" s="621" t="s">
        <v>2</v>
      </c>
      <c r="E100" s="1358" t="e">
        <f>'Results from eQUEST'!$BI$19*100000/1000000-E105</f>
        <v>#DIV/0!</v>
      </c>
      <c r="F100" s="1359"/>
      <c r="G100" s="1358">
        <f>'Results from eQUEST'!$BI$22*100000/1000000-G105</f>
        <v>0</v>
      </c>
      <c r="H100" s="1359"/>
      <c r="I100" s="1311" t="e">
        <f>IF(E100&gt;0, (E100-G100)/E100, "N/A")</f>
        <v>#DIV/0!</v>
      </c>
      <c r="J100" s="1312"/>
      <c r="K100" s="1313" t="e">
        <f>$C$113*(E100-G100)*10/$E$125</f>
        <v>#DIV/0!</v>
      </c>
      <c r="L100" s="1314"/>
    </row>
    <row r="101" spans="1:31">
      <c r="B101" s="1270" t="s">
        <v>45</v>
      </c>
      <c r="C101" s="1271"/>
      <c r="D101" s="621" t="s">
        <v>2</v>
      </c>
      <c r="E101" s="1358" t="e">
        <f>'Results from eQUEST'!$BA$19*100000/1000000</f>
        <v>#DIV/0!</v>
      </c>
      <c r="F101" s="1359"/>
      <c r="G101" s="1358">
        <f>'Results from eQUEST'!$BA$22*100000/1000000</f>
        <v>0</v>
      </c>
      <c r="H101" s="1359"/>
      <c r="I101" s="1311" t="e">
        <f>IF(E101&gt;0, (E101-G101)/E101, "N/A")</f>
        <v>#DIV/0!</v>
      </c>
      <c r="J101" s="1312"/>
      <c r="K101" s="1313" t="e">
        <f>$C$113*(E101-G101)*10/$E$125</f>
        <v>#DIV/0!</v>
      </c>
      <c r="L101" s="1314"/>
      <c r="AD101" s="448">
        <f t="shared" ref="AD101:AD112" si="7">E103</f>
        <v>0</v>
      </c>
      <c r="AE101" s="448">
        <f>H103</f>
        <v>0</v>
      </c>
    </row>
    <row r="102" spans="1:31">
      <c r="B102" s="1340" t="s">
        <v>11</v>
      </c>
      <c r="C102" s="1341"/>
      <c r="D102" s="623" t="s">
        <v>2</v>
      </c>
      <c r="E102" s="1366" t="e">
        <f>('Results from eQUEST'!BK19)*100000/1000000-'Reporting Summary'!E99:F99-'Reporting Summary'!E100:F100-'Reporting Summary'!E101:F101</f>
        <v>#DIV/0!</v>
      </c>
      <c r="F102" s="1367"/>
      <c r="G102" s="1366">
        <f>('Results from eQUEST'!BK22)*100000/1000000-'Reporting Summary'!G99:H99-'Reporting Summary'!G100:H100-'Reporting Summary'!G101:H101</f>
        <v>0</v>
      </c>
      <c r="H102" s="1367"/>
      <c r="I102" s="1311" t="e">
        <f>IF(E102&gt;0.001, (E102-G102)/E102, "N/A")</f>
        <v>#DIV/0!</v>
      </c>
      <c r="J102" s="1312"/>
      <c r="K102" s="1313" t="e">
        <f>$C$113*(E102-G102)*10/$E$125</f>
        <v>#DIV/0!</v>
      </c>
      <c r="L102" s="1314"/>
      <c r="AD102" s="448">
        <f t="shared" si="7"/>
        <v>0</v>
      </c>
      <c r="AE102" s="448">
        <f>H104</f>
        <v>0</v>
      </c>
    </row>
    <row r="103" spans="1:31">
      <c r="B103" s="1306" t="s">
        <v>14</v>
      </c>
      <c r="C103" s="1307"/>
      <c r="D103" s="1307"/>
      <c r="E103" s="1307"/>
      <c r="F103" s="1307"/>
      <c r="G103" s="1307"/>
      <c r="H103" s="1307"/>
      <c r="I103" s="1307"/>
      <c r="J103" s="1307"/>
      <c r="K103" s="1307"/>
      <c r="L103" s="1308"/>
      <c r="AD103" s="448">
        <f t="shared" si="7"/>
        <v>0</v>
      </c>
      <c r="AE103" s="448">
        <f>H105</f>
        <v>0</v>
      </c>
    </row>
    <row r="104" spans="1:31">
      <c r="B104" s="1320" t="s">
        <v>7</v>
      </c>
      <c r="C104" s="1321"/>
      <c r="D104" s="621" t="s">
        <v>2</v>
      </c>
      <c r="E104" s="1372"/>
      <c r="F104" s="1373"/>
      <c r="G104" s="1372"/>
      <c r="H104" s="1373"/>
      <c r="I104" s="1350"/>
      <c r="J104" s="1351"/>
      <c r="K104" s="1352"/>
      <c r="L104" s="1353"/>
      <c r="AD104" s="448">
        <f>E107</f>
        <v>0</v>
      </c>
      <c r="AE104" s="448">
        <f>H107</f>
        <v>0</v>
      </c>
    </row>
    <row r="105" spans="1:31">
      <c r="B105" s="1270" t="s">
        <v>9</v>
      </c>
      <c r="C105" s="1271"/>
      <c r="D105" s="621" t="s">
        <v>2</v>
      </c>
      <c r="E105" s="1370"/>
      <c r="F105" s="1371"/>
      <c r="G105" s="1370"/>
      <c r="H105" s="1371"/>
      <c r="I105" s="1350"/>
      <c r="J105" s="1351"/>
      <c r="K105" s="1352"/>
      <c r="L105" s="1353"/>
      <c r="AD105" s="448" t="e">
        <f>E108</f>
        <v>#DIV/0!</v>
      </c>
      <c r="AE105" s="448">
        <f>H108</f>
        <v>0</v>
      </c>
    </row>
    <row r="106" spans="1:31">
      <c r="B106" s="1340" t="s">
        <v>11</v>
      </c>
      <c r="C106" s="1341"/>
      <c r="D106" s="623" t="s">
        <v>2</v>
      </c>
      <c r="E106" s="1364"/>
      <c r="F106" s="1365"/>
      <c r="G106" s="1364"/>
      <c r="H106" s="1365"/>
      <c r="I106" s="1350"/>
      <c r="J106" s="1351"/>
      <c r="K106" s="1352"/>
      <c r="L106" s="1353"/>
    </row>
    <row r="107" spans="1:31">
      <c r="B107" s="1306" t="s">
        <v>15</v>
      </c>
      <c r="C107" s="1307"/>
      <c r="D107" s="1307"/>
      <c r="E107" s="1307"/>
      <c r="F107" s="1307"/>
      <c r="G107" s="1307"/>
      <c r="H107" s="1307"/>
      <c r="I107" s="1307"/>
      <c r="J107" s="1307"/>
      <c r="K107" s="1307"/>
      <c r="L107" s="1308"/>
      <c r="AD107" s="448" t="e">
        <f t="shared" si="7"/>
        <v>#DIV/0!</v>
      </c>
      <c r="AE107" s="448">
        <f t="shared" si="1"/>
        <v>0</v>
      </c>
    </row>
    <row r="108" spans="1:31">
      <c r="B108" s="1318" t="s">
        <v>5</v>
      </c>
      <c r="C108" s="1319"/>
      <c r="D108" s="621" t="s">
        <v>38</v>
      </c>
      <c r="E108" s="1360" t="e">
        <f>SUM(E88:F97)</f>
        <v>#DIV/0!</v>
      </c>
      <c r="F108" s="1361"/>
      <c r="G108" s="1360">
        <f>SUM(G88:H97)</f>
        <v>0</v>
      </c>
      <c r="H108" s="1361"/>
      <c r="I108" s="1311" t="e">
        <f>IF(E108&gt;0, (E108-G108)/E108, "N/A")</f>
        <v>#DIV/0!</v>
      </c>
      <c r="J108" s="1312"/>
      <c r="K108" s="1313" t="e">
        <f>$C$112*(E108-G108)/$E$125</f>
        <v>#DIV/0!</v>
      </c>
      <c r="L108" s="1314"/>
      <c r="AD108" s="448">
        <f t="shared" si="7"/>
        <v>0</v>
      </c>
      <c r="AE108" s="448">
        <f t="shared" si="1"/>
        <v>0</v>
      </c>
    </row>
    <row r="109" spans="1:31">
      <c r="A109" s="416"/>
      <c r="B109" s="1392" t="s">
        <v>13</v>
      </c>
      <c r="C109" s="1393"/>
      <c r="D109" s="621" t="s">
        <v>2</v>
      </c>
      <c r="E109" s="1358" t="e">
        <f>SUM(E99:F102)</f>
        <v>#DIV/0!</v>
      </c>
      <c r="F109" s="1359"/>
      <c r="G109" s="1358">
        <f>SUM(G99:H102)</f>
        <v>0</v>
      </c>
      <c r="H109" s="1359"/>
      <c r="I109" s="1311" t="e">
        <f>IF(E109&gt;0, (E109-G109)/E109, "N/A")</f>
        <v>#DIV/0!</v>
      </c>
      <c r="J109" s="1312"/>
      <c r="K109" s="1313" t="e">
        <f>$C$113*(E109-G109)*10/$E$125</f>
        <v>#DIV/0!</v>
      </c>
      <c r="L109" s="1314"/>
      <c r="AD109" s="448">
        <f t="shared" si="7"/>
        <v>0</v>
      </c>
      <c r="AE109" s="448">
        <f t="shared" si="1"/>
        <v>0</v>
      </c>
    </row>
    <row r="110" spans="1:31" ht="13.5" customHeight="1" thickBot="1">
      <c r="A110" s="416"/>
      <c r="B110" s="1362" t="s">
        <v>16</v>
      </c>
      <c r="C110" s="1363"/>
      <c r="D110" s="624" t="s">
        <v>2</v>
      </c>
      <c r="E110" s="1316">
        <f>SUM(E104:F105)</f>
        <v>0</v>
      </c>
      <c r="F110" s="1317"/>
      <c r="G110" s="1316">
        <f>SUM(G104:H105)</f>
        <v>0</v>
      </c>
      <c r="H110" s="1317"/>
      <c r="I110" s="1346" t="str">
        <f>IF(E110&gt;0, (E110-G110)/E110, "N/A")</f>
        <v>N/A</v>
      </c>
      <c r="J110" s="1347"/>
      <c r="K110" s="1348"/>
      <c r="L110" s="1349"/>
      <c r="AD110" s="448">
        <f t="shared" si="7"/>
        <v>0</v>
      </c>
      <c r="AE110" s="448">
        <f t="shared" si="1"/>
        <v>0</v>
      </c>
    </row>
    <row r="111" spans="1:31" ht="13.5" customHeight="1" thickBot="1">
      <c r="A111" s="416"/>
      <c r="B111" s="1534" t="s">
        <v>29</v>
      </c>
      <c r="C111" s="1535"/>
      <c r="D111" s="1535"/>
      <c r="E111" s="1535"/>
      <c r="F111" s="1535"/>
      <c r="G111" s="1535"/>
      <c r="H111" s="1535"/>
      <c r="I111" s="1535"/>
      <c r="J111" s="1535"/>
      <c r="K111" s="1535"/>
      <c r="L111" s="1536"/>
      <c r="AD111" s="448">
        <f t="shared" si="7"/>
        <v>0</v>
      </c>
      <c r="AE111" s="448">
        <f t="shared" si="1"/>
        <v>0</v>
      </c>
    </row>
    <row r="112" spans="1:31">
      <c r="A112" s="416"/>
      <c r="B112" s="625" t="s">
        <v>157</v>
      </c>
      <c r="C112" s="628">
        <f>'Simulation Summary'!C17</f>
        <v>0.18579999999999999</v>
      </c>
      <c r="D112" s="630" t="s">
        <v>158</v>
      </c>
      <c r="E112" s="329"/>
      <c r="F112" s="329"/>
      <c r="G112" s="329"/>
      <c r="H112" s="329"/>
      <c r="I112" s="329"/>
      <c r="J112" s="329"/>
      <c r="K112" s="329"/>
      <c r="L112" s="597"/>
      <c r="AD112" s="448">
        <f t="shared" si="7"/>
        <v>0</v>
      </c>
      <c r="AE112" s="448">
        <f t="shared" si="1"/>
        <v>0</v>
      </c>
    </row>
    <row r="113" spans="1:31">
      <c r="A113" s="416"/>
      <c r="B113" s="626" t="s">
        <v>149</v>
      </c>
      <c r="C113" s="629">
        <f>'Simulation Summary'!C18</f>
        <v>1.3220000000000001</v>
      </c>
      <c r="D113" s="631" t="s">
        <v>159</v>
      </c>
      <c r="E113" s="329"/>
      <c r="F113" s="329"/>
      <c r="G113" s="329"/>
      <c r="H113" s="329"/>
      <c r="I113" s="329"/>
      <c r="J113" s="329"/>
      <c r="K113" s="329"/>
      <c r="L113" s="597"/>
      <c r="AD113" s="448">
        <f t="shared" ref="AD113:AD133" si="8">E115</f>
        <v>0</v>
      </c>
      <c r="AE113" s="448">
        <f t="shared" ref="AE113:AE133" si="9">H115</f>
        <v>0</v>
      </c>
    </row>
    <row r="114" spans="1:31" ht="12.75" thickBot="1">
      <c r="A114" s="416"/>
      <c r="B114" s="627" t="s">
        <v>251</v>
      </c>
      <c r="C114" s="598"/>
      <c r="D114" s="632" t="s">
        <v>0</v>
      </c>
      <c r="E114" s="329"/>
      <c r="F114" s="329"/>
      <c r="G114" s="329"/>
      <c r="H114" s="329"/>
      <c r="I114" s="329"/>
      <c r="J114" s="329"/>
      <c r="K114" s="329"/>
      <c r="L114" s="597"/>
      <c r="AD114" s="448">
        <f t="shared" si="8"/>
        <v>0</v>
      </c>
      <c r="AE114" s="448">
        <f t="shared" si="9"/>
        <v>0</v>
      </c>
    </row>
    <row r="115" spans="1:31" ht="13.5" customHeight="1" thickBot="1">
      <c r="A115" s="416"/>
      <c r="B115" s="1534" t="s">
        <v>30</v>
      </c>
      <c r="C115" s="1535"/>
      <c r="D115" s="1535"/>
      <c r="E115" s="1535"/>
      <c r="F115" s="1535"/>
      <c r="G115" s="1535"/>
      <c r="H115" s="1535"/>
      <c r="I115" s="1535"/>
      <c r="J115" s="1535"/>
      <c r="K115" s="1535"/>
      <c r="L115" s="1536"/>
      <c r="M115" s="416"/>
      <c r="N115" s="1267" t="s">
        <v>1291</v>
      </c>
      <c r="O115" s="1267" t="s">
        <v>1290</v>
      </c>
      <c r="AD115" s="448" t="str">
        <f t="shared" si="8"/>
        <v>Cost, $</v>
      </c>
      <c r="AE115" s="448" t="str">
        <f t="shared" si="9"/>
        <v>Electricity, Btu</v>
      </c>
    </row>
    <row r="116" spans="1:31" ht="13.5" customHeight="1">
      <c r="A116" s="416"/>
      <c r="B116" s="633"/>
      <c r="C116" s="1303" t="s">
        <v>119</v>
      </c>
      <c r="D116" s="1304"/>
      <c r="E116" s="1305"/>
      <c r="F116" s="634"/>
      <c r="G116" s="1303" t="s">
        <v>120</v>
      </c>
      <c r="H116" s="1304"/>
      <c r="I116" s="1305"/>
      <c r="J116" s="1354" t="s">
        <v>161</v>
      </c>
      <c r="K116" s="1299" t="s">
        <v>162</v>
      </c>
      <c r="L116" s="1300"/>
      <c r="M116" s="416"/>
      <c r="N116" s="1268"/>
      <c r="O116" s="1268"/>
      <c r="AD116" s="448" t="e">
        <f t="shared" si="8"/>
        <v>#DIV/0!</v>
      </c>
      <c r="AE116" s="448">
        <f t="shared" si="9"/>
        <v>0</v>
      </c>
    </row>
    <row r="117" spans="1:31" ht="12" customHeight="1" thickBot="1">
      <c r="A117" s="416"/>
      <c r="B117" s="635"/>
      <c r="C117" s="636" t="s">
        <v>1</v>
      </c>
      <c r="D117" s="636" t="s">
        <v>163</v>
      </c>
      <c r="E117" s="636" t="s">
        <v>166</v>
      </c>
      <c r="F117" s="445"/>
      <c r="G117" s="636" t="s">
        <v>1</v>
      </c>
      <c r="H117" s="636" t="s">
        <v>163</v>
      </c>
      <c r="I117" s="636" t="s">
        <v>166</v>
      </c>
      <c r="J117" s="1355"/>
      <c r="K117" s="1301"/>
      <c r="L117" s="1302"/>
      <c r="N117" s="1269"/>
      <c r="O117" s="1269"/>
      <c r="AD117" s="448" t="e">
        <f t="shared" si="8"/>
        <v>#DIV/0!</v>
      </c>
      <c r="AE117" s="448">
        <f t="shared" si="9"/>
        <v>0</v>
      </c>
    </row>
    <row r="118" spans="1:31">
      <c r="A118" s="416"/>
      <c r="B118" s="637" t="s">
        <v>167</v>
      </c>
      <c r="C118" s="638" t="e">
        <f>100000*SUMIF('Results from eQUEST'!$AY$8:$BJ$8, B118, 'Results from eQUEST'!$AY$19:$BJ$19)</f>
        <v>#DIV/0!</v>
      </c>
      <c r="D118" s="638" t="e">
        <f>3412*SUMIF('Results from eQUEST'!$M$8:$X$8,B118, 'Results from eQUEST'!$M$19:$X$19)</f>
        <v>#DIV/0!</v>
      </c>
      <c r="E118" s="639" t="e">
        <f>C118/100000*$C$113+D118/3412*$C$112</f>
        <v>#DIV/0!</v>
      </c>
      <c r="F118" s="640"/>
      <c r="G118" s="638">
        <f>100000*SUMIF('Results from eQUEST'!$AY$8:$BJ$8, B118, 'Results from eQUEST'!$AY$22:$BJ$22)</f>
        <v>0</v>
      </c>
      <c r="H118" s="638">
        <f>3412*SUMIF('Results from eQUEST'!$M$8:$X$8,B118, 'Results from eQUEST'!$M$22:$X$22)</f>
        <v>0</v>
      </c>
      <c r="I118" s="639">
        <f>G118/100000*$C$113+H118/3412*$C$112</f>
        <v>0</v>
      </c>
      <c r="J118" s="641" t="e">
        <f>IF(SUM(C118:D118)=0,0,(SUM(C118:D118)-SUM(G118:H118))/SUM(C118:D118))</f>
        <v>#DIV/0!</v>
      </c>
      <c r="K118" s="1344" t="e">
        <f>IF(E118=0,0,(E118-I118)/E118)</f>
        <v>#DIV/0!</v>
      </c>
      <c r="L118" s="1345"/>
      <c r="M118" s="416"/>
      <c r="N118" s="648" t="e">
        <f>(E118-J118)/($E$125-$J$125)</f>
        <v>#DIV/0!</v>
      </c>
      <c r="O118" s="1178" t="e">
        <f>N118*$K$125*100</f>
        <v>#DIV/0!</v>
      </c>
      <c r="AD118" s="448" t="e">
        <f t="shared" si="8"/>
        <v>#DIV/0!</v>
      </c>
      <c r="AE118" s="448">
        <f t="shared" si="9"/>
        <v>0</v>
      </c>
    </row>
    <row r="119" spans="1:31">
      <c r="A119" s="416"/>
      <c r="B119" s="637" t="s">
        <v>168</v>
      </c>
      <c r="C119" s="638" t="e">
        <f>100000*SUMIF('Results from eQUEST'!$AY$8:$BJ$8, B119, 'Results from eQUEST'!$AY$19:$BJ$19)</f>
        <v>#DIV/0!</v>
      </c>
      <c r="D119" s="638" t="e">
        <f>3412*SUMIF('Results from eQUEST'!$M$8:$X$8,B119, 'Results from eQUEST'!$M$19:$X$19)</f>
        <v>#DIV/0!</v>
      </c>
      <c r="E119" s="639" t="e">
        <f t="shared" ref="E119:E126" si="10">C119/100000*$C$113+D119/3412*$C$112</f>
        <v>#DIV/0!</v>
      </c>
      <c r="F119" s="640"/>
      <c r="G119" s="638">
        <f>100000*SUMIF('Results from eQUEST'!$AY$8:$BJ$8, B119, 'Results from eQUEST'!$AY$22:$BJ$22)</f>
        <v>0</v>
      </c>
      <c r="H119" s="638">
        <f>3412*SUMIF('Results from eQUEST'!$M$8:$X$8,B119, 'Results from eQUEST'!$M$22:$X$22)</f>
        <v>0</v>
      </c>
      <c r="I119" s="639">
        <f t="shared" ref="I119:I126" si="11">G119/100000*$C$113+H119/3412*$C$112</f>
        <v>0</v>
      </c>
      <c r="J119" s="641" t="e">
        <f t="shared" ref="J119:J125" si="12">IF(SUM(C119:D119)=0,0,(SUM(C119:D119)-SUM(G119:H119))/SUM(C119:D119))</f>
        <v>#DIV/0!</v>
      </c>
      <c r="K119" s="1344" t="e">
        <f t="shared" ref="K119:K125" si="13">IF(E119=0,0,(E119-I119)/E119)</f>
        <v>#DIV/0!</v>
      </c>
      <c r="L119" s="1345"/>
      <c r="M119" s="416"/>
      <c r="N119" s="648" t="e">
        <f t="shared" ref="N119:N124" si="14">(E119-J119)/($E$125-$J$125)</f>
        <v>#DIV/0!</v>
      </c>
      <c r="O119" s="1178" t="e">
        <f t="shared" ref="O119:O124" si="15">N119*$K$125*100</f>
        <v>#DIV/0!</v>
      </c>
      <c r="AD119" s="448" t="e">
        <f t="shared" si="8"/>
        <v>#DIV/0!</v>
      </c>
      <c r="AE119" s="448">
        <f t="shared" si="9"/>
        <v>0</v>
      </c>
    </row>
    <row r="120" spans="1:31">
      <c r="A120" s="416"/>
      <c r="B120" s="637" t="s">
        <v>169</v>
      </c>
      <c r="C120" s="638" t="e">
        <f>100000*SUMIF('Results from eQUEST'!$AY$8:$BJ$8, B120, 'Results from eQUEST'!$AY$19:$BJ$19)</f>
        <v>#DIV/0!</v>
      </c>
      <c r="D120" s="638" t="e">
        <f>3412*SUMIF('Results from eQUEST'!$M$8:$X$8,B120, 'Results from eQUEST'!$M$19:$X$19)</f>
        <v>#DIV/0!</v>
      </c>
      <c r="E120" s="639" t="e">
        <f t="shared" si="10"/>
        <v>#DIV/0!</v>
      </c>
      <c r="F120" s="640"/>
      <c r="G120" s="638">
        <f>100000*SUMIF('Results from eQUEST'!$AY$8:$BJ$8, B120, 'Results from eQUEST'!$AY$22:$BJ$22)</f>
        <v>0</v>
      </c>
      <c r="H120" s="638">
        <f>3412*SUMIF('Results from eQUEST'!$M$8:$X$8,B120, 'Results from eQUEST'!$M$22:$X$22)</f>
        <v>0</v>
      </c>
      <c r="I120" s="639">
        <f t="shared" si="11"/>
        <v>0</v>
      </c>
      <c r="J120" s="641" t="e">
        <f t="shared" si="12"/>
        <v>#DIV/0!</v>
      </c>
      <c r="K120" s="1344" t="e">
        <f t="shared" si="13"/>
        <v>#DIV/0!</v>
      </c>
      <c r="L120" s="1345"/>
      <c r="M120" s="416"/>
      <c r="N120" s="648" t="e">
        <f t="shared" si="14"/>
        <v>#DIV/0!</v>
      </c>
      <c r="O120" s="1178" t="e">
        <f t="shared" si="15"/>
        <v>#DIV/0!</v>
      </c>
      <c r="AD120" s="448" t="e">
        <f t="shared" si="8"/>
        <v>#DIV/0!</v>
      </c>
      <c r="AE120" s="448">
        <f t="shared" si="9"/>
        <v>0</v>
      </c>
    </row>
    <row r="121" spans="1:31">
      <c r="A121" s="416"/>
      <c r="B121" s="637" t="s">
        <v>170</v>
      </c>
      <c r="C121" s="638" t="e">
        <f>100000*SUMIF('Results from eQUEST'!$AY$8:$BJ$8, B121, 'Results from eQUEST'!$AY$19:$BJ$19)</f>
        <v>#DIV/0!</v>
      </c>
      <c r="D121" s="638" t="e">
        <f>3412*SUMIF('Results from eQUEST'!$M$8:$X$8,B121, 'Results from eQUEST'!$M$19:$X$19)</f>
        <v>#DIV/0!</v>
      </c>
      <c r="E121" s="639" t="e">
        <f t="shared" si="10"/>
        <v>#DIV/0!</v>
      </c>
      <c r="F121" s="640"/>
      <c r="G121" s="638">
        <f>100000*SUMIF('Results from eQUEST'!$AY$8:$BJ$8, B121, 'Results from eQUEST'!$AY$22:$BJ$22)</f>
        <v>0</v>
      </c>
      <c r="H121" s="638">
        <f>3412*SUMIF('Results from eQUEST'!$M$8:$X$8,B121, 'Results from eQUEST'!$M$22:$X$22)</f>
        <v>0</v>
      </c>
      <c r="I121" s="639">
        <f t="shared" si="11"/>
        <v>0</v>
      </c>
      <c r="J121" s="641" t="e">
        <f t="shared" si="12"/>
        <v>#DIV/0!</v>
      </c>
      <c r="K121" s="1344" t="e">
        <f t="shared" si="13"/>
        <v>#DIV/0!</v>
      </c>
      <c r="L121" s="1345"/>
      <c r="M121" s="416"/>
      <c r="N121" s="648" t="e">
        <f t="shared" si="14"/>
        <v>#DIV/0!</v>
      </c>
      <c r="O121" s="1178" t="e">
        <f t="shared" si="15"/>
        <v>#DIV/0!</v>
      </c>
    </row>
    <row r="122" spans="1:31">
      <c r="A122" s="416"/>
      <c r="B122" s="637" t="s">
        <v>171</v>
      </c>
      <c r="C122" s="638" t="e">
        <f>100000*SUMIF('Results from eQUEST'!$AY$8:$BJ$8, B122, 'Results from eQUEST'!$AY$19:$BJ$19)</f>
        <v>#DIV/0!</v>
      </c>
      <c r="D122" s="638" t="e">
        <f>3412*SUMIF('Results from eQUEST'!$M$8:$X$8,B122, 'Results from eQUEST'!$M$19:$X$19)</f>
        <v>#DIV/0!</v>
      </c>
      <c r="E122" s="639" t="e">
        <f t="shared" si="10"/>
        <v>#DIV/0!</v>
      </c>
      <c r="F122" s="640"/>
      <c r="G122" s="638">
        <f>100000*SUMIF('Results from eQUEST'!$AY$8:$BJ$8, B122, 'Results from eQUEST'!$AY$22:$BJ$22)</f>
        <v>0</v>
      </c>
      <c r="H122" s="638">
        <f>3412*SUMIF('Results from eQUEST'!$M$8:$X$8,B122, 'Results from eQUEST'!$M$22:$X$22)</f>
        <v>0</v>
      </c>
      <c r="I122" s="639">
        <f t="shared" si="11"/>
        <v>0</v>
      </c>
      <c r="J122" s="641" t="e">
        <f t="shared" si="12"/>
        <v>#DIV/0!</v>
      </c>
      <c r="K122" s="1344" t="e">
        <f t="shared" si="13"/>
        <v>#DIV/0!</v>
      </c>
      <c r="L122" s="1345"/>
      <c r="M122" s="416"/>
      <c r="N122" s="648" t="e">
        <f t="shared" si="14"/>
        <v>#DIV/0!</v>
      </c>
      <c r="O122" s="1178" t="e">
        <f t="shared" si="15"/>
        <v>#DIV/0!</v>
      </c>
    </row>
    <row r="123" spans="1:31">
      <c r="A123" s="416"/>
      <c r="B123" s="637" t="s">
        <v>1106</v>
      </c>
      <c r="C123" s="638" t="e">
        <f>100000*SUMIF('Results from eQUEST'!$AY$8:$BJ$8, B123, 'Results from eQUEST'!$AY$19:$BJ$19)</f>
        <v>#DIV/0!</v>
      </c>
      <c r="D123" s="638" t="e">
        <f>3412*SUMIF('Results from eQUEST'!$M$8:$X$8,B123, 'Results from eQUEST'!$M$19:$X$19)</f>
        <v>#DIV/0!</v>
      </c>
      <c r="E123" s="639" t="e">
        <f t="shared" ref="E123:E124" si="16">C123/100000*$C$113+D123/3412*$C$112</f>
        <v>#DIV/0!</v>
      </c>
      <c r="F123" s="640"/>
      <c r="G123" s="638">
        <f>100000*SUMIF('Results from eQUEST'!$AY$8:$BJ$8, B123, 'Results from eQUEST'!$AY$22:$BJ$22)</f>
        <v>0</v>
      </c>
      <c r="H123" s="638">
        <f>3412*SUMIF('Results from eQUEST'!$M$8:$X$8,B123, 'Results from eQUEST'!$M$22:$X$22)</f>
        <v>0</v>
      </c>
      <c r="I123" s="639">
        <f t="shared" ref="I123:I124" si="17">G123/100000*$C$113+H123/3412*$C$112</f>
        <v>0</v>
      </c>
      <c r="J123" s="641" t="e">
        <f t="shared" ref="J123:J124" si="18">IF(SUM(C123:D123)=0,0,(SUM(C123:D123)-SUM(G123:H123))/SUM(C123:D123))</f>
        <v>#DIV/0!</v>
      </c>
      <c r="K123" s="1344" t="e">
        <f t="shared" ref="K123:K124" si="19">IF(E123=0,0,(E123-I123)/E123)</f>
        <v>#DIV/0!</v>
      </c>
      <c r="L123" s="1345"/>
      <c r="M123" s="416"/>
      <c r="N123" s="648" t="e">
        <f t="shared" si="14"/>
        <v>#DIV/0!</v>
      </c>
      <c r="O123" s="1178" t="e">
        <f t="shared" si="15"/>
        <v>#DIV/0!</v>
      </c>
      <c r="AD123" s="448" t="e">
        <f>E125</f>
        <v>#DIV/0!</v>
      </c>
      <c r="AE123" s="448">
        <f>H125</f>
        <v>0</v>
      </c>
    </row>
    <row r="124" spans="1:31" ht="12.75" thickBot="1">
      <c r="A124" s="416"/>
      <c r="B124" s="637" t="s">
        <v>1107</v>
      </c>
      <c r="C124" s="638" t="e">
        <f>100000*SUMIF('Results from eQUEST'!$AY$8:$BJ$8, B124, 'Results from eQUEST'!$AY$19:$BJ$19)</f>
        <v>#DIV/0!</v>
      </c>
      <c r="D124" s="638" t="e">
        <f>3412*SUMIF('Results from eQUEST'!$M$8:$X$8,B124, 'Results from eQUEST'!$M$19:$X$19)</f>
        <v>#DIV/0!</v>
      </c>
      <c r="E124" s="639" t="e">
        <f t="shared" si="16"/>
        <v>#DIV/0!</v>
      </c>
      <c r="F124" s="642"/>
      <c r="G124" s="638">
        <f>100000*SUMIF('Results from eQUEST'!$AY$8:$BJ$8, B124, 'Results from eQUEST'!$AY$22:$BJ$22)</f>
        <v>0</v>
      </c>
      <c r="H124" s="638">
        <f>3412*SUMIF('Results from eQUEST'!$M$8:$X$8,B124, 'Results from eQUEST'!$M$22:$X$22)</f>
        <v>0</v>
      </c>
      <c r="I124" s="639">
        <f t="shared" si="17"/>
        <v>0</v>
      </c>
      <c r="J124" s="641" t="e">
        <f t="shared" si="18"/>
        <v>#DIV/0!</v>
      </c>
      <c r="K124" s="1344" t="e">
        <f t="shared" si="19"/>
        <v>#DIV/0!</v>
      </c>
      <c r="L124" s="1345"/>
      <c r="M124" s="416"/>
      <c r="N124" s="649" t="e">
        <f t="shared" si="14"/>
        <v>#DIV/0!</v>
      </c>
      <c r="O124" s="1178" t="e">
        <f t="shared" si="15"/>
        <v>#DIV/0!</v>
      </c>
    </row>
    <row r="125" spans="1:31" ht="12.75" thickBot="1">
      <c r="A125" s="416"/>
      <c r="B125" s="643" t="s">
        <v>770</v>
      </c>
      <c r="C125" s="638" t="e">
        <f>SUM(C118:C124)</f>
        <v>#DIV/0!</v>
      </c>
      <c r="D125" s="638" t="e">
        <f>SUM(D118:D124)</f>
        <v>#DIV/0!</v>
      </c>
      <c r="E125" s="639" t="e">
        <f>SUM(E118:E124)</f>
        <v>#DIV/0!</v>
      </c>
      <c r="F125" s="644"/>
      <c r="G125" s="638">
        <f>SUM(G118:G124)</f>
        <v>0</v>
      </c>
      <c r="H125" s="638">
        <f>SUM(H118:H124)</f>
        <v>0</v>
      </c>
      <c r="I125" s="639">
        <f>SUM(I118:I124)</f>
        <v>0</v>
      </c>
      <c r="J125" s="641" t="e">
        <f t="shared" si="12"/>
        <v>#DIV/0!</v>
      </c>
      <c r="K125" s="1356" t="e">
        <f t="shared" si="13"/>
        <v>#DIV/0!</v>
      </c>
      <c r="L125" s="1357"/>
      <c r="M125" s="416"/>
      <c r="N125" s="650" t="e">
        <f>SUM(N118:N124)</f>
        <v>#DIV/0!</v>
      </c>
      <c r="O125" s="1179" t="e">
        <f>SUM(O118:O124)</f>
        <v>#DIV/0!</v>
      </c>
      <c r="AD125" s="448">
        <f>E129</f>
        <v>0</v>
      </c>
      <c r="AE125" s="448">
        <f>H129</f>
        <v>0</v>
      </c>
    </row>
    <row r="126" spans="1:31">
      <c r="A126" s="416"/>
      <c r="B126" s="637" t="s">
        <v>771</v>
      </c>
      <c r="C126" s="645">
        <v>0</v>
      </c>
      <c r="D126" s="645">
        <v>0</v>
      </c>
      <c r="E126" s="639">
        <f t="shared" si="10"/>
        <v>0</v>
      </c>
      <c r="F126" s="644"/>
      <c r="G126" s="306"/>
      <c r="H126" s="306"/>
      <c r="I126" s="639">
        <f t="shared" si="11"/>
        <v>0</v>
      </c>
      <c r="J126" s="641">
        <f t="shared" ref="J126:J127" si="20">IF(SUM(C126:D126)=0,0,(SUM(C126:D126)-SUM(G126:H126))/SUM(C126:D126))</f>
        <v>0</v>
      </c>
      <c r="K126" s="1344">
        <f>IF(E126=0,0,(E126-I126)/E126)</f>
        <v>0</v>
      </c>
      <c r="L126" s="1345"/>
      <c r="M126" s="416"/>
    </row>
    <row r="127" spans="1:31" ht="12.75" thickBot="1">
      <c r="A127" s="416"/>
      <c r="B127" s="646" t="s">
        <v>772</v>
      </c>
      <c r="C127" s="638" t="e">
        <f>C125</f>
        <v>#DIV/0!</v>
      </c>
      <c r="D127" s="638" t="e">
        <f>D125</f>
        <v>#DIV/0!</v>
      </c>
      <c r="E127" s="639" t="e">
        <f>E125</f>
        <v>#DIV/0!</v>
      </c>
      <c r="F127" s="647"/>
      <c r="G127" s="638">
        <f>G126+G125</f>
        <v>0</v>
      </c>
      <c r="H127" s="638">
        <f>H126+H125</f>
        <v>0</v>
      </c>
      <c r="I127" s="639">
        <f>I126+I125</f>
        <v>0</v>
      </c>
      <c r="J127" s="641" t="e">
        <f t="shared" si="20"/>
        <v>#DIV/0!</v>
      </c>
      <c r="K127" s="1342" t="e">
        <f t="shared" ref="K127" si="21">IF(E127=0,0,(E127-I127)/E127)</f>
        <v>#DIV/0!</v>
      </c>
      <c r="L127" s="1343"/>
      <c r="M127" s="416"/>
    </row>
    <row r="128" spans="1:31" ht="13.5" customHeight="1" thickBot="1">
      <c r="A128" s="416"/>
      <c r="B128" s="1534" t="s">
        <v>31</v>
      </c>
      <c r="C128" s="1535"/>
      <c r="D128" s="1535"/>
      <c r="E128" s="1535"/>
      <c r="F128" s="1535"/>
      <c r="G128" s="1535"/>
      <c r="H128" s="1535"/>
      <c r="I128" s="1535"/>
      <c r="J128" s="1535"/>
      <c r="K128" s="1535"/>
      <c r="L128" s="1536"/>
      <c r="AD128" s="448">
        <f t="shared" si="8"/>
        <v>0</v>
      </c>
      <c r="AE128" s="448">
        <f t="shared" si="9"/>
        <v>0</v>
      </c>
    </row>
    <row r="129" spans="1:31">
      <c r="A129" s="416"/>
      <c r="B129" s="651"/>
      <c r="C129" s="652" t="s">
        <v>119</v>
      </c>
      <c r="D129" s="653" t="s">
        <v>120</v>
      </c>
      <c r="E129" s="599"/>
      <c r="F129" s="600"/>
      <c r="G129" s="600"/>
      <c r="H129" s="600"/>
      <c r="I129" s="600"/>
      <c r="J129" s="600"/>
      <c r="K129" s="600"/>
      <c r="L129" s="601"/>
      <c r="AD129" s="448">
        <f t="shared" si="8"/>
        <v>0</v>
      </c>
      <c r="AE129" s="448">
        <f t="shared" si="9"/>
        <v>0</v>
      </c>
    </row>
    <row r="130" spans="1:31">
      <c r="A130" s="416"/>
      <c r="B130" s="654"/>
      <c r="C130" s="655" t="s">
        <v>178</v>
      </c>
      <c r="D130" s="656" t="s">
        <v>178</v>
      </c>
      <c r="E130" s="602"/>
      <c r="F130" s="329"/>
      <c r="G130" s="329"/>
      <c r="H130" s="329"/>
      <c r="I130" s="329"/>
      <c r="J130" s="329"/>
      <c r="K130" s="329"/>
      <c r="L130" s="597"/>
      <c r="AD130" s="448">
        <f t="shared" si="8"/>
        <v>0</v>
      </c>
      <c r="AE130" s="448">
        <f t="shared" si="9"/>
        <v>0</v>
      </c>
    </row>
    <row r="131" spans="1:31">
      <c r="A131" s="416"/>
      <c r="B131" s="657" t="s">
        <v>167</v>
      </c>
      <c r="C131" s="658">
        <f>IF('GHSF Calculator'!$E$18=0,0,SUM(C118:D118)/'GHSF Calculator'!$E$18)</f>
        <v>0</v>
      </c>
      <c r="D131" s="659">
        <f>IF('GHSF Calculator'!$E$18=0,0,SUM(G118:H118)/'GHSF Calculator'!$E$18)</f>
        <v>0</v>
      </c>
      <c r="E131" s="602"/>
      <c r="F131" s="329"/>
      <c r="G131" s="329"/>
      <c r="H131" s="329"/>
      <c r="I131" s="329"/>
      <c r="J131" s="329"/>
      <c r="K131" s="329"/>
      <c r="L131" s="597"/>
      <c r="AD131" s="448">
        <f t="shared" si="8"/>
        <v>0</v>
      </c>
      <c r="AE131" s="448">
        <f t="shared" si="9"/>
        <v>0</v>
      </c>
    </row>
    <row r="132" spans="1:31">
      <c r="A132" s="416"/>
      <c r="B132" s="637" t="s">
        <v>168</v>
      </c>
      <c r="C132" s="660">
        <f>IF('GHSF Calculator'!$E$18=0,0,SUM(C119:D119)/'GHSF Calculator'!$E$18)</f>
        <v>0</v>
      </c>
      <c r="D132" s="661">
        <f>IF('GHSF Calculator'!$E$18=0,0,SUM(G119:H119)/'GHSF Calculator'!$E$18)</f>
        <v>0</v>
      </c>
      <c r="E132" s="602"/>
      <c r="F132" s="329"/>
      <c r="G132" s="329"/>
      <c r="H132" s="329"/>
      <c r="I132" s="329"/>
      <c r="J132" s="329"/>
      <c r="K132" s="329"/>
      <c r="L132" s="597"/>
      <c r="AD132" s="448">
        <f t="shared" si="8"/>
        <v>0</v>
      </c>
      <c r="AE132" s="448">
        <f t="shared" si="9"/>
        <v>0</v>
      </c>
    </row>
    <row r="133" spans="1:31">
      <c r="A133" s="416"/>
      <c r="B133" s="637" t="s">
        <v>169</v>
      </c>
      <c r="C133" s="660">
        <f>IF('GHSF Calculator'!$E$18=0,0,SUM(C120:D120)/'GHSF Calculator'!$E$18)</f>
        <v>0</v>
      </c>
      <c r="D133" s="661">
        <f>IF('GHSF Calculator'!$E$18=0,0,SUM(G120:H120)/'GHSF Calculator'!$E$18)</f>
        <v>0</v>
      </c>
      <c r="E133" s="602"/>
      <c r="F133" s="329"/>
      <c r="G133" s="329"/>
      <c r="H133" s="329"/>
      <c r="I133" s="329"/>
      <c r="J133" s="329"/>
      <c r="K133" s="329"/>
      <c r="L133" s="597"/>
      <c r="AD133" s="448">
        <f t="shared" si="8"/>
        <v>0</v>
      </c>
      <c r="AE133" s="448">
        <f t="shared" si="9"/>
        <v>0</v>
      </c>
    </row>
    <row r="134" spans="1:31">
      <c r="A134" s="416"/>
      <c r="B134" s="637" t="s">
        <v>170</v>
      </c>
      <c r="C134" s="660">
        <f>IF('GHSF Calculator'!$E$18=0,0,SUM(C121:D121)/'GHSF Calculator'!$E$18)</f>
        <v>0</v>
      </c>
      <c r="D134" s="661">
        <f>IF('GHSF Calculator'!$E$18=0,0,SUM(G121:H121)/'GHSF Calculator'!$E$18)</f>
        <v>0</v>
      </c>
      <c r="E134" s="602"/>
      <c r="F134" s="329"/>
      <c r="G134" s="329"/>
      <c r="H134" s="329"/>
      <c r="I134" s="329"/>
      <c r="J134" s="329"/>
      <c r="K134" s="329"/>
      <c r="L134" s="597"/>
    </row>
    <row r="135" spans="1:31">
      <c r="A135" s="416"/>
      <c r="B135" s="637" t="s">
        <v>171</v>
      </c>
      <c r="C135" s="660">
        <f>IF('GHSF Calculator'!$E$18=0,0,SUM(C122:D122)/'GHSF Calculator'!$E$18)</f>
        <v>0</v>
      </c>
      <c r="D135" s="661">
        <f>IF('GHSF Calculator'!$E$18=0,0,SUM(G122:H122)/'GHSF Calculator'!$E$18)</f>
        <v>0</v>
      </c>
      <c r="E135" s="602"/>
      <c r="F135" s="329"/>
      <c r="G135" s="329"/>
      <c r="H135" s="329"/>
      <c r="I135" s="329"/>
      <c r="J135" s="329"/>
      <c r="K135" s="329"/>
      <c r="L135" s="597"/>
    </row>
    <row r="136" spans="1:31">
      <c r="A136" s="416"/>
      <c r="B136" s="637" t="s">
        <v>1106</v>
      </c>
      <c r="C136" s="660">
        <f>IF('GHSF Calculator'!$E$18=0,0,SUM(C123:D123)/'GHSF Calculator'!$E$18)</f>
        <v>0</v>
      </c>
      <c r="D136" s="661">
        <f>IF('GHSF Calculator'!$E$18=0,0,SUM(G123:H123)/'GHSF Calculator'!$E$18)</f>
        <v>0</v>
      </c>
      <c r="E136" s="602"/>
      <c r="F136" s="329"/>
      <c r="G136" s="329"/>
      <c r="H136" s="329"/>
      <c r="I136" s="329"/>
      <c r="J136" s="329"/>
      <c r="K136" s="329"/>
      <c r="L136" s="597"/>
      <c r="AD136" s="448">
        <f>E138</f>
        <v>0</v>
      </c>
      <c r="AE136" s="448">
        <f>H138</f>
        <v>0</v>
      </c>
    </row>
    <row r="137" spans="1:31">
      <c r="A137" s="416"/>
      <c r="B137" s="662" t="s">
        <v>1107</v>
      </c>
      <c r="C137" s="660">
        <f>IF('GHSF Calculator'!$E$18=0,0,SUM(C124:D124)/'GHSF Calculator'!$E$18)</f>
        <v>0</v>
      </c>
      <c r="D137" s="661">
        <f>IF('GHSF Calculator'!$E$18=0,0,SUM(G124:H124)/'GHSF Calculator'!$E$18)</f>
        <v>0</v>
      </c>
      <c r="E137" s="602"/>
      <c r="F137" s="329"/>
      <c r="G137" s="329"/>
      <c r="H137" s="329"/>
      <c r="I137" s="329"/>
      <c r="J137" s="329"/>
      <c r="K137" s="329"/>
      <c r="L137" s="597"/>
    </row>
    <row r="138" spans="1:31" ht="12.75" thickBot="1">
      <c r="A138" s="416"/>
      <c r="B138" s="646" t="s">
        <v>770</v>
      </c>
      <c r="C138" s="663">
        <f>IF('GHSF Calculator'!$E$18=0,0,SUM(C125:D125)/'GHSF Calculator'!$E$18)</f>
        <v>0</v>
      </c>
      <c r="D138" s="664">
        <f>IF('GHSF Calculator'!$E$18=0,0,SUM(G125:H125)/'GHSF Calculator'!$E$18)</f>
        <v>0</v>
      </c>
      <c r="E138" s="603"/>
      <c r="F138" s="604"/>
      <c r="G138" s="604"/>
      <c r="H138" s="604"/>
      <c r="I138" s="604"/>
      <c r="J138" s="604"/>
      <c r="K138" s="604"/>
      <c r="L138" s="605"/>
    </row>
    <row r="139" spans="1:31" ht="13.5" customHeight="1" thickBot="1">
      <c r="B139" s="1531"/>
      <c r="C139" s="1532"/>
      <c r="D139" s="1532"/>
      <c r="E139" s="1532"/>
      <c r="F139" s="1532"/>
      <c r="G139" s="1532"/>
      <c r="H139" s="1532"/>
      <c r="I139" s="1532"/>
      <c r="J139" s="1532"/>
      <c r="K139" s="1532"/>
      <c r="L139" s="1533"/>
    </row>
    <row r="140" spans="1:31">
      <c r="B140" s="416"/>
    </row>
  </sheetData>
  <sheetProtection sheet="1" objects="1" scenarios="1" formatCells="0" insertRows="0"/>
  <mergeCells count="343">
    <mergeCell ref="I6:L6"/>
    <mergeCell ref="B8:C8"/>
    <mergeCell ref="D8:F8"/>
    <mergeCell ref="B10:C10"/>
    <mergeCell ref="D10:F10"/>
    <mergeCell ref="K124:L124"/>
    <mergeCell ref="B2:L3"/>
    <mergeCell ref="B139:L139"/>
    <mergeCell ref="B5:L5"/>
    <mergeCell ref="B11:L11"/>
    <mergeCell ref="B16:L16"/>
    <mergeCell ref="B29:L29"/>
    <mergeCell ref="B38:L38"/>
    <mergeCell ref="B85:L85"/>
    <mergeCell ref="B111:L111"/>
    <mergeCell ref="B115:L115"/>
    <mergeCell ref="B128:L128"/>
    <mergeCell ref="G17:H17"/>
    <mergeCell ref="G22:H22"/>
    <mergeCell ref="F30:L30"/>
    <mergeCell ref="G97:H97"/>
    <mergeCell ref="E80:G80"/>
    <mergeCell ref="B80:C80"/>
    <mergeCell ref="B77:C77"/>
    <mergeCell ref="B82:C82"/>
    <mergeCell ref="H71:L71"/>
    <mergeCell ref="B69:C69"/>
    <mergeCell ref="E83:G83"/>
    <mergeCell ref="G88:H88"/>
    <mergeCell ref="E82:G82"/>
    <mergeCell ref="B78:L78"/>
    <mergeCell ref="H75:L75"/>
    <mergeCell ref="B83:C83"/>
    <mergeCell ref="E75:G75"/>
    <mergeCell ref="B84:C84"/>
    <mergeCell ref="E77:G77"/>
    <mergeCell ref="H76:L76"/>
    <mergeCell ref="H77:L77"/>
    <mergeCell ref="K86:L86"/>
    <mergeCell ref="B86:C86"/>
    <mergeCell ref="E70:G70"/>
    <mergeCell ref="E69:G69"/>
    <mergeCell ref="B79:C79"/>
    <mergeCell ref="H80:L80"/>
    <mergeCell ref="H82:L82"/>
    <mergeCell ref="H73:L73"/>
    <mergeCell ref="B72:L72"/>
    <mergeCell ref="B81:L81"/>
    <mergeCell ref="H48:L48"/>
    <mergeCell ref="E48:G48"/>
    <mergeCell ref="B53:L53"/>
    <mergeCell ref="E47:G47"/>
    <mergeCell ref="H49:L49"/>
    <mergeCell ref="E68:G68"/>
    <mergeCell ref="B55:C55"/>
    <mergeCell ref="B62:C62"/>
    <mergeCell ref="B65:C65"/>
    <mergeCell ref="B60:C60"/>
    <mergeCell ref="B59:C59"/>
    <mergeCell ref="B57:C57"/>
    <mergeCell ref="H52:L52"/>
    <mergeCell ref="E56:G56"/>
    <mergeCell ref="E61:G61"/>
    <mergeCell ref="E60:G60"/>
    <mergeCell ref="E55:G55"/>
    <mergeCell ref="H55:L55"/>
    <mergeCell ref="E49:G49"/>
    <mergeCell ref="E51:G51"/>
    <mergeCell ref="E42:G42"/>
    <mergeCell ref="E39:G39"/>
    <mergeCell ref="B39:C39"/>
    <mergeCell ref="H50:L50"/>
    <mergeCell ref="H46:L46"/>
    <mergeCell ref="H54:L54"/>
    <mergeCell ref="H56:L56"/>
    <mergeCell ref="E57:G57"/>
    <mergeCell ref="H57:L57"/>
    <mergeCell ref="H51:L51"/>
    <mergeCell ref="E54:G54"/>
    <mergeCell ref="H44:L44"/>
    <mergeCell ref="E44:G44"/>
    <mergeCell ref="B48:C48"/>
    <mergeCell ref="B56:C56"/>
    <mergeCell ref="B54:C54"/>
    <mergeCell ref="B51:C51"/>
    <mergeCell ref="E46:G46"/>
    <mergeCell ref="B49:C49"/>
    <mergeCell ref="E50:G50"/>
    <mergeCell ref="B44:C44"/>
    <mergeCell ref="E45:G45"/>
    <mergeCell ref="B45:C45"/>
    <mergeCell ref="B43:C43"/>
    <mergeCell ref="B41:C41"/>
    <mergeCell ref="B40:L40"/>
    <mergeCell ref="E41:G41"/>
    <mergeCell ref="B26:C26"/>
    <mergeCell ref="B32:D32"/>
    <mergeCell ref="B31:D31"/>
    <mergeCell ref="B28:C28"/>
    <mergeCell ref="B30:D30"/>
    <mergeCell ref="B27:C27"/>
    <mergeCell ref="I27:L27"/>
    <mergeCell ref="I28:L28"/>
    <mergeCell ref="I26:L26"/>
    <mergeCell ref="H39:L39"/>
    <mergeCell ref="H41:L41"/>
    <mergeCell ref="B34:D34"/>
    <mergeCell ref="B35:D35"/>
    <mergeCell ref="B36:D36"/>
    <mergeCell ref="B37:D37"/>
    <mergeCell ref="F31:L37"/>
    <mergeCell ref="G18:H18"/>
    <mergeCell ref="B18:C18"/>
    <mergeCell ref="G21:H21"/>
    <mergeCell ref="B24:F25"/>
    <mergeCell ref="I18:L18"/>
    <mergeCell ref="I19:L19"/>
    <mergeCell ref="I20:L20"/>
    <mergeCell ref="D18:F18"/>
    <mergeCell ref="G19:H19"/>
    <mergeCell ref="B19:C19"/>
    <mergeCell ref="B21:C21"/>
    <mergeCell ref="D19:F19"/>
    <mergeCell ref="B22:C22"/>
    <mergeCell ref="B20:C20"/>
    <mergeCell ref="D21:F21"/>
    <mergeCell ref="I21:L21"/>
    <mergeCell ref="I24:L24"/>
    <mergeCell ref="G24:H24"/>
    <mergeCell ref="G25:H25"/>
    <mergeCell ref="I22:L22"/>
    <mergeCell ref="I25:L25"/>
    <mergeCell ref="I15:L15"/>
    <mergeCell ref="G9:H9"/>
    <mergeCell ref="D9:F9"/>
    <mergeCell ref="G10:H10"/>
    <mergeCell ref="I10:L10"/>
    <mergeCell ref="I12:L12"/>
    <mergeCell ref="G12:H12"/>
    <mergeCell ref="D12:F12"/>
    <mergeCell ref="D13:F13"/>
    <mergeCell ref="B9:C9"/>
    <mergeCell ref="G7:H7"/>
    <mergeCell ref="G8:H8"/>
    <mergeCell ref="D23:F23"/>
    <mergeCell ref="G23:H23"/>
    <mergeCell ref="I23:L23"/>
    <mergeCell ref="B23:C23"/>
    <mergeCell ref="B12:C12"/>
    <mergeCell ref="B13:C13"/>
    <mergeCell ref="B14:C14"/>
    <mergeCell ref="B17:C17"/>
    <mergeCell ref="B15:C15"/>
    <mergeCell ref="G20:H20"/>
    <mergeCell ref="D20:F20"/>
    <mergeCell ref="D22:F22"/>
    <mergeCell ref="D17:F17"/>
    <mergeCell ref="G14:H14"/>
    <mergeCell ref="I17:L17"/>
    <mergeCell ref="G13:H13"/>
    <mergeCell ref="G15:H15"/>
    <mergeCell ref="D15:F15"/>
    <mergeCell ref="D14:F14"/>
    <mergeCell ref="I13:L13"/>
    <mergeCell ref="I14:L14"/>
    <mergeCell ref="K106:L106"/>
    <mergeCell ref="B106:C106"/>
    <mergeCell ref="G109:H109"/>
    <mergeCell ref="E108:F108"/>
    <mergeCell ref="B109:C109"/>
    <mergeCell ref="B107:L107"/>
    <mergeCell ref="I7:L7"/>
    <mergeCell ref="I8:L8"/>
    <mergeCell ref="I9:L9"/>
    <mergeCell ref="H60:L60"/>
    <mergeCell ref="B87:L87"/>
    <mergeCell ref="E90:F90"/>
    <mergeCell ref="G90:H90"/>
    <mergeCell ref="E92:F92"/>
    <mergeCell ref="B90:C90"/>
    <mergeCell ref="I90:J90"/>
    <mergeCell ref="K90:L90"/>
    <mergeCell ref="I88:J88"/>
    <mergeCell ref="K88:L88"/>
    <mergeCell ref="I89:J89"/>
    <mergeCell ref="K89:L89"/>
    <mergeCell ref="B88:C88"/>
    <mergeCell ref="B89:C89"/>
    <mergeCell ref="E88:F88"/>
    <mergeCell ref="D6:F6"/>
    <mergeCell ref="D7:F7"/>
    <mergeCell ref="B6:C6"/>
    <mergeCell ref="E99:F99"/>
    <mergeCell ref="H84:L84"/>
    <mergeCell ref="H83:L83"/>
    <mergeCell ref="E86:F86"/>
    <mergeCell ref="G86:H86"/>
    <mergeCell ref="G95:H95"/>
    <mergeCell ref="E96:F96"/>
    <mergeCell ref="E84:G84"/>
    <mergeCell ref="B7:C7"/>
    <mergeCell ref="G6:H6"/>
    <mergeCell ref="B92:C92"/>
    <mergeCell ref="G91:H91"/>
    <mergeCell ref="B95:C95"/>
    <mergeCell ref="I91:J91"/>
    <mergeCell ref="E91:F91"/>
    <mergeCell ref="E94:F94"/>
    <mergeCell ref="I96:J96"/>
    <mergeCell ref="B97:C97"/>
    <mergeCell ref="G89:H89"/>
    <mergeCell ref="E89:F89"/>
    <mergeCell ref="I86:J86"/>
    <mergeCell ref="B110:C110"/>
    <mergeCell ref="E109:F109"/>
    <mergeCell ref="G108:H108"/>
    <mergeCell ref="E106:F106"/>
    <mergeCell ref="G106:H106"/>
    <mergeCell ref="I106:J106"/>
    <mergeCell ref="E102:F102"/>
    <mergeCell ref="G102:H102"/>
    <mergeCell ref="G93:H93"/>
    <mergeCell ref="E93:F93"/>
    <mergeCell ref="B94:C94"/>
    <mergeCell ref="B93:C93"/>
    <mergeCell ref="E97:F97"/>
    <mergeCell ref="E95:F95"/>
    <mergeCell ref="G100:H100"/>
    <mergeCell ref="B99:C99"/>
    <mergeCell ref="E105:F105"/>
    <mergeCell ref="G104:H104"/>
    <mergeCell ref="E101:F101"/>
    <mergeCell ref="E104:F104"/>
    <mergeCell ref="B101:C101"/>
    <mergeCell ref="G105:H105"/>
    <mergeCell ref="B104:C104"/>
    <mergeCell ref="B100:C100"/>
    <mergeCell ref="G94:H94"/>
    <mergeCell ref="G96:H96"/>
    <mergeCell ref="B98:L98"/>
    <mergeCell ref="G99:H99"/>
    <mergeCell ref="K99:L99"/>
    <mergeCell ref="E100:F100"/>
    <mergeCell ref="G101:H101"/>
    <mergeCell ref="I99:J99"/>
    <mergeCell ref="I97:J97"/>
    <mergeCell ref="K97:L97"/>
    <mergeCell ref="K127:L127"/>
    <mergeCell ref="K123:L123"/>
    <mergeCell ref="I101:J101"/>
    <mergeCell ref="K101:L101"/>
    <mergeCell ref="I102:J102"/>
    <mergeCell ref="K102:L102"/>
    <mergeCell ref="I108:J108"/>
    <mergeCell ref="K108:L108"/>
    <mergeCell ref="I109:J109"/>
    <mergeCell ref="K109:L109"/>
    <mergeCell ref="I110:J110"/>
    <mergeCell ref="K110:L110"/>
    <mergeCell ref="I104:J104"/>
    <mergeCell ref="K104:L104"/>
    <mergeCell ref="I105:J105"/>
    <mergeCell ref="K105:L105"/>
    <mergeCell ref="K122:L122"/>
    <mergeCell ref="J116:J117"/>
    <mergeCell ref="K126:L126"/>
    <mergeCell ref="K119:L119"/>
    <mergeCell ref="K120:L120"/>
    <mergeCell ref="K125:L125"/>
    <mergeCell ref="K121:L121"/>
    <mergeCell ref="K118:L118"/>
    <mergeCell ref="B108:C108"/>
    <mergeCell ref="B105:C105"/>
    <mergeCell ref="H69:L69"/>
    <mergeCell ref="B64:C64"/>
    <mergeCell ref="H62:L62"/>
    <mergeCell ref="B74:C74"/>
    <mergeCell ref="B76:C76"/>
    <mergeCell ref="E76:G76"/>
    <mergeCell ref="B71:C71"/>
    <mergeCell ref="E71:G71"/>
    <mergeCell ref="E74:G74"/>
    <mergeCell ref="E73:G73"/>
    <mergeCell ref="B73:C73"/>
    <mergeCell ref="B75:C75"/>
    <mergeCell ref="E65:G65"/>
    <mergeCell ref="E64:G64"/>
    <mergeCell ref="E62:G62"/>
    <mergeCell ref="H70:L70"/>
    <mergeCell ref="H74:L74"/>
    <mergeCell ref="B70:C70"/>
    <mergeCell ref="H68:L68"/>
    <mergeCell ref="B68:C68"/>
    <mergeCell ref="K96:L96"/>
    <mergeCell ref="B102:C102"/>
    <mergeCell ref="E43:G43"/>
    <mergeCell ref="H42:L42"/>
    <mergeCell ref="H79:L79"/>
    <mergeCell ref="E79:G79"/>
    <mergeCell ref="K116:L117"/>
    <mergeCell ref="G116:I116"/>
    <mergeCell ref="B103:L103"/>
    <mergeCell ref="G92:H92"/>
    <mergeCell ref="B91:C91"/>
    <mergeCell ref="C116:E116"/>
    <mergeCell ref="I100:J100"/>
    <mergeCell ref="K100:L100"/>
    <mergeCell ref="K91:L91"/>
    <mergeCell ref="I92:J92"/>
    <mergeCell ref="K92:L92"/>
    <mergeCell ref="I93:J93"/>
    <mergeCell ref="K93:L93"/>
    <mergeCell ref="I94:J94"/>
    <mergeCell ref="K94:L94"/>
    <mergeCell ref="I95:J95"/>
    <mergeCell ref="K95:L95"/>
    <mergeCell ref="B96:C96"/>
    <mergeCell ref="G110:H110"/>
    <mergeCell ref="E110:F110"/>
    <mergeCell ref="N115:N117"/>
    <mergeCell ref="O115:O117"/>
    <mergeCell ref="B42:C42"/>
    <mergeCell ref="H61:L61"/>
    <mergeCell ref="B58:C58"/>
    <mergeCell ref="H58:L58"/>
    <mergeCell ref="E58:G58"/>
    <mergeCell ref="B66:C66"/>
    <mergeCell ref="B67:C67"/>
    <mergeCell ref="E66:G66"/>
    <mergeCell ref="H66:L66"/>
    <mergeCell ref="E67:G67"/>
    <mergeCell ref="H67:L67"/>
    <mergeCell ref="H64:L64"/>
    <mergeCell ref="H65:L65"/>
    <mergeCell ref="H59:L59"/>
    <mergeCell ref="B63:L63"/>
    <mergeCell ref="B61:C61"/>
    <mergeCell ref="E59:G59"/>
    <mergeCell ref="H45:L45"/>
    <mergeCell ref="H47:L47"/>
    <mergeCell ref="E52:G52"/>
    <mergeCell ref="B50:C50"/>
    <mergeCell ref="H43:L43"/>
  </mergeCells>
  <phoneticPr fontId="9" type="noConversion"/>
  <conditionalFormatting sqref="K125:L125">
    <cfRule type="expression" dxfId="27" priority="4">
      <formula>"AND('Basic Info'!$C$42=2,$K$125&lt;.25)"</formula>
    </cfRule>
  </conditionalFormatting>
  <dataValidations count="1">
    <dataValidation type="list" allowBlank="1" showInputMessage="1" showErrorMessage="1" sqref="D6">
      <formula1>"Schematic Drawings, Working Drawings,Construction Contract Awarded, Currently Under Construction, Development Complete"</formula1>
    </dataValidation>
  </dataValidations>
  <pageMargins left="0.25" right="0.25" top="0.75" bottom="0.75" header="0.3" footer="0.3"/>
  <pageSetup paperSize="5" scale="54" orientation="portrait" horizontalDpi="400" verticalDpi="400" r:id="rId1"/>
  <headerFooter alignWithMargins="0">
    <oddFooter>&amp;LEPA ENERGY STAR Multifamily High-Rise Program</oddFooter>
  </headerFooter>
  <rowBreaks count="1" manualBreakCount="1">
    <brk id="109" max="16383" man="1"/>
  </rowBreaks>
  <extLst>
    <ext xmlns:x14="http://schemas.microsoft.com/office/spreadsheetml/2009/9/main" uri="{78C0D931-6437-407d-A8EE-F0AAD7539E65}">
      <x14:conditionalFormattings>
        <x14:conditionalFormatting xmlns:xm="http://schemas.microsoft.com/office/excel/2006/main">
          <x14:cfRule type="expression" priority="2" id="{2077A9F4-A263-43B7-9ED9-EEFDF9CEEC22}">
            <xm:f>AND('Basic Info'!$C$42=3,$K$125&lt;0.35)</xm:f>
            <x14:dxf>
              <fill>
                <patternFill>
                  <bgColor rgb="FFFFFF00"/>
                </patternFill>
              </fill>
            </x14:dxf>
          </x14:cfRule>
          <x14:cfRule type="expression" priority="5" id="{9EA64096-19CE-4A01-BD4F-7D4EFDC07369}">
            <xm:f>AND('Basic Info'!$C$42=1,$K$125&lt;0.15)</xm:f>
            <x14:dxf>
              <fill>
                <patternFill>
                  <bgColor rgb="FFFFFF00"/>
                </patternFill>
              </fill>
            </x14:dxf>
          </x14:cfRule>
          <xm:sqref>K125:L125</xm:sqref>
        </x14:conditionalFormatting>
        <x14:conditionalFormatting xmlns:xm="http://schemas.microsoft.com/office/excel/2006/main">
          <x14:cfRule type="expression" priority="1" id="{D89064AD-21E3-458E-9574-E08AF4881FE5}">
            <xm:f>AND('Basic Info'!$C$42=3,$K$127&lt;0.42)</xm:f>
            <x14:dxf>
              <fill>
                <patternFill>
                  <bgColor rgb="FFFFFF00"/>
                </patternFill>
              </fill>
            </x14:dxf>
          </x14:cfRule>
          <xm:sqref>K127:L127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tint="-0.249977111117893"/>
  </sheetPr>
  <dimension ref="A1:AE215"/>
  <sheetViews>
    <sheetView showGridLines="0" zoomScaleNormal="100" workbookViewId="0">
      <selection activeCell="A27" sqref="A27"/>
    </sheetView>
  </sheetViews>
  <sheetFormatPr defaultRowHeight="12"/>
  <cols>
    <col min="1" max="1" width="3" style="50" bestFit="1" customWidth="1"/>
    <col min="2" max="2" width="14.85546875" style="50" customWidth="1"/>
    <col min="3" max="3" width="30.28515625" style="50" customWidth="1"/>
    <col min="4" max="4" width="20" style="50" customWidth="1"/>
    <col min="5" max="6" width="13.28515625" style="50" customWidth="1"/>
    <col min="7" max="7" width="20" style="50" customWidth="1"/>
    <col min="8" max="9" width="13.28515625" style="50" customWidth="1"/>
    <col min="10" max="12" width="9.28515625" style="50" customWidth="1"/>
    <col min="13" max="15" width="9.7109375" style="50" customWidth="1"/>
    <col min="16" max="16" width="10" style="50" customWidth="1"/>
    <col min="17" max="17" width="8.5703125" style="50" customWidth="1"/>
    <col min="18" max="20" width="9.5703125" style="50" customWidth="1"/>
    <col min="21" max="21" width="10.28515625" style="50" customWidth="1"/>
    <col min="22" max="22" width="6.5703125" style="50" customWidth="1"/>
    <col min="23" max="23" width="14" style="50" customWidth="1"/>
    <col min="24" max="30" width="9.140625" style="50" customWidth="1"/>
    <col min="31" max="16384" width="9.140625" style="50"/>
  </cols>
  <sheetData>
    <row r="1" spans="1:31" ht="18.75">
      <c r="B1" s="672" t="s">
        <v>1468</v>
      </c>
    </row>
    <row r="2" spans="1:31">
      <c r="B2" s="673"/>
    </row>
    <row r="3" spans="1:31">
      <c r="A3" s="665"/>
      <c r="B3" s="674" t="s">
        <v>492</v>
      </c>
      <c r="C3" s="665"/>
      <c r="W3" s="399"/>
      <c r="AC3" s="399"/>
      <c r="AD3" s="399"/>
      <c r="AE3" s="399"/>
    </row>
    <row r="4" spans="1:31" ht="12.75" thickBot="1">
      <c r="A4" s="51"/>
      <c r="B4" s="51"/>
      <c r="C4" s="51"/>
      <c r="D4" s="51"/>
      <c r="E4" s="51"/>
      <c r="F4" s="51"/>
      <c r="G4" s="51"/>
      <c r="H4" s="51"/>
      <c r="I4" s="51"/>
      <c r="J4" s="51"/>
      <c r="K4" s="51"/>
      <c r="L4" s="51"/>
      <c r="M4" s="51"/>
      <c r="N4" s="51"/>
      <c r="O4" s="51"/>
      <c r="P4" s="51"/>
      <c r="Q4" s="51"/>
      <c r="R4" s="51"/>
      <c r="S4" s="51"/>
      <c r="T4" s="51"/>
      <c r="U4" s="51"/>
      <c r="V4" s="51"/>
      <c r="W4" s="52"/>
      <c r="X4" s="52"/>
      <c r="Y4" s="52"/>
      <c r="Z4" s="52"/>
      <c r="AA4" s="52"/>
      <c r="AB4" s="52"/>
      <c r="AC4" s="52"/>
      <c r="AE4" s="52"/>
    </row>
    <row r="5" spans="1:31" s="52" customFormat="1" ht="12.75" customHeight="1">
      <c r="A5" s="1564" t="s">
        <v>190</v>
      </c>
      <c r="B5" s="1576" t="s">
        <v>259</v>
      </c>
      <c r="C5" s="1573" t="s">
        <v>315</v>
      </c>
      <c r="D5" s="1571" t="s">
        <v>192</v>
      </c>
      <c r="E5" s="1551"/>
      <c r="F5" s="1579"/>
      <c r="G5" s="1571" t="s">
        <v>193</v>
      </c>
      <c r="H5" s="1551"/>
      <c r="I5" s="1551"/>
      <c r="J5" s="1551"/>
      <c r="K5" s="1551"/>
      <c r="L5" s="1572"/>
      <c r="M5" s="1550" t="s">
        <v>194</v>
      </c>
      <c r="N5" s="1551"/>
      <c r="O5" s="1551"/>
      <c r="P5" s="1551"/>
      <c r="Q5" s="1551"/>
      <c r="R5" s="1551"/>
      <c r="S5" s="1551"/>
      <c r="T5" s="1551"/>
      <c r="U5" s="1552"/>
      <c r="W5" s="666"/>
    </row>
    <row r="6" spans="1:31" s="52" customFormat="1" ht="12.75" customHeight="1">
      <c r="A6" s="1565"/>
      <c r="B6" s="1577"/>
      <c r="C6" s="1574"/>
      <c r="D6" s="1569" t="s">
        <v>195</v>
      </c>
      <c r="E6" s="1580" t="s">
        <v>1476</v>
      </c>
      <c r="F6" s="1580" t="s">
        <v>1477</v>
      </c>
      <c r="G6" s="1569" t="s">
        <v>195</v>
      </c>
      <c r="H6" s="1580" t="s">
        <v>1476</v>
      </c>
      <c r="I6" s="1580" t="s">
        <v>1477</v>
      </c>
      <c r="J6" s="1567" t="s">
        <v>498</v>
      </c>
      <c r="K6" s="1567" t="s">
        <v>317</v>
      </c>
      <c r="L6" s="1567" t="s">
        <v>44</v>
      </c>
      <c r="M6" s="1553" t="s">
        <v>196</v>
      </c>
      <c r="N6" s="1554"/>
      <c r="O6" s="1554"/>
      <c r="P6" s="1555"/>
      <c r="Q6" s="1558" t="s">
        <v>495</v>
      </c>
      <c r="R6" s="1560" t="s">
        <v>496</v>
      </c>
      <c r="S6" s="1548" t="s">
        <v>497</v>
      </c>
      <c r="T6" s="1562" t="s">
        <v>1478</v>
      </c>
      <c r="U6" s="1556" t="s">
        <v>493</v>
      </c>
      <c r="W6" s="666"/>
    </row>
    <row r="7" spans="1:31" s="52" customFormat="1" ht="27" customHeight="1" thickBot="1">
      <c r="A7" s="1566"/>
      <c r="B7" s="1578"/>
      <c r="C7" s="1575"/>
      <c r="D7" s="1570"/>
      <c r="E7" s="1570"/>
      <c r="F7" s="1570"/>
      <c r="G7" s="1570"/>
      <c r="H7" s="1570"/>
      <c r="I7" s="1570"/>
      <c r="J7" s="1568"/>
      <c r="K7" s="1568"/>
      <c r="L7" s="1568"/>
      <c r="M7" s="1056" t="s">
        <v>454</v>
      </c>
      <c r="N7" s="1057" t="s">
        <v>457</v>
      </c>
      <c r="O7" s="1057" t="s">
        <v>455</v>
      </c>
      <c r="P7" s="1057" t="s">
        <v>456</v>
      </c>
      <c r="Q7" s="1559"/>
      <c r="R7" s="1561"/>
      <c r="S7" s="1549"/>
      <c r="T7" s="1563"/>
      <c r="U7" s="1557"/>
      <c r="W7" s="667"/>
      <c r="X7" s="50"/>
    </row>
    <row r="8" spans="1:31" s="52" customFormat="1" ht="12.75" customHeight="1" thickBot="1">
      <c r="A8" s="1058"/>
      <c r="B8" s="1059"/>
      <c r="C8" s="1059"/>
      <c r="D8" s="1052"/>
      <c r="E8" s="1052"/>
      <c r="F8" s="1052"/>
      <c r="G8" s="1052"/>
      <c r="H8" s="1052"/>
      <c r="I8" s="1052"/>
      <c r="J8" s="1059"/>
      <c r="K8" s="1059"/>
      <c r="L8" s="1059"/>
      <c r="M8" s="1059"/>
      <c r="N8" s="1059"/>
      <c r="O8" s="1059"/>
      <c r="P8" s="1059"/>
      <c r="Q8" s="1059"/>
      <c r="R8" s="1059"/>
      <c r="S8" s="1059"/>
      <c r="T8" s="1059"/>
      <c r="U8" s="1060"/>
      <c r="W8" s="667"/>
      <c r="X8" s="50"/>
    </row>
    <row r="9" spans="1:31">
      <c r="A9" s="1180">
        <v>1</v>
      </c>
      <c r="B9" s="1181">
        <f>'Results from eQUEST'!K30</f>
        <v>0</v>
      </c>
      <c r="C9" s="1061"/>
      <c r="D9" s="1053" t="e">
        <f>INDEX(ERMs!$B$5:$E$87,MATCH(A9,ERMs!$B$5:$B$87,0),4)</f>
        <v>#N/A</v>
      </c>
      <c r="E9" s="1202"/>
      <c r="F9" s="1202"/>
      <c r="G9" s="1053" t="e">
        <f>INDEX(ERMs!$B$5:$E$87,MATCH(A9,ERMs!$B$5:$B$87,0),2)</f>
        <v>#N/A</v>
      </c>
      <c r="H9" s="1202"/>
      <c r="I9" s="1202"/>
      <c r="J9" s="1182" t="str">
        <f>IF(C9="","",VLOOKUP(C9,'Demand Savings Lookup'!$A$2:$G$51,6,FALSE))</f>
        <v/>
      </c>
      <c r="K9" s="1062"/>
      <c r="L9" s="1182" t="str">
        <f>IF(C9="","",VLOOKUP(C9,'Demand Savings Lookup'!$A$1:$G$51,7,FALSE))</f>
        <v/>
      </c>
      <c r="M9" s="1183">
        <f>IF(B9=0,0,(('Results from eQUEST'!BB19+'Results from eQUEST'!BH19)/10-('Results from eQUEST'!BB30+'Results from eQUEST'!BH30)/10))</f>
        <v>0</v>
      </c>
      <c r="N9" s="1183">
        <f>IF(B9=0,0,('Results from eQUEST'!BK19-'Results from eQUEST'!BK30)/10-M9)</f>
        <v>0</v>
      </c>
      <c r="O9" s="1183">
        <f>IF(B9=0,0,(('Results from eQUEST'!Q19+'Results from eQUEST'!R19)-('Results from eQUEST'!Q30+'Results from eQUEST'!R30)))</f>
        <v>0</v>
      </c>
      <c r="P9" s="1184">
        <f>IF(B9=0,0,'Results from eQUEST'!Y19-'Results from eQUEST'!Y30-O9)</f>
        <v>0</v>
      </c>
      <c r="Q9" s="1185">
        <f>IF(O9+P9&lt;=0,0,IF(AND(O9=0,P9=0),0,IF(B9=0,0,O9*VLOOKUP(C9,'Demand Savings Lookup'!$A$2:$E$51,IF('Basic Info'!$C$58=4,5,3),FALSE)+P9*VLOOKUP(C9,'Demand Savings Lookup'!$A$2:$E$51,IF('Basic Info'!$C$58=4,4,2),FALSE))))</f>
        <v>0</v>
      </c>
      <c r="R9" s="53"/>
      <c r="S9" s="53"/>
      <c r="T9" s="1201" t="str">
        <f>IF(H9="","",H9-E9)</f>
        <v/>
      </c>
      <c r="U9" s="1186" t="str">
        <f>IF(B9=0,"",(O9+P9)*'Reporting Summary'!$C$112+(M9+N9)*'Reporting Summary'!$C$113*10+'Water Savings'!$C$10*R9*1000)</f>
        <v/>
      </c>
      <c r="W9" s="668"/>
    </row>
    <row r="10" spans="1:31">
      <c r="A10" s="1187">
        <v>2</v>
      </c>
      <c r="B10" s="1188">
        <f>'Results from eQUEST'!K31</f>
        <v>0</v>
      </c>
      <c r="C10" s="62"/>
      <c r="D10" s="224" t="e">
        <f>INDEX(ERMs!$B$5:$E$87,MATCH(A10,ERMs!$B$5:$B$87,0),4)</f>
        <v>#N/A</v>
      </c>
      <c r="E10" s="1202"/>
      <c r="F10" s="1202"/>
      <c r="G10" s="224" t="e">
        <f>INDEX(ERMs!$B$5:$E$87,MATCH(A10,ERMs!$B$5:$B$87,0),2)</f>
        <v>#N/A</v>
      </c>
      <c r="H10" s="1202"/>
      <c r="I10" s="1202"/>
      <c r="J10" s="1189" t="str">
        <f>IF(C10="","",VLOOKUP(C10,'Demand Savings Lookup'!$A$2:$G$51,6,FALSE))</f>
        <v/>
      </c>
      <c r="K10" s="63"/>
      <c r="L10" s="1189" t="str">
        <f>IF(C10="","",VLOOKUP(C10,'Demand Savings Lookup'!$A$1:$G$51,7,FALSE))</f>
        <v/>
      </c>
      <c r="M10" s="1183">
        <f>IF(B10=0,0,(('Results from eQUEST'!BB30+'Results from eQUEST'!BH30)/10-('Results from eQUEST'!BB31+'Results from eQUEST'!BH31)/10))</f>
        <v>0</v>
      </c>
      <c r="N10" s="1183">
        <f>IF(B10=0,0,('Results from eQUEST'!BK30-'Results from eQUEST'!BK31)/10-M10)</f>
        <v>0</v>
      </c>
      <c r="O10" s="1183">
        <f>IF(B10=0,0,(('Results from eQUEST'!Q30+'Results from eQUEST'!R30)-('Results from eQUEST'!Q31+'Results from eQUEST'!R31)))</f>
        <v>0</v>
      </c>
      <c r="P10" s="1184">
        <f>IF(B10=0,0,'Results from eQUEST'!Y30-'Results from eQUEST'!Y31-O10)</f>
        <v>0</v>
      </c>
      <c r="Q10" s="1185">
        <f>IF(O10+P10&lt;=0,0,IF(AND(O10=0,P10=0),0,IF(B10=0,0,O10*VLOOKUP(C10,'Demand Savings Lookup'!$A$2:$E$51,IF('Basic Info'!$C$58=4,5,3),FALSE)+P10*VLOOKUP(C10,'Demand Savings Lookup'!$A$2:$E$51,IF('Basic Info'!$C$58=4,4,2),FALSE))))</f>
        <v>0</v>
      </c>
      <c r="R10" s="53"/>
      <c r="S10" s="53"/>
      <c r="T10" s="1201" t="str">
        <f t="shared" ref="T10:T28" si="0">IF(H10="","",H10-E10)</f>
        <v/>
      </c>
      <c r="U10" s="1186" t="str">
        <f>IF(B10=0,"",(O10+P10)*'Reporting Summary'!$C$112+(M10+N10)*'Reporting Summary'!$C$113*10+'Water Savings'!$C$10*R10*1000)</f>
        <v/>
      </c>
      <c r="W10" s="668"/>
    </row>
    <row r="11" spans="1:31">
      <c r="A11" s="1187">
        <v>3</v>
      </c>
      <c r="B11" s="1188">
        <f>'Results from eQUEST'!K32</f>
        <v>0</v>
      </c>
      <c r="C11" s="62"/>
      <c r="D11" s="224" t="e">
        <f>INDEX(ERMs!$B$5:$E$87,MATCH(A11,ERMs!$B$5:$B$87,0),4)</f>
        <v>#N/A</v>
      </c>
      <c r="E11" s="1202"/>
      <c r="F11" s="1202"/>
      <c r="G11" s="224" t="e">
        <f>INDEX(ERMs!$B$5:$E$87,MATCH(A11,ERMs!$B$5:$B$87,0),2)</f>
        <v>#N/A</v>
      </c>
      <c r="H11" s="1202"/>
      <c r="I11" s="1202"/>
      <c r="J11" s="1189" t="str">
        <f>IF(C11="","",VLOOKUP(C11,'Demand Savings Lookup'!$A$2:$G$51,6,FALSE))</f>
        <v/>
      </c>
      <c r="K11" s="63"/>
      <c r="L11" s="1189" t="str">
        <f>IF(C11="","",VLOOKUP(C11,'Demand Savings Lookup'!$A$1:$G$51,7,FALSE))</f>
        <v/>
      </c>
      <c r="M11" s="1183">
        <f>IF(B11=0,0,(('Results from eQUEST'!BB31+'Results from eQUEST'!BH31)/10-('Results from eQUEST'!BB32+'Results from eQUEST'!BH32)/10))</f>
        <v>0</v>
      </c>
      <c r="N11" s="1183">
        <f>IF(B11=0,0,('Results from eQUEST'!BK31-'Results from eQUEST'!BK32)/10-M11)</f>
        <v>0</v>
      </c>
      <c r="O11" s="1183">
        <f>IF(B11=0,0,(('Results from eQUEST'!Q31+'Results from eQUEST'!R31)-('Results from eQUEST'!Q32+'Results from eQUEST'!R32)))</f>
        <v>0</v>
      </c>
      <c r="P11" s="1184">
        <f>IF(B11=0,0,'Results from eQUEST'!Y31-'Results from eQUEST'!Y32-O11)</f>
        <v>0</v>
      </c>
      <c r="Q11" s="1185">
        <f>IF(O11+P11&lt;=0,0,IF(AND(O11=0,P11=0),0,IF(B11=0,0,O11*VLOOKUP(C11,'Demand Savings Lookup'!$A$2:$E$51,IF('Basic Info'!$C$58=4,5,3),FALSE)+P11*VLOOKUP(C11,'Demand Savings Lookup'!$A$2:$E$51,IF('Basic Info'!$C$58=4,4,2),FALSE))))</f>
        <v>0</v>
      </c>
      <c r="R11" s="53"/>
      <c r="S11" s="53"/>
      <c r="T11" s="1201" t="str">
        <f t="shared" si="0"/>
        <v/>
      </c>
      <c r="U11" s="1186" t="str">
        <f>IF(B11=0,"",(O11+P11)*'Reporting Summary'!$C$112+(M11+N11)*'Reporting Summary'!$C$113*10+'Water Savings'!$C$10*R11*1000)</f>
        <v/>
      </c>
      <c r="W11" s="668"/>
    </row>
    <row r="12" spans="1:31">
      <c r="A12" s="1187">
        <v>4</v>
      </c>
      <c r="B12" s="1188">
        <f>'Results from eQUEST'!K33</f>
        <v>0</v>
      </c>
      <c r="C12" s="62"/>
      <c r="D12" s="224" t="e">
        <f>INDEX(ERMs!$B$5:$E$87,MATCH(A12,ERMs!$B$5:$B$87,0),4)</f>
        <v>#N/A</v>
      </c>
      <c r="E12" s="1202"/>
      <c r="F12" s="1202"/>
      <c r="G12" s="224" t="e">
        <f>INDEX(ERMs!$B$5:$E$87,MATCH(A12,ERMs!$B$5:$B$87,0),2)</f>
        <v>#N/A</v>
      </c>
      <c r="H12" s="1202"/>
      <c r="I12" s="1202"/>
      <c r="J12" s="1189" t="str">
        <f>IF(C12="","",VLOOKUP(C12,'Demand Savings Lookup'!$A$2:$G$51,6,FALSE))</f>
        <v/>
      </c>
      <c r="K12" s="63"/>
      <c r="L12" s="1189" t="str">
        <f>IF(C12="","",VLOOKUP(C12,'Demand Savings Lookup'!$A$1:$G$51,7,FALSE))</f>
        <v/>
      </c>
      <c r="M12" s="1183">
        <f>IF(B12=0,0,(('Results from eQUEST'!BB32+'Results from eQUEST'!BH32)/10-('Results from eQUEST'!BB33+'Results from eQUEST'!BH33)/10))</f>
        <v>0</v>
      </c>
      <c r="N12" s="1183">
        <f>IF(B12=0,0,('Results from eQUEST'!BK32-'Results from eQUEST'!BK33)/10-M12)</f>
        <v>0</v>
      </c>
      <c r="O12" s="1183">
        <f>IF(B12=0,0,(('Results from eQUEST'!Q32+'Results from eQUEST'!R32)-('Results from eQUEST'!Q33+'Results from eQUEST'!R33)))</f>
        <v>0</v>
      </c>
      <c r="P12" s="1184">
        <f>IF(B12=0,0,'Results from eQUEST'!Y32-'Results from eQUEST'!Y33-O12)</f>
        <v>0</v>
      </c>
      <c r="Q12" s="1185">
        <f>IF(O12+P12&lt;=0,0,IF(AND(O12=0,P12=0),0,IF(B12=0,0,O12*VLOOKUP(C12,'Demand Savings Lookup'!$A$2:$E$51,IF('Basic Info'!$C$58=4,5,3),FALSE)+P12*VLOOKUP(C12,'Demand Savings Lookup'!$A$2:$E$51,IF('Basic Info'!$C$58=4,4,2),FALSE))))</f>
        <v>0</v>
      </c>
      <c r="R12" s="53"/>
      <c r="S12" s="53"/>
      <c r="T12" s="1201" t="str">
        <f t="shared" si="0"/>
        <v/>
      </c>
      <c r="U12" s="1186" t="str">
        <f>IF(B12=0,"",(O12+P12)*'Reporting Summary'!$C$112+(M12+N12)*'Reporting Summary'!$C$113*10+'Water Savings'!$C$10*R12*1000)</f>
        <v/>
      </c>
      <c r="W12" s="668"/>
    </row>
    <row r="13" spans="1:31">
      <c r="A13" s="1187">
        <v>5</v>
      </c>
      <c r="B13" s="1188">
        <f>'Results from eQUEST'!K34</f>
        <v>0</v>
      </c>
      <c r="C13" s="62"/>
      <c r="D13" s="224" t="e">
        <f>INDEX(ERMs!$B$5:$E$87,MATCH(A13,ERMs!$B$5:$B$87,0),4)</f>
        <v>#N/A</v>
      </c>
      <c r="E13" s="1202"/>
      <c r="F13" s="1202"/>
      <c r="G13" s="224" t="e">
        <f>INDEX(ERMs!$B$5:$E$87,MATCH(A13,ERMs!$B$5:$B$87,0),2)</f>
        <v>#N/A</v>
      </c>
      <c r="H13" s="1202"/>
      <c r="I13" s="1202"/>
      <c r="J13" s="1189" t="str">
        <f>IF(C13="","",VLOOKUP(C13,'Demand Savings Lookup'!$A$2:$G$51,6,FALSE))</f>
        <v/>
      </c>
      <c r="K13" s="63"/>
      <c r="L13" s="1189" t="str">
        <f>IF(C13="","",VLOOKUP(C13,'Demand Savings Lookup'!$A$1:$G$51,7,FALSE))</f>
        <v/>
      </c>
      <c r="M13" s="1183">
        <f>IF(B13=0,0,(('Results from eQUEST'!BB33+'Results from eQUEST'!BH33)/10-('Results from eQUEST'!BB34+'Results from eQUEST'!BH34)/10))</f>
        <v>0</v>
      </c>
      <c r="N13" s="1183">
        <f>IF(B13=0,0,('Results from eQUEST'!BK33-'Results from eQUEST'!BK34)/10-M13)</f>
        <v>0</v>
      </c>
      <c r="O13" s="1183">
        <f>IF(B13=0,0,(('Results from eQUEST'!Q33+'Results from eQUEST'!R33)-('Results from eQUEST'!Q34+'Results from eQUEST'!R34)))</f>
        <v>0</v>
      </c>
      <c r="P13" s="1184">
        <f>IF(B13=0,0,'Results from eQUEST'!Y33-'Results from eQUEST'!Y34-O13)</f>
        <v>0</v>
      </c>
      <c r="Q13" s="1185">
        <f>IF(O13+P13&lt;=0,0,IF(AND(O13=0,P13=0),0,IF(B13=0,0,O13*VLOOKUP(C13,'Demand Savings Lookup'!$A$2:$E$51,IF('Basic Info'!$C$58=4,5,3),FALSE)+P13*VLOOKUP(C13,'Demand Savings Lookup'!$A$2:$E$51,IF('Basic Info'!$C$58=4,4,2),FALSE))))</f>
        <v>0</v>
      </c>
      <c r="R13" s="53"/>
      <c r="S13" s="53"/>
      <c r="T13" s="1201" t="str">
        <f t="shared" si="0"/>
        <v/>
      </c>
      <c r="U13" s="1186" t="str">
        <f>IF(B13=0,"",(O13+P13)*'Reporting Summary'!$C$112+(M13+N13)*'Reporting Summary'!$C$113*10+'Water Savings'!$C$10*R13*1000)</f>
        <v/>
      </c>
      <c r="W13" s="668"/>
    </row>
    <row r="14" spans="1:31">
      <c r="A14" s="1187">
        <v>6</v>
      </c>
      <c r="B14" s="1188">
        <f>'Results from eQUEST'!K35</f>
        <v>0</v>
      </c>
      <c r="C14" s="62"/>
      <c r="D14" s="224" t="e">
        <f>INDEX(ERMs!$B$5:$E$87,MATCH(A14,ERMs!$B$5:$B$87,0),4)</f>
        <v>#N/A</v>
      </c>
      <c r="E14" s="1202"/>
      <c r="F14" s="1202"/>
      <c r="G14" s="224" t="e">
        <f>INDEX(ERMs!$B$5:$E$87,MATCH(A14,ERMs!$B$5:$B$87,0),2)</f>
        <v>#N/A</v>
      </c>
      <c r="H14" s="1202"/>
      <c r="I14" s="1202"/>
      <c r="J14" s="1189" t="str">
        <f>IF(C14="","",VLOOKUP(C14,'Demand Savings Lookup'!$A$2:$G$51,6,FALSE))</f>
        <v/>
      </c>
      <c r="K14" s="63"/>
      <c r="L14" s="1189" t="str">
        <f>IF(C14="","",VLOOKUP(C14,'Demand Savings Lookup'!$A$1:$G$51,7,FALSE))</f>
        <v/>
      </c>
      <c r="M14" s="1183">
        <f>IF(B14=0,0,(('Results from eQUEST'!BB34+'Results from eQUEST'!BH34)/10-('Results from eQUEST'!BB35+'Results from eQUEST'!BH35)/10))</f>
        <v>0</v>
      </c>
      <c r="N14" s="1183">
        <f>IF(B14=0,0,('Results from eQUEST'!BK34-'Results from eQUEST'!BK35)/10-M14)</f>
        <v>0</v>
      </c>
      <c r="O14" s="1183">
        <f>IF(B14=0,0,(('Results from eQUEST'!Q34+'Results from eQUEST'!R34)-('Results from eQUEST'!Q35+'Results from eQUEST'!R35)))</f>
        <v>0</v>
      </c>
      <c r="P14" s="1184">
        <f>IF(B14=0,0,'Results from eQUEST'!Y34-'Results from eQUEST'!Y35-O14)</f>
        <v>0</v>
      </c>
      <c r="Q14" s="1185">
        <f>IF(O14+P14&lt;=0,0,IF(AND(O14=0,P14=0),0,IF(B14=0,0,O14*VLOOKUP(C14,'Demand Savings Lookup'!$A$2:$E$51,IF('Basic Info'!$C$58=4,5,3),FALSE)+P14*VLOOKUP(C14,'Demand Savings Lookup'!$A$2:$E$51,IF('Basic Info'!$C$58=4,4,2),FALSE))))</f>
        <v>0</v>
      </c>
      <c r="R14" s="53"/>
      <c r="S14" s="53"/>
      <c r="T14" s="1201" t="str">
        <f t="shared" si="0"/>
        <v/>
      </c>
      <c r="U14" s="1186" t="str">
        <f>IF(B14=0,"",(O14+P14)*'Reporting Summary'!$C$112+(M14+N14)*'Reporting Summary'!$C$113*10+'Water Savings'!$C$10*R14*1000)</f>
        <v/>
      </c>
      <c r="W14" s="668"/>
    </row>
    <row r="15" spans="1:31">
      <c r="A15" s="1187">
        <v>7</v>
      </c>
      <c r="B15" s="1188">
        <f>'Results from eQUEST'!K36</f>
        <v>0</v>
      </c>
      <c r="C15" s="62"/>
      <c r="D15" s="224" t="e">
        <f>INDEX(ERMs!$B$5:$E$87,MATCH(A15,ERMs!$B$5:$B$87,0),4)</f>
        <v>#N/A</v>
      </c>
      <c r="E15" s="1202"/>
      <c r="F15" s="1202"/>
      <c r="G15" s="224" t="e">
        <f>INDEX(ERMs!$B$5:$E$87,MATCH(A15,ERMs!$B$5:$B$87,0),2)</f>
        <v>#N/A</v>
      </c>
      <c r="H15" s="1202"/>
      <c r="I15" s="1202"/>
      <c r="J15" s="1189" t="str">
        <f>IF(C15="","",VLOOKUP(C15,'Demand Savings Lookup'!$A$2:$G$51,6,FALSE))</f>
        <v/>
      </c>
      <c r="K15" s="63"/>
      <c r="L15" s="1189" t="str">
        <f>IF(C15="","",VLOOKUP(C15,'Demand Savings Lookup'!$A$1:$G$51,7,FALSE))</f>
        <v/>
      </c>
      <c r="M15" s="1183">
        <f>IF(B15=0,0,(('Results from eQUEST'!BB35+'Results from eQUEST'!BH35)/10-('Results from eQUEST'!BB36+'Results from eQUEST'!BH36)/10))</f>
        <v>0</v>
      </c>
      <c r="N15" s="1183">
        <f>IF(B15=0,0,('Results from eQUEST'!BK35-'Results from eQUEST'!BK36)/10-M15)</f>
        <v>0</v>
      </c>
      <c r="O15" s="1183">
        <f>IF(B15=0,0,(('Results from eQUEST'!Q35+'Results from eQUEST'!R35)-('Results from eQUEST'!Q36+'Results from eQUEST'!R36)))</f>
        <v>0</v>
      </c>
      <c r="P15" s="1184">
        <f>IF(B15=0,0,'Results from eQUEST'!Y35-'Results from eQUEST'!Y36-O15)</f>
        <v>0</v>
      </c>
      <c r="Q15" s="1185">
        <f>IF(O15+P15&lt;=0,0,IF(AND(O15=0,P15=0),0,IF(B15=0,0,O15*VLOOKUP(C15,'Demand Savings Lookup'!$A$2:$E$51,IF('Basic Info'!$C$58=4,5,3),FALSE)+P15*VLOOKUP(C15,'Demand Savings Lookup'!$A$2:$E$51,IF('Basic Info'!$C$58=4,4,2),FALSE))))</f>
        <v>0</v>
      </c>
      <c r="R15" s="53"/>
      <c r="S15" s="53"/>
      <c r="T15" s="1201" t="str">
        <f t="shared" si="0"/>
        <v/>
      </c>
      <c r="U15" s="1186" t="str">
        <f>IF(B15=0,"",(O15+P15)*'Reporting Summary'!$C$112+(M15+N15)*'Reporting Summary'!$C$113*10+'Water Savings'!$C$10*R15*1000)</f>
        <v/>
      </c>
      <c r="W15" s="668"/>
    </row>
    <row r="16" spans="1:31">
      <c r="A16" s="1187">
        <v>8</v>
      </c>
      <c r="B16" s="1188">
        <f>'Results from eQUEST'!K37</f>
        <v>0</v>
      </c>
      <c r="C16" s="62"/>
      <c r="D16" s="224" t="e">
        <f>INDEX(ERMs!$B$5:$E$87,MATCH(A16,ERMs!$B$5:$B$87,0),4)</f>
        <v>#N/A</v>
      </c>
      <c r="E16" s="1202"/>
      <c r="F16" s="1202"/>
      <c r="G16" s="224" t="e">
        <f>INDEX(ERMs!$B$5:$E$87,MATCH(A16,ERMs!$B$5:$B$87,0),2)</f>
        <v>#N/A</v>
      </c>
      <c r="H16" s="1202"/>
      <c r="I16" s="1202"/>
      <c r="J16" s="1189" t="str">
        <f>IF(C16="","",VLOOKUP(C16,'Demand Savings Lookup'!$A$2:$G$51,6,FALSE))</f>
        <v/>
      </c>
      <c r="K16" s="63"/>
      <c r="L16" s="1189" t="str">
        <f>IF(C16="","",VLOOKUP(C16,'Demand Savings Lookup'!$A$1:$G$51,7,FALSE))</f>
        <v/>
      </c>
      <c r="M16" s="1183">
        <f>IF(B16=0,0,(('Results from eQUEST'!BB36+'Results from eQUEST'!BH36)/10-('Results from eQUEST'!BB37+'Results from eQUEST'!BH37)/10))</f>
        <v>0</v>
      </c>
      <c r="N16" s="1183">
        <f>IF(B16=0,0,('Results from eQUEST'!BK36-'Results from eQUEST'!BK37)/10-M16)</f>
        <v>0</v>
      </c>
      <c r="O16" s="1183">
        <f>IF(B16=0,0,(('Results from eQUEST'!Q36+'Results from eQUEST'!R36)-('Results from eQUEST'!Q37+'Results from eQUEST'!R37)))</f>
        <v>0</v>
      </c>
      <c r="P16" s="1184">
        <f>IF(B16=0,0,'Results from eQUEST'!Y36-'Results from eQUEST'!Y37-O16)</f>
        <v>0</v>
      </c>
      <c r="Q16" s="1185">
        <f>IF(O16+P16&lt;=0,0,IF(AND(O16=0,P16=0),0,IF(B16=0,0,O16*VLOOKUP(C16,'Demand Savings Lookup'!$A$2:$E$51,IF('Basic Info'!$C$58=4,5,3),FALSE)+P16*VLOOKUP(C16,'Demand Savings Lookup'!$A$2:$E$51,IF('Basic Info'!$C$58=4,4,2),FALSE))))</f>
        <v>0</v>
      </c>
      <c r="R16" s="53"/>
      <c r="S16" s="53"/>
      <c r="T16" s="1201" t="str">
        <f t="shared" si="0"/>
        <v/>
      </c>
      <c r="U16" s="1186" t="str">
        <f>IF(B16=0,"",(O16+P16)*'Reporting Summary'!$C$112+(M16+N16)*'Reporting Summary'!$C$113*10+'Water Savings'!$C$10*R16*1000)</f>
        <v/>
      </c>
      <c r="W16" s="668"/>
    </row>
    <row r="17" spans="1:23">
      <c r="A17" s="1187">
        <v>9</v>
      </c>
      <c r="B17" s="1188">
        <f>'Results from eQUEST'!K38</f>
        <v>0</v>
      </c>
      <c r="C17" s="62"/>
      <c r="D17" s="224" t="e">
        <f>INDEX(ERMs!$B$5:$E$87,MATCH(A17,ERMs!$B$5:$B$87,0),4)</f>
        <v>#N/A</v>
      </c>
      <c r="E17" s="1202"/>
      <c r="F17" s="1202"/>
      <c r="G17" s="224" t="e">
        <f>INDEX(ERMs!$B$5:$E$87,MATCH(A17,ERMs!$B$5:$B$87,0),2)</f>
        <v>#N/A</v>
      </c>
      <c r="H17" s="1202"/>
      <c r="I17" s="1202"/>
      <c r="J17" s="1189" t="str">
        <f>IF(C17="","",VLOOKUP(C17,'Demand Savings Lookup'!$A$2:$G$51,6,FALSE))</f>
        <v/>
      </c>
      <c r="K17" s="63"/>
      <c r="L17" s="1189" t="str">
        <f>IF(C17="","",VLOOKUP(C17,'Demand Savings Lookup'!$A$1:$G$51,7,FALSE))</f>
        <v/>
      </c>
      <c r="M17" s="1183">
        <f>IF(B17=0,0,(('Results from eQUEST'!BB37+'Results from eQUEST'!BH37)/10-('Results from eQUEST'!BB38+'Results from eQUEST'!BH38)/10))</f>
        <v>0</v>
      </c>
      <c r="N17" s="1183">
        <f>IF(B17=0,0,('Results from eQUEST'!BK37-'Results from eQUEST'!BK38)/10-M17)</f>
        <v>0</v>
      </c>
      <c r="O17" s="1183">
        <f>IF(B17=0,0,(('Results from eQUEST'!Q37+'Results from eQUEST'!R37)-('Results from eQUEST'!Q38+'Results from eQUEST'!R38)))</f>
        <v>0</v>
      </c>
      <c r="P17" s="1184">
        <f>IF(B17=0,0,'Results from eQUEST'!Y37-'Results from eQUEST'!Y38-O17)</f>
        <v>0</v>
      </c>
      <c r="Q17" s="1185">
        <f>IF(O17+P17&lt;=0,0,IF(AND(O17=0,P17=0),0,IF(B17=0,0,O17*VLOOKUP(C17,'Demand Savings Lookup'!$A$2:$E$51,IF('Basic Info'!$C$58=4,5,3),FALSE)+P17*VLOOKUP(C17,'Demand Savings Lookup'!$A$2:$E$51,IF('Basic Info'!$C$58=4,4,2),FALSE))))</f>
        <v>0</v>
      </c>
      <c r="R17" s="53"/>
      <c r="S17" s="53"/>
      <c r="T17" s="1201" t="str">
        <f t="shared" si="0"/>
        <v/>
      </c>
      <c r="U17" s="1186" t="str">
        <f>IF(B17=0,"",(O17+P17)*'Reporting Summary'!$C$112+(M17+N17)*'Reporting Summary'!$C$113*10+'Water Savings'!$C$10*R17*1000)</f>
        <v/>
      </c>
      <c r="W17" s="668"/>
    </row>
    <row r="18" spans="1:23">
      <c r="A18" s="1187">
        <v>10</v>
      </c>
      <c r="B18" s="1188">
        <f>'Results from eQUEST'!K39</f>
        <v>0</v>
      </c>
      <c r="C18" s="62"/>
      <c r="D18" s="224" t="e">
        <f>INDEX(ERMs!$B$5:$E$87,MATCH(A18,ERMs!$B$5:$B$87,0),4)</f>
        <v>#N/A</v>
      </c>
      <c r="E18" s="1202"/>
      <c r="F18" s="1202"/>
      <c r="G18" s="224" t="e">
        <f>INDEX(ERMs!$B$5:$E$87,MATCH(A18,ERMs!$B$5:$B$87,0),2)</f>
        <v>#N/A</v>
      </c>
      <c r="H18" s="1202"/>
      <c r="I18" s="1202"/>
      <c r="J18" s="1189" t="str">
        <f>IF(C18="","",VLOOKUP(C18,'Demand Savings Lookup'!$A$2:$G$51,6,FALSE))</f>
        <v/>
      </c>
      <c r="K18" s="63"/>
      <c r="L18" s="1189" t="str">
        <f>IF(C18="","",VLOOKUP(C18,'Demand Savings Lookup'!$A$1:$G$51,7,FALSE))</f>
        <v/>
      </c>
      <c r="M18" s="1183">
        <f>IF(B18=0,0,(('Results from eQUEST'!BB38+'Results from eQUEST'!BH38)/10-('Results from eQUEST'!BB39+'Results from eQUEST'!BH39)/10))</f>
        <v>0</v>
      </c>
      <c r="N18" s="1183">
        <f>IF(B18=0,0,('Results from eQUEST'!BK38-'Results from eQUEST'!BK39)/10-M18)</f>
        <v>0</v>
      </c>
      <c r="O18" s="1183">
        <f>IF(B18=0,0,(('Results from eQUEST'!Q38+'Results from eQUEST'!R38)-('Results from eQUEST'!Q39+'Results from eQUEST'!R39)))</f>
        <v>0</v>
      </c>
      <c r="P18" s="1184">
        <f>IF(B18=0,0,'Results from eQUEST'!Y38-'Results from eQUEST'!Y39-O18)</f>
        <v>0</v>
      </c>
      <c r="Q18" s="1185">
        <f>IF(O18+P18&lt;=0,0,IF(AND(O18=0,P18=0),0,IF(B18=0,0,O18*VLOOKUP(C18,'Demand Savings Lookup'!$A$2:$E$51,IF('Basic Info'!$C$58=4,5,3),FALSE)+P18*VLOOKUP(C18,'Demand Savings Lookup'!$A$2:$E$51,IF('Basic Info'!$C$58=4,4,2),FALSE))))</f>
        <v>0</v>
      </c>
      <c r="R18" s="53"/>
      <c r="S18" s="53"/>
      <c r="T18" s="1201" t="str">
        <f t="shared" si="0"/>
        <v/>
      </c>
      <c r="U18" s="1186" t="str">
        <f>IF(B18=0,"",(O18+P18)*'Reporting Summary'!$C$112+(M18+N18)*'Reporting Summary'!$C$113*10+'Water Savings'!$C$10*R18*1000)</f>
        <v/>
      </c>
      <c r="W18" s="668"/>
    </row>
    <row r="19" spans="1:23">
      <c r="A19" s="1187">
        <v>11</v>
      </c>
      <c r="B19" s="1188">
        <f>'Results from eQUEST'!K40</f>
        <v>0</v>
      </c>
      <c r="C19" s="62"/>
      <c r="D19" s="224" t="e">
        <f>INDEX(ERMs!$B$5:$E$87,MATCH(A19,ERMs!$B$5:$B$87,0),4)</f>
        <v>#N/A</v>
      </c>
      <c r="E19" s="1202"/>
      <c r="F19" s="1202"/>
      <c r="G19" s="224" t="e">
        <f>INDEX(ERMs!$B$5:$E$87,MATCH(A19,ERMs!$B$5:$B$87,0),2)</f>
        <v>#N/A</v>
      </c>
      <c r="H19" s="1202"/>
      <c r="I19" s="1202"/>
      <c r="J19" s="1189" t="str">
        <f>IF(C19="","",VLOOKUP(C19,'Demand Savings Lookup'!$A$2:$G$51,6,FALSE))</f>
        <v/>
      </c>
      <c r="K19" s="63"/>
      <c r="L19" s="1189" t="str">
        <f>IF(C19="","",VLOOKUP(C19,'Demand Savings Lookup'!$A$1:$G$51,7,FALSE))</f>
        <v/>
      </c>
      <c r="M19" s="1183">
        <f>IF(B19=0,0,(('Results from eQUEST'!BB39+'Results from eQUEST'!BH39)/10-('Results from eQUEST'!BB40+'Results from eQUEST'!BH40)/10))</f>
        <v>0</v>
      </c>
      <c r="N19" s="1183">
        <f>IF(B19=0,0,('Results from eQUEST'!BK39-'Results from eQUEST'!BK40)/10-M19)</f>
        <v>0</v>
      </c>
      <c r="O19" s="1183">
        <f>IF(B19=0,0,(('Results from eQUEST'!Q39+'Results from eQUEST'!R39)-('Results from eQUEST'!Q40+'Results from eQUEST'!R40)))</f>
        <v>0</v>
      </c>
      <c r="P19" s="1184">
        <f>IF(B19=0,0,'Results from eQUEST'!Y39-'Results from eQUEST'!Y40-O19)</f>
        <v>0</v>
      </c>
      <c r="Q19" s="1185">
        <f>IF(O19+P19&lt;=0,0,IF(AND(O19=0,P19=0),0,IF(B19=0,0,O19*VLOOKUP(C19,'Demand Savings Lookup'!$A$2:$E$51,IF('Basic Info'!$C$58=4,5,3),FALSE)+P19*VLOOKUP(C19,'Demand Savings Lookup'!$A$2:$E$51,IF('Basic Info'!$C$58=4,4,2),FALSE))))</f>
        <v>0</v>
      </c>
      <c r="R19" s="53"/>
      <c r="S19" s="53"/>
      <c r="T19" s="1201" t="str">
        <f t="shared" si="0"/>
        <v/>
      </c>
      <c r="U19" s="1186" t="str">
        <f>IF(B19=0,"",(O19+P19)*'Reporting Summary'!$C$112+(M19+N19)*'Reporting Summary'!$C$113*10+'Water Savings'!$C$10*R19*1000)</f>
        <v/>
      </c>
      <c r="W19" s="668"/>
    </row>
    <row r="20" spans="1:23">
      <c r="A20" s="1187">
        <v>12</v>
      </c>
      <c r="B20" s="1188">
        <f>'Results from eQUEST'!K41</f>
        <v>0</v>
      </c>
      <c r="C20" s="62"/>
      <c r="D20" s="224" t="e">
        <f>INDEX(ERMs!$B$5:$E$87,MATCH(A20,ERMs!$B$5:$B$87,0),4)</f>
        <v>#N/A</v>
      </c>
      <c r="E20" s="1202"/>
      <c r="F20" s="1202"/>
      <c r="G20" s="224" t="e">
        <f>INDEX(ERMs!$B$5:$E$87,MATCH(A20,ERMs!$B$5:$B$87,0),2)</f>
        <v>#N/A</v>
      </c>
      <c r="H20" s="1202"/>
      <c r="I20" s="1202"/>
      <c r="J20" s="1189" t="str">
        <f>IF(C20="","",VLOOKUP(C20,'Demand Savings Lookup'!$A$2:$G$51,6,FALSE))</f>
        <v/>
      </c>
      <c r="K20" s="63"/>
      <c r="L20" s="1189" t="str">
        <f>IF(C20="","",VLOOKUP(C20,'Demand Savings Lookup'!$A$1:$G$51,7,FALSE))</f>
        <v/>
      </c>
      <c r="M20" s="1183">
        <f>IF(B20=0,0,(('Results from eQUEST'!BB40+'Results from eQUEST'!BH40)/10-('Results from eQUEST'!BB41+'Results from eQUEST'!BH41)/10))</f>
        <v>0</v>
      </c>
      <c r="N20" s="1183">
        <f>IF(B20=0,0,('Results from eQUEST'!BK40-'Results from eQUEST'!BK41)/10-M20)</f>
        <v>0</v>
      </c>
      <c r="O20" s="1183">
        <f>IF(B20=0,0,(('Results from eQUEST'!Q40+'Results from eQUEST'!R40)-('Results from eQUEST'!Q41+'Results from eQUEST'!R41)))</f>
        <v>0</v>
      </c>
      <c r="P20" s="1184">
        <f>IF(B20=0,0,'Results from eQUEST'!Y40-'Results from eQUEST'!Y41-O20)</f>
        <v>0</v>
      </c>
      <c r="Q20" s="1185">
        <f>IF(O20+P20&lt;=0,0,IF(AND(O20=0,P20=0),0,IF(B20=0,0,O20*VLOOKUP(C20,'Demand Savings Lookup'!$A$2:$E$51,IF('Basic Info'!$C$58=4,5,3),FALSE)+P20*VLOOKUP(C20,'Demand Savings Lookup'!$A$2:$E$51,IF('Basic Info'!$C$58=4,4,2),FALSE))))</f>
        <v>0</v>
      </c>
      <c r="R20" s="53"/>
      <c r="S20" s="53"/>
      <c r="T20" s="1201" t="str">
        <f t="shared" si="0"/>
        <v/>
      </c>
      <c r="U20" s="1186" t="str">
        <f>IF(B20=0,"",(O20+P20)*'Reporting Summary'!$C$112+(M20+N20)*'Reporting Summary'!$C$113*10+'Water Savings'!$C$10*R20*1000)</f>
        <v/>
      </c>
      <c r="W20" s="668"/>
    </row>
    <row r="21" spans="1:23">
      <c r="A21" s="1187">
        <v>13</v>
      </c>
      <c r="B21" s="1188">
        <f>'Results from eQUEST'!K42</f>
        <v>0</v>
      </c>
      <c r="C21" s="62"/>
      <c r="D21" s="224" t="e">
        <f>INDEX(ERMs!$B$5:$E$87,MATCH(A21,ERMs!$B$5:$B$87,0),4)</f>
        <v>#N/A</v>
      </c>
      <c r="E21" s="1202"/>
      <c r="F21" s="1202"/>
      <c r="G21" s="224" t="e">
        <f>INDEX(ERMs!$B$5:$E$87,MATCH(A21,ERMs!$B$5:$B$87,0),2)</f>
        <v>#N/A</v>
      </c>
      <c r="H21" s="1202"/>
      <c r="I21" s="1202"/>
      <c r="J21" s="1189" t="str">
        <f>IF(C21="","",VLOOKUP(C21,'Demand Savings Lookup'!$A$2:$G$51,6,FALSE))</f>
        <v/>
      </c>
      <c r="K21" s="63"/>
      <c r="L21" s="1189" t="str">
        <f>IF(C21="","",VLOOKUP(C21,'Demand Savings Lookup'!$A$1:$G$51,7,FALSE))</f>
        <v/>
      </c>
      <c r="M21" s="1183">
        <f>IF(B21=0,0,(('Results from eQUEST'!BB41+'Results from eQUEST'!BH41)/10-('Results from eQUEST'!BB42+'Results from eQUEST'!BH42)/10))</f>
        <v>0</v>
      </c>
      <c r="N21" s="1183">
        <f>IF(B21=0,0,('Results from eQUEST'!BK41-'Results from eQUEST'!BK42)/10-M21)</f>
        <v>0</v>
      </c>
      <c r="O21" s="1183">
        <f>IF(B21=0,0,(('Results from eQUEST'!Q41+'Results from eQUEST'!R41)-('Results from eQUEST'!Q42+'Results from eQUEST'!R42)))</f>
        <v>0</v>
      </c>
      <c r="P21" s="1184">
        <f>IF(B21=0,0,'Results from eQUEST'!Y41-'Results from eQUEST'!Y42-O21)</f>
        <v>0</v>
      </c>
      <c r="Q21" s="1185">
        <f>IF(O21+P21&lt;=0,0,IF(AND(O21=0,P21=0),0,IF(B21=0,0,O21*VLOOKUP(C21,'Demand Savings Lookup'!$A$2:$E$51,IF('Basic Info'!$C$58=4,5,3),FALSE)+P21*VLOOKUP(C21,'Demand Savings Lookup'!$A$2:$E$51,IF('Basic Info'!$C$58=4,4,2),FALSE))))</f>
        <v>0</v>
      </c>
      <c r="R21" s="53"/>
      <c r="S21" s="53"/>
      <c r="T21" s="1201" t="str">
        <f t="shared" si="0"/>
        <v/>
      </c>
      <c r="U21" s="1186" t="str">
        <f>IF(B21=0,"",(O21+P21)*'Reporting Summary'!$C$112+(M21+N21)*'Reporting Summary'!$C$113*10+'Water Savings'!$C$10*R21*1000)</f>
        <v/>
      </c>
      <c r="W21" s="668"/>
    </row>
    <row r="22" spans="1:23">
      <c r="A22" s="1187">
        <v>14</v>
      </c>
      <c r="B22" s="1188">
        <f>'Results from eQUEST'!K43</f>
        <v>0</v>
      </c>
      <c r="C22" s="62"/>
      <c r="D22" s="224" t="e">
        <f>INDEX(ERMs!$B$5:$E$87,MATCH(A22,ERMs!$B$5:$B$87,0),4)</f>
        <v>#N/A</v>
      </c>
      <c r="E22" s="1202"/>
      <c r="F22" s="1202"/>
      <c r="G22" s="224" t="e">
        <f>INDEX(ERMs!$B$5:$E$87,MATCH(A22,ERMs!$B$5:$B$87,0),2)</f>
        <v>#N/A</v>
      </c>
      <c r="H22" s="1202"/>
      <c r="I22" s="1202"/>
      <c r="J22" s="1189" t="str">
        <f>IF(C22="","",VLOOKUP(C22,'Demand Savings Lookup'!$A$2:$G$51,6,FALSE))</f>
        <v/>
      </c>
      <c r="K22" s="63"/>
      <c r="L22" s="1189" t="str">
        <f>IF(C22="","",VLOOKUP(C22,'Demand Savings Lookup'!$A$1:$G$51,7,FALSE))</f>
        <v/>
      </c>
      <c r="M22" s="1190">
        <f>IF(B22=0,0,(('Results from eQUEST'!BB42+'Results from eQUEST'!BH42)/10-('Results from eQUEST'!BB43+'Results from eQUEST'!BH43)/10))</f>
        <v>0</v>
      </c>
      <c r="N22" s="1191">
        <f>IF(B22=0,0,('Results from eQUEST'!BK42-'Results from eQUEST'!BK43)/10-M22)</f>
        <v>0</v>
      </c>
      <c r="O22" s="1191">
        <f>IF(B22=0,0,(('Results from eQUEST'!Q42+'Results from eQUEST'!R42)-('Results from eQUEST'!Q43+'Results from eQUEST'!R43)))</f>
        <v>0</v>
      </c>
      <c r="P22" s="1184">
        <f>IF(B22=0,0,'Results from eQUEST'!Y42-'Results from eQUEST'!Y43-O22)</f>
        <v>0</v>
      </c>
      <c r="Q22" s="1185">
        <f>IF(O22+P22&lt;=0,0,IF(AND(O22=0,P22=0),0,IF(B22=0,0,O22*VLOOKUP(C22,'Demand Savings Lookup'!$A$2:$E$51,IF('Basic Info'!$C$58=4,5,3),FALSE)+P22*VLOOKUP(C22,'Demand Savings Lookup'!$A$2:$E$51,IF('Basic Info'!$C$58=4,4,2),FALSE))))</f>
        <v>0</v>
      </c>
      <c r="R22" s="53"/>
      <c r="S22" s="53"/>
      <c r="T22" s="1201" t="str">
        <f t="shared" si="0"/>
        <v/>
      </c>
      <c r="U22" s="1186" t="str">
        <f>IF(B22=0,"",(O22+P22)*'Reporting Summary'!$C$112+(M22+N22)*'Reporting Summary'!$C$113*10+'Water Savings'!$C$10*R22*1000)</f>
        <v/>
      </c>
      <c r="W22" s="668"/>
    </row>
    <row r="23" spans="1:23">
      <c r="A23" s="1187">
        <v>15</v>
      </c>
      <c r="B23" s="1188">
        <f>'Results from eQUEST'!K44</f>
        <v>0</v>
      </c>
      <c r="C23" s="62"/>
      <c r="D23" s="224" t="e">
        <f>INDEX(ERMs!$B$5:$E$87,MATCH(A23,ERMs!$B$5:$B$87,0),4)</f>
        <v>#N/A</v>
      </c>
      <c r="E23" s="1202"/>
      <c r="F23" s="1202"/>
      <c r="G23" s="224" t="e">
        <f>INDEX(ERMs!$B$5:$E$87,MATCH(A23,ERMs!$B$5:$B$87,0),2)</f>
        <v>#N/A</v>
      </c>
      <c r="H23" s="1202"/>
      <c r="I23" s="1202"/>
      <c r="J23" s="1189" t="str">
        <f>IF(C23="","",VLOOKUP(C23,'Demand Savings Lookup'!$A$2:$G$51,6,FALSE))</f>
        <v/>
      </c>
      <c r="K23" s="63"/>
      <c r="L23" s="1189" t="str">
        <f>IF(C23="","",VLOOKUP(C23,'Demand Savings Lookup'!$A$1:$G$51,7,FALSE))</f>
        <v/>
      </c>
      <c r="M23" s="1190">
        <f>IF(B23=0,0,(('Results from eQUEST'!BB43+'Results from eQUEST'!BH43)/10-('Results from eQUEST'!BB44+'Results from eQUEST'!BH44)/10))</f>
        <v>0</v>
      </c>
      <c r="N23" s="1192">
        <f>IF(B23=0,0,('Results from eQUEST'!BK43-'Results from eQUEST'!BK44)/10-M23)</f>
        <v>0</v>
      </c>
      <c r="O23" s="1191">
        <f>IF(B23=0,0,(('Results from eQUEST'!Q43+'Results from eQUEST'!R43)-('Results from eQUEST'!Q44+'Results from eQUEST'!R44)))</f>
        <v>0</v>
      </c>
      <c r="P23" s="1184">
        <f>IF(B23=0,0,'Results from eQUEST'!Y43-'Results from eQUEST'!Y44-O23)</f>
        <v>0</v>
      </c>
      <c r="Q23" s="1185">
        <f>IF(O23+P23&lt;=0,0,IF(AND(O23=0,P23=0),0,IF(B23=0,0,O23*VLOOKUP(C23,'Demand Savings Lookup'!$A$2:$E$51,IF('Basic Info'!$C$58=4,5,3),FALSE)+P23*VLOOKUP(C23,'Demand Savings Lookup'!$A$2:$E$51,IF('Basic Info'!$C$58=4,4,2),FALSE))))</f>
        <v>0</v>
      </c>
      <c r="R23" s="53"/>
      <c r="S23" s="53"/>
      <c r="T23" s="1201" t="str">
        <f t="shared" si="0"/>
        <v/>
      </c>
      <c r="U23" s="1186" t="str">
        <f>IF(B23=0,"",(O23+P23)*'Reporting Summary'!$C$112+(M23+N23)*'Reporting Summary'!$C$113*10+'Water Savings'!$C$10*R23*1000)</f>
        <v/>
      </c>
      <c r="W23" s="668"/>
    </row>
    <row r="24" spans="1:23">
      <c r="A24" s="1187">
        <v>16</v>
      </c>
      <c r="B24" s="1188">
        <f>'Results from eQUEST'!K45</f>
        <v>0</v>
      </c>
      <c r="C24" s="62"/>
      <c r="D24" s="224" t="e">
        <f>INDEX(ERMs!$B$5:$E$87,MATCH(A24,ERMs!$B$5:$B$87,0),4)</f>
        <v>#N/A</v>
      </c>
      <c r="E24" s="1202"/>
      <c r="F24" s="1202"/>
      <c r="G24" s="224" t="e">
        <f>INDEX(ERMs!$B$5:$E$87,MATCH(A24,ERMs!$B$5:$B$87,0),2)</f>
        <v>#N/A</v>
      </c>
      <c r="H24" s="1202"/>
      <c r="I24" s="1202"/>
      <c r="J24" s="1189" t="str">
        <f>IF(C24="","",VLOOKUP(C24,'Demand Savings Lookup'!$A$2:$G$51,6,FALSE))</f>
        <v/>
      </c>
      <c r="K24" s="63"/>
      <c r="L24" s="1189" t="str">
        <f>IF(C24="","",VLOOKUP(C24,'Demand Savings Lookup'!$A$1:$G$51,7,FALSE))</f>
        <v/>
      </c>
      <c r="M24" s="1190">
        <f>IF(B24=0,0,(('Results from eQUEST'!BB44+'Results from eQUEST'!BH44)/10-('Results from eQUEST'!BB45+'Results from eQUEST'!BH45)/10))</f>
        <v>0</v>
      </c>
      <c r="N24" s="1192">
        <f>IF(B24=0,0,('Results from eQUEST'!BK44-'Results from eQUEST'!BK45)/10-M24)</f>
        <v>0</v>
      </c>
      <c r="O24" s="1191">
        <f>IF(B24=0,0,(('Results from eQUEST'!Q44+'Results from eQUEST'!R44)-('Results from eQUEST'!Q45+'Results from eQUEST'!R45)))</f>
        <v>0</v>
      </c>
      <c r="P24" s="1184">
        <f>IF(B24=0,0,'Results from eQUEST'!Y44-'Results from eQUEST'!Y45-O24)</f>
        <v>0</v>
      </c>
      <c r="Q24" s="1185">
        <f>IF(O24+P24&lt;=0,0,IF(AND(O24=0,P24=0),0,IF(B24=0,0,O24*VLOOKUP(C24,'Demand Savings Lookup'!$A$2:$E$51,IF('Basic Info'!$C$58=4,5,3),FALSE)+P24*VLOOKUP(C24,'Demand Savings Lookup'!$A$2:$E$51,IF('Basic Info'!$C$58=4,4,2),FALSE))))</f>
        <v>0</v>
      </c>
      <c r="R24" s="53"/>
      <c r="S24" s="53"/>
      <c r="T24" s="1201" t="str">
        <f t="shared" si="0"/>
        <v/>
      </c>
      <c r="U24" s="1186" t="str">
        <f>IF(B24=0,"",(O24+P24)*'Reporting Summary'!$C$112+(M24+N24)*'Reporting Summary'!$C$113*10+'Water Savings'!$C$10*R24*1000)</f>
        <v/>
      </c>
      <c r="W24" s="668"/>
    </row>
    <row r="25" spans="1:23">
      <c r="A25" s="1187">
        <v>17</v>
      </c>
      <c r="B25" s="1188">
        <f>'Results from eQUEST'!K46</f>
        <v>0</v>
      </c>
      <c r="C25" s="62"/>
      <c r="D25" s="224" t="e">
        <f>INDEX(ERMs!$B$5:$E$87,MATCH(A25,ERMs!$B$5:$B$87,0),4)</f>
        <v>#N/A</v>
      </c>
      <c r="E25" s="1202"/>
      <c r="F25" s="1202"/>
      <c r="G25" s="224" t="e">
        <f>INDEX(ERMs!$B$5:$E$87,MATCH(A25,ERMs!$B$5:$B$87,0),2)</f>
        <v>#N/A</v>
      </c>
      <c r="H25" s="1202"/>
      <c r="I25" s="1202"/>
      <c r="J25" s="1189" t="str">
        <f>IF(C25="","",VLOOKUP(C25,'Demand Savings Lookup'!$A$2:$G$51,6,FALSE))</f>
        <v/>
      </c>
      <c r="K25" s="63"/>
      <c r="L25" s="1189" t="str">
        <f>IF(C25="","",VLOOKUP(C25,'Demand Savings Lookup'!$A$1:$G$51,7,FALSE))</f>
        <v/>
      </c>
      <c r="M25" s="1190">
        <f>IF(B25=0,0,(('Results from eQUEST'!BB45+'Results from eQUEST'!BH45)/10-('Results from eQUEST'!BB46+'Results from eQUEST'!BH46)/10))</f>
        <v>0</v>
      </c>
      <c r="N25" s="1192">
        <f>IF(B25=0,0,('Results from eQUEST'!BK45-'Results from eQUEST'!BK46)/10-M25)</f>
        <v>0</v>
      </c>
      <c r="O25" s="1191">
        <f>IF(B25=0,0,(('Results from eQUEST'!Q45+'Results from eQUEST'!R45)-('Results from eQUEST'!Q46+'Results from eQUEST'!R46)))</f>
        <v>0</v>
      </c>
      <c r="P25" s="1184">
        <f>IF(B25=0,0,'Results from eQUEST'!Y45-'Results from eQUEST'!Y46-O25)</f>
        <v>0</v>
      </c>
      <c r="Q25" s="1185">
        <f>IF(O25+P25&lt;=0,0,IF(AND(O25=0,P25=0),0,IF(B25=0,0,O25*VLOOKUP(C25,'Demand Savings Lookup'!$A$2:$E$51,IF('Basic Info'!$C$58=4,5,3),FALSE)+P25*VLOOKUP(C25,'Demand Savings Lookup'!$A$2:$E$51,IF('Basic Info'!$C$58=4,4,2),FALSE))))</f>
        <v>0</v>
      </c>
      <c r="R25" s="53"/>
      <c r="S25" s="53"/>
      <c r="T25" s="1201" t="str">
        <f t="shared" si="0"/>
        <v/>
      </c>
      <c r="U25" s="1186" t="str">
        <f>IF(B25=0,"",(O25+P25)*'Reporting Summary'!$C$112+(M25+N25)*'Reporting Summary'!$C$113*10+'Water Savings'!$C$10*R25*1000)</f>
        <v/>
      </c>
      <c r="W25" s="668"/>
    </row>
    <row r="26" spans="1:23">
      <c r="A26" s="1187">
        <v>18</v>
      </c>
      <c r="B26" s="1188">
        <f>'Results from eQUEST'!K47</f>
        <v>0</v>
      </c>
      <c r="C26" s="62"/>
      <c r="D26" s="224" t="e">
        <f>INDEX(ERMs!$B$5:$E$87,MATCH(A26,ERMs!$B$5:$B$87,0),4)</f>
        <v>#N/A</v>
      </c>
      <c r="E26" s="1202"/>
      <c r="F26" s="1202"/>
      <c r="G26" s="224" t="e">
        <f>INDEX(ERMs!$B$5:$E$87,MATCH(A26,ERMs!$B$5:$B$87,0),2)</f>
        <v>#N/A</v>
      </c>
      <c r="H26" s="1202"/>
      <c r="I26" s="1202"/>
      <c r="J26" s="1189" t="str">
        <f>IF(C26="","",VLOOKUP(C26,'Demand Savings Lookup'!$A$2:$G$51,6,FALSE))</f>
        <v/>
      </c>
      <c r="K26" s="63"/>
      <c r="L26" s="1189" t="str">
        <f>IF(C26="","",VLOOKUP(C26,'Demand Savings Lookup'!$A$1:$G$51,7,FALSE))</f>
        <v/>
      </c>
      <c r="M26" s="1190">
        <f>IF(B26=0,0,(('Results from eQUEST'!BB46+'Results from eQUEST'!BH46)/10-('Results from eQUEST'!BB47+'Results from eQUEST'!BH47)/10))</f>
        <v>0</v>
      </c>
      <c r="N26" s="1192">
        <f>IF(B26=0,0,('Results from eQUEST'!BK46-'Results from eQUEST'!BK47)/10-M26)</f>
        <v>0</v>
      </c>
      <c r="O26" s="1191">
        <f>IF(B26=0,0,(('Results from eQUEST'!Q46+'Results from eQUEST'!R46)-('Results from eQUEST'!Q47+'Results from eQUEST'!R47)))</f>
        <v>0</v>
      </c>
      <c r="P26" s="1184">
        <f>IF(B26=0,0,'Results from eQUEST'!Y46-'Results from eQUEST'!Y47-O26)</f>
        <v>0</v>
      </c>
      <c r="Q26" s="1185">
        <f>IF(O26+P26&lt;=0,0,IF(AND(O26=0,P26=0),0,IF(B26=0,0,O26*VLOOKUP(C26,'Demand Savings Lookup'!$A$2:$E$51,IF('Basic Info'!$C$58=4,5,3),FALSE)+P26*VLOOKUP(C26,'Demand Savings Lookup'!$A$2:$E$51,IF('Basic Info'!$C$58=4,4,2),FALSE))))</f>
        <v>0</v>
      </c>
      <c r="R26" s="53"/>
      <c r="S26" s="53"/>
      <c r="T26" s="1201" t="str">
        <f t="shared" si="0"/>
        <v/>
      </c>
      <c r="U26" s="1186" t="str">
        <f>IF(B26=0,"",(O26+P26)*'Reporting Summary'!$C$112+(M26+N26)*'Reporting Summary'!$C$113*10+'Water Savings'!$C$10*R26*1000)</f>
        <v/>
      </c>
      <c r="W26" s="668"/>
    </row>
    <row r="27" spans="1:23">
      <c r="A27" s="1187">
        <v>19</v>
      </c>
      <c r="B27" s="1188">
        <f>'Results from eQUEST'!K48</f>
        <v>0</v>
      </c>
      <c r="C27" s="62"/>
      <c r="D27" s="224" t="e">
        <f>INDEX(ERMs!$B$5:$E$87,MATCH(A27,ERMs!$B$5:$B$87,0),4)</f>
        <v>#N/A</v>
      </c>
      <c r="E27" s="1202"/>
      <c r="F27" s="1202"/>
      <c r="G27" s="224" t="e">
        <f>INDEX(ERMs!$B$5:$E$87,MATCH(A27,ERMs!$B$5:$B$87,0),2)</f>
        <v>#N/A</v>
      </c>
      <c r="H27" s="1202"/>
      <c r="I27" s="1202"/>
      <c r="J27" s="1189" t="str">
        <f>IF(C27="","",VLOOKUP(C27,'Demand Savings Lookup'!$A$2:$G$51,6,FALSE))</f>
        <v/>
      </c>
      <c r="K27" s="63"/>
      <c r="L27" s="1189" t="str">
        <f>IF(C27="","",VLOOKUP(C27,'Demand Savings Lookup'!$A$1:$G$51,7,FALSE))</f>
        <v/>
      </c>
      <c r="M27" s="1190">
        <f>IF(B27=0,0,(('Results from eQUEST'!BB47+'Results from eQUEST'!BH47)/10-('Results from eQUEST'!BB48+'Results from eQUEST'!BH48)/10))</f>
        <v>0</v>
      </c>
      <c r="N27" s="1192">
        <f>IF(B27=0,0,('Results from eQUEST'!BK47-'Results from eQUEST'!BK48)/10-M27)</f>
        <v>0</v>
      </c>
      <c r="O27" s="1191">
        <f>IF(B27=0,0,(('Results from eQUEST'!Q47+'Results from eQUEST'!R47)-('Results from eQUEST'!Q48+'Results from eQUEST'!R48)))</f>
        <v>0</v>
      </c>
      <c r="P27" s="1184">
        <f>IF(B27=0,0,'Results from eQUEST'!Y47-'Results from eQUEST'!Y48-O27)</f>
        <v>0</v>
      </c>
      <c r="Q27" s="1185">
        <f>IF(O27+P27&lt;=0,0,IF(AND(O27=0,P27=0),0,IF(B27=0,0,O27*VLOOKUP(C27,'Demand Savings Lookup'!$A$2:$E$51,IF('Basic Info'!$C$58=4,5,3),FALSE)+P27*VLOOKUP(C27,'Demand Savings Lookup'!$A$2:$E$51,IF('Basic Info'!$C$58=4,4,2),FALSE))))</f>
        <v>0</v>
      </c>
      <c r="R27" s="53"/>
      <c r="S27" s="53"/>
      <c r="T27" s="1201" t="str">
        <f t="shared" si="0"/>
        <v/>
      </c>
      <c r="U27" s="1186" t="str">
        <f>IF(B27=0,"",(O27+P27)*'Reporting Summary'!$C$112+(M27+N27)*'Reporting Summary'!$C$113*10+'Water Savings'!$C$10*R27*1000)</f>
        <v/>
      </c>
      <c r="W27" s="668"/>
    </row>
    <row r="28" spans="1:23" ht="12.75" thickBot="1">
      <c r="A28" s="1193">
        <v>20</v>
      </c>
      <c r="B28" s="1188">
        <f>'Results from eQUEST'!K49</f>
        <v>0</v>
      </c>
      <c r="C28" s="1063"/>
      <c r="D28" s="224" t="e">
        <f>INDEX(ERMs!$B$5:$E$87,MATCH(A28,ERMs!$B$5:$B$87,0),4)</f>
        <v>#N/A</v>
      </c>
      <c r="E28" s="1202"/>
      <c r="F28" s="1202"/>
      <c r="G28" s="224" t="e">
        <f>INDEX(ERMs!$B$5:$E$87,MATCH(A28,ERMs!$B$5:$B$87,0),2)</f>
        <v>#N/A</v>
      </c>
      <c r="H28" s="1202"/>
      <c r="I28" s="1202"/>
      <c r="J28" s="1189" t="str">
        <f>IF(C28="","",VLOOKUP(C28,'Demand Savings Lookup'!$A$2:$G$51,6,FALSE))</f>
        <v/>
      </c>
      <c r="K28" s="1064"/>
      <c r="L28" s="1189" t="str">
        <f>IF(C28="","",VLOOKUP(C28,'Demand Savings Lookup'!$A$1:$G$51,7,FALSE))</f>
        <v/>
      </c>
      <c r="M28" s="1190">
        <f>IF(B28=0,0,(('Results from eQUEST'!BB48+'Results from eQUEST'!BH48)/10-('Results from eQUEST'!BB49+'Results from eQUEST'!BH49)/10))</f>
        <v>0</v>
      </c>
      <c r="N28" s="1192">
        <f>IF(B28=0,0,('Results from eQUEST'!BK48-'Results from eQUEST'!BK49)/10-M28)</f>
        <v>0</v>
      </c>
      <c r="O28" s="1191">
        <f>IF(B28=0,0,(('Results from eQUEST'!Q48+'Results from eQUEST'!R48)-('Results from eQUEST'!Q49+'Results from eQUEST'!R49)))</f>
        <v>0</v>
      </c>
      <c r="P28" s="1184">
        <f>IF(B28=0,0,'Results from eQUEST'!Y48-'Results from eQUEST'!Y49-O28)</f>
        <v>0</v>
      </c>
      <c r="Q28" s="1185">
        <f>IF(O28+P28&lt;=0,0,IF(AND(O28=0,P28=0),0,IF(B28=0,0,O28*VLOOKUP(C28,'Demand Savings Lookup'!$A$2:$E$51,IF('Basic Info'!$C$58=4,5,3),FALSE)+P28*VLOOKUP(C28,'Demand Savings Lookup'!$A$2:$E$51,IF('Basic Info'!$C$58=4,4,2),FALSE))))</f>
        <v>0</v>
      </c>
      <c r="R28" s="1065"/>
      <c r="S28" s="1065"/>
      <c r="T28" s="1201" t="str">
        <f t="shared" si="0"/>
        <v/>
      </c>
      <c r="U28" s="1186" t="str">
        <f>IF(B28=0,"",(O28+P28)*'Reporting Summary'!$C$112+(M28+N28)*'Reporting Summary'!$C$113*10+'Water Savings'!$C$10*R28*1000)</f>
        <v/>
      </c>
      <c r="W28" s="668"/>
    </row>
    <row r="29" spans="1:23" ht="12.75" thickBot="1">
      <c r="A29" s="1066"/>
      <c r="B29" s="1054"/>
      <c r="C29" s="1054"/>
      <c r="D29" s="1054"/>
      <c r="E29" s="1054"/>
      <c r="F29" s="1054"/>
      <c r="G29" s="1054"/>
      <c r="H29" s="1054"/>
      <c r="I29" s="1054"/>
      <c r="J29" s="1054"/>
      <c r="K29" s="1054"/>
      <c r="L29" s="1054"/>
      <c r="M29" s="1054"/>
      <c r="N29" s="1054"/>
      <c r="O29" s="1054"/>
      <c r="P29" s="1054"/>
      <c r="Q29" s="1054"/>
      <c r="R29" s="1054"/>
      <c r="S29" s="1054"/>
      <c r="T29" s="1054"/>
      <c r="U29" s="1067"/>
    </row>
    <row r="30" spans="1:23" ht="12.75" customHeight="1">
      <c r="D30" s="54"/>
      <c r="E30" s="54"/>
      <c r="F30" s="54"/>
      <c r="G30" s="54"/>
      <c r="H30" s="54"/>
      <c r="I30" s="54"/>
      <c r="L30" s="64" t="s">
        <v>494</v>
      </c>
      <c r="M30" s="675">
        <f t="shared" ref="M30:S30" si="1">SUM(M8:M29)</f>
        <v>0</v>
      </c>
      <c r="N30" s="675">
        <f t="shared" si="1"/>
        <v>0</v>
      </c>
      <c r="O30" s="675">
        <f t="shared" si="1"/>
        <v>0</v>
      </c>
      <c r="P30" s="675">
        <f t="shared" si="1"/>
        <v>0</v>
      </c>
      <c r="Q30" s="675">
        <f t="shared" si="1"/>
        <v>0</v>
      </c>
      <c r="R30" s="675">
        <f t="shared" si="1"/>
        <v>0</v>
      </c>
      <c r="S30" s="675">
        <f t="shared" si="1"/>
        <v>0</v>
      </c>
      <c r="T30" s="1203">
        <f>SUM(T8:T29)</f>
        <v>0</v>
      </c>
      <c r="U30" s="65">
        <f>SUM(U8:U29)</f>
        <v>0</v>
      </c>
    </row>
    <row r="31" spans="1:23" ht="13.5" customHeight="1" thickBot="1">
      <c r="A31" s="54"/>
      <c r="B31" s="54"/>
      <c r="C31" s="54"/>
      <c r="D31" s="54"/>
      <c r="E31" s="54"/>
      <c r="F31" s="54"/>
      <c r="G31" s="54"/>
      <c r="H31" s="54"/>
      <c r="I31" s="54"/>
      <c r="J31" s="54"/>
      <c r="K31" s="54"/>
      <c r="L31" s="54"/>
      <c r="M31" s="676"/>
      <c r="N31" s="676"/>
      <c r="O31" s="676"/>
      <c r="P31" s="56"/>
      <c r="Q31" s="56"/>
      <c r="R31" s="56"/>
      <c r="S31" s="56"/>
      <c r="T31" s="56"/>
      <c r="U31" s="56"/>
      <c r="V31" s="54"/>
    </row>
    <row r="32" spans="1:23" ht="12.75" customHeight="1" thickBot="1">
      <c r="B32" s="1088" t="s">
        <v>490</v>
      </c>
      <c r="C32" s="1084"/>
      <c r="D32" s="1084"/>
      <c r="E32" s="1084"/>
      <c r="F32" s="1084"/>
      <c r="G32" s="1085"/>
      <c r="H32" s="1085"/>
      <c r="I32" s="1085"/>
      <c r="J32" s="1086"/>
      <c r="K32" s="1086"/>
      <c r="L32" s="1086"/>
      <c r="M32" s="1086"/>
      <c r="N32" s="1087"/>
      <c r="O32" s="54"/>
    </row>
    <row r="33" spans="2:22" ht="12.75" customHeight="1">
      <c r="B33" s="677" t="s">
        <v>1391</v>
      </c>
      <c r="C33" s="569"/>
      <c r="D33" s="569"/>
      <c r="E33" s="569"/>
      <c r="F33" s="569"/>
      <c r="G33" s="678"/>
      <c r="H33" s="678"/>
      <c r="I33" s="678"/>
      <c r="J33" s="679"/>
      <c r="K33" s="679"/>
      <c r="L33" s="679"/>
      <c r="M33" s="679"/>
      <c r="N33" s="1068"/>
      <c r="O33" s="54"/>
      <c r="Q33" s="55"/>
    </row>
    <row r="34" spans="2:22" s="55" customFormat="1" ht="12.75" customHeight="1">
      <c r="B34" s="677" t="s">
        <v>710</v>
      </c>
      <c r="C34" s="569"/>
      <c r="D34" s="569"/>
      <c r="E34" s="569"/>
      <c r="F34" s="569"/>
      <c r="G34" s="678"/>
      <c r="H34" s="678"/>
      <c r="I34" s="678"/>
      <c r="J34" s="679"/>
      <c r="K34" s="679"/>
      <c r="L34" s="679"/>
      <c r="M34" s="679"/>
      <c r="N34" s="1069"/>
    </row>
    <row r="35" spans="2:22" s="55" customFormat="1" ht="12.75" customHeight="1">
      <c r="B35" s="677" t="s">
        <v>1484</v>
      </c>
      <c r="C35" s="569"/>
      <c r="D35" s="569"/>
      <c r="E35" s="569"/>
      <c r="F35" s="569"/>
      <c r="G35" s="678"/>
      <c r="H35" s="678"/>
      <c r="I35" s="678"/>
      <c r="J35" s="679"/>
      <c r="K35" s="679"/>
      <c r="L35" s="679"/>
      <c r="M35" s="679"/>
      <c r="N35" s="1069"/>
    </row>
    <row r="36" spans="2:22" s="55" customFormat="1">
      <c r="B36" s="677" t="s">
        <v>1479</v>
      </c>
      <c r="C36" s="569"/>
      <c r="D36" s="569"/>
      <c r="E36" s="569"/>
      <c r="F36" s="569"/>
      <c r="G36" s="678"/>
      <c r="H36" s="678"/>
      <c r="I36" s="678"/>
      <c r="J36" s="679"/>
      <c r="K36" s="679"/>
      <c r="L36" s="679"/>
      <c r="M36" s="679"/>
      <c r="N36" s="1069"/>
    </row>
    <row r="37" spans="2:22" s="55" customFormat="1">
      <c r="B37" s="677" t="s">
        <v>1480</v>
      </c>
      <c r="C37" s="569"/>
      <c r="D37" s="569"/>
      <c r="E37" s="569"/>
      <c r="F37" s="569"/>
      <c r="G37" s="569"/>
      <c r="H37" s="569"/>
      <c r="I37" s="569"/>
      <c r="J37" s="569"/>
      <c r="K37" s="569"/>
      <c r="L37" s="569"/>
      <c r="M37" s="569"/>
      <c r="N37" s="1069"/>
    </row>
    <row r="38" spans="2:22" s="55" customFormat="1">
      <c r="B38" s="677" t="s">
        <v>1481</v>
      </c>
      <c r="C38" s="569"/>
      <c r="D38" s="569"/>
      <c r="E38" s="569"/>
      <c r="F38" s="569"/>
      <c r="G38" s="678"/>
      <c r="H38" s="678"/>
      <c r="I38" s="678"/>
      <c r="J38" s="679"/>
      <c r="K38" s="679"/>
      <c r="L38" s="679"/>
      <c r="M38" s="679"/>
      <c r="N38" s="1069"/>
    </row>
    <row r="39" spans="2:22" s="55" customFormat="1">
      <c r="B39" s="677" t="s">
        <v>1482</v>
      </c>
      <c r="C39" s="569"/>
      <c r="D39" s="569"/>
      <c r="E39" s="569"/>
      <c r="F39" s="569"/>
      <c r="G39" s="678"/>
      <c r="H39" s="678"/>
      <c r="I39" s="678"/>
      <c r="J39" s="679"/>
      <c r="K39" s="679"/>
      <c r="L39" s="679"/>
      <c r="M39" s="679"/>
      <c r="N39" s="1069"/>
    </row>
    <row r="40" spans="2:22" s="55" customFormat="1" ht="12.75" thickBot="1">
      <c r="B40" s="677" t="s">
        <v>1483</v>
      </c>
      <c r="C40" s="569"/>
      <c r="D40" s="569"/>
      <c r="E40" s="569"/>
      <c r="F40" s="569"/>
      <c r="G40" s="678"/>
      <c r="H40" s="678"/>
      <c r="I40" s="678"/>
      <c r="J40" s="679"/>
      <c r="K40" s="679"/>
      <c r="L40" s="679"/>
      <c r="M40" s="679"/>
      <c r="N40" s="1069"/>
    </row>
    <row r="41" spans="2:22" s="55" customFormat="1" ht="12" customHeight="1" thickBot="1">
      <c r="B41" s="1089" t="s">
        <v>709</v>
      </c>
      <c r="C41" s="1084"/>
      <c r="D41" s="1084"/>
      <c r="E41" s="1084"/>
      <c r="F41" s="1084"/>
      <c r="G41" s="1090"/>
      <c r="H41" s="1090"/>
      <c r="I41" s="1090"/>
      <c r="J41" s="1084"/>
      <c r="K41" s="1084"/>
      <c r="L41" s="1084"/>
      <c r="M41" s="1084"/>
      <c r="N41" s="1091"/>
    </row>
    <row r="42" spans="2:22" s="55" customFormat="1" ht="12" customHeight="1">
      <c r="B42" s="681" t="s">
        <v>491</v>
      </c>
      <c r="C42" s="569"/>
      <c r="D42" s="569"/>
      <c r="E42" s="569"/>
      <c r="F42" s="569"/>
      <c r="G42" s="680"/>
      <c r="H42" s="680"/>
      <c r="I42" s="680"/>
      <c r="J42" s="569"/>
      <c r="K42" s="569"/>
      <c r="L42" s="569"/>
      <c r="M42" s="569"/>
      <c r="N42" s="1069"/>
    </row>
    <row r="43" spans="2:22" s="55" customFormat="1" ht="12.75" thickBot="1">
      <c r="B43" s="682" t="s">
        <v>1469</v>
      </c>
      <c r="C43" s="683"/>
      <c r="D43" s="683"/>
      <c r="E43" s="683"/>
      <c r="F43" s="683"/>
      <c r="G43" s="1070"/>
      <c r="H43" s="1070"/>
      <c r="I43" s="1070"/>
      <c r="J43" s="683"/>
      <c r="K43" s="683"/>
      <c r="L43" s="683"/>
      <c r="M43" s="683"/>
      <c r="N43" s="1071"/>
    </row>
    <row r="44" spans="2:22" s="55" customFormat="1">
      <c r="B44" s="569"/>
      <c r="C44" s="569"/>
      <c r="D44" s="569"/>
      <c r="E44" s="569"/>
      <c r="F44" s="569"/>
      <c r="G44" s="569"/>
      <c r="H44" s="569"/>
      <c r="I44" s="569"/>
      <c r="J44" s="569"/>
      <c r="K44" s="569"/>
      <c r="L44" s="569"/>
      <c r="M44" s="568"/>
      <c r="N44" s="669"/>
      <c r="O44" s="449"/>
      <c r="P44" s="449"/>
      <c r="Q44" s="449"/>
      <c r="R44" s="670"/>
      <c r="S44" s="57"/>
      <c r="T44" s="57"/>
      <c r="U44" s="58"/>
    </row>
    <row r="45" spans="2:22" s="55" customFormat="1" ht="12.75" thickBot="1">
      <c r="M45" s="669"/>
      <c r="N45" s="669"/>
      <c r="O45" s="449"/>
      <c r="P45" s="449"/>
      <c r="Q45" s="449"/>
      <c r="R45" s="670"/>
      <c r="S45" s="59"/>
      <c r="T45" s="59"/>
      <c r="U45" s="59"/>
      <c r="V45" s="60"/>
    </row>
    <row r="46" spans="2:22" s="55" customFormat="1" ht="12.75" thickBot="1">
      <c r="B46" s="1534" t="s">
        <v>1135</v>
      </c>
      <c r="C46" s="1535"/>
      <c r="D46" s="1535"/>
      <c r="E46" s="1535"/>
      <c r="F46" s="1535"/>
      <c r="G46" s="1535"/>
      <c r="H46" s="1199"/>
      <c r="I46" s="1199"/>
      <c r="J46" s="1081"/>
      <c r="K46" s="1081"/>
      <c r="L46" s="1081"/>
      <c r="M46" s="1082"/>
      <c r="N46" s="1083"/>
      <c r="O46" s="60"/>
    </row>
    <row r="47" spans="2:22" s="55" customFormat="1">
      <c r="B47" s="730"/>
      <c r="C47" s="427"/>
      <c r="D47" s="427"/>
      <c r="E47" s="427"/>
      <c r="F47" s="427"/>
      <c r="G47" s="427"/>
      <c r="H47" s="427"/>
      <c r="I47" s="427"/>
      <c r="J47" s="1072"/>
      <c r="K47" s="1072"/>
      <c r="L47" s="1072"/>
      <c r="M47" s="1073"/>
      <c r="N47" s="1075"/>
      <c r="O47" s="60"/>
    </row>
    <row r="48" spans="2:22" s="55" customFormat="1">
      <c r="B48" s="730"/>
      <c r="C48" s="427"/>
      <c r="D48" s="427"/>
      <c r="E48" s="427"/>
      <c r="F48" s="427"/>
      <c r="G48" s="427"/>
      <c r="H48" s="427"/>
      <c r="I48" s="427"/>
      <c r="J48" s="1072"/>
      <c r="K48" s="1072"/>
      <c r="L48" s="1072"/>
      <c r="M48" s="1073"/>
      <c r="N48" s="1076"/>
      <c r="O48" s="60"/>
    </row>
    <row r="49" spans="1:24" s="55" customFormat="1">
      <c r="B49" s="730"/>
      <c r="C49" s="427"/>
      <c r="D49" s="427"/>
      <c r="E49" s="427"/>
      <c r="F49" s="427"/>
      <c r="G49" s="427"/>
      <c r="H49" s="427"/>
      <c r="I49" s="427"/>
      <c r="J49" s="1072"/>
      <c r="K49" s="1072"/>
      <c r="L49" s="1072"/>
      <c r="M49" s="1073"/>
      <c r="N49" s="1076"/>
      <c r="O49" s="60"/>
    </row>
    <row r="50" spans="1:24" s="55" customFormat="1">
      <c r="B50" s="730"/>
      <c r="C50" s="427"/>
      <c r="D50" s="427"/>
      <c r="E50" s="427"/>
      <c r="F50" s="427"/>
      <c r="G50" s="427"/>
      <c r="H50" s="427"/>
      <c r="I50" s="427"/>
      <c r="J50" s="1072"/>
      <c r="K50" s="1072"/>
      <c r="L50" s="1072"/>
      <c r="M50" s="1074"/>
      <c r="N50" s="1076"/>
      <c r="O50" s="60"/>
    </row>
    <row r="51" spans="1:24" s="55" customFormat="1" ht="12.75" thickBot="1">
      <c r="B51" s="1077"/>
      <c r="C51" s="1078"/>
      <c r="D51" s="1078"/>
      <c r="E51" s="1078"/>
      <c r="F51" s="1078"/>
      <c r="G51" s="1078"/>
      <c r="H51" s="1078"/>
      <c r="I51" s="1078"/>
      <c r="J51" s="1079"/>
      <c r="K51" s="1079"/>
      <c r="L51" s="1079"/>
      <c r="M51" s="1079"/>
      <c r="N51" s="1080"/>
      <c r="O51" s="60"/>
    </row>
    <row r="52" spans="1:24" s="55" customFormat="1">
      <c r="B52" s="60"/>
      <c r="C52" s="60"/>
      <c r="G52" s="60"/>
      <c r="H52" s="60"/>
      <c r="I52" s="60"/>
      <c r="J52" s="61"/>
      <c r="K52" s="61"/>
      <c r="L52" s="61"/>
      <c r="M52" s="61"/>
      <c r="P52" s="60"/>
      <c r="Q52" s="60"/>
      <c r="R52" s="60"/>
      <c r="S52" s="60"/>
      <c r="T52" s="60"/>
      <c r="U52" s="61"/>
      <c r="V52" s="60"/>
      <c r="X52" s="60"/>
    </row>
    <row r="53" spans="1:24" s="60" customFormat="1">
      <c r="A53" s="55"/>
      <c r="D53" s="55"/>
      <c r="E53" s="55"/>
      <c r="F53" s="55"/>
      <c r="J53" s="61"/>
      <c r="K53" s="61"/>
      <c r="L53" s="61"/>
      <c r="M53" s="61"/>
      <c r="N53" s="61"/>
      <c r="O53" s="61"/>
      <c r="U53" s="61"/>
    </row>
    <row r="54" spans="1:24" s="60" customFormat="1">
      <c r="D54" s="55"/>
      <c r="E54" s="55"/>
      <c r="F54" s="55"/>
      <c r="J54" s="61"/>
      <c r="K54" s="61"/>
      <c r="L54" s="61"/>
      <c r="M54" s="61"/>
      <c r="N54" s="61"/>
      <c r="O54" s="61"/>
      <c r="P54" s="61"/>
      <c r="Q54" s="61"/>
      <c r="R54" s="61"/>
      <c r="S54" s="61"/>
      <c r="T54" s="61"/>
      <c r="U54" s="61"/>
      <c r="V54" s="55"/>
    </row>
    <row r="55" spans="1:24" s="60" customFormat="1">
      <c r="D55" s="55"/>
      <c r="E55" s="55"/>
      <c r="F55" s="55"/>
      <c r="J55" s="61"/>
      <c r="K55" s="61"/>
      <c r="L55" s="61"/>
      <c r="M55" s="61"/>
      <c r="N55" s="61"/>
      <c r="O55" s="61"/>
      <c r="P55" s="61"/>
      <c r="Q55" s="61"/>
      <c r="R55" s="61"/>
      <c r="S55" s="61"/>
      <c r="T55" s="61"/>
      <c r="U55" s="61"/>
      <c r="V55" s="55"/>
    </row>
    <row r="56" spans="1:24" s="60" customFormat="1">
      <c r="D56" s="55"/>
      <c r="E56" s="55"/>
      <c r="F56" s="55"/>
      <c r="J56" s="61"/>
      <c r="K56" s="61"/>
      <c r="L56" s="61"/>
      <c r="M56" s="61"/>
      <c r="N56" s="61"/>
      <c r="O56" s="61"/>
      <c r="P56" s="61"/>
      <c r="Q56" s="61"/>
      <c r="R56" s="61"/>
      <c r="S56" s="61"/>
      <c r="T56" s="61"/>
      <c r="U56" s="61"/>
      <c r="V56" s="55"/>
    </row>
    <row r="57" spans="1:24" s="60" customFormat="1">
      <c r="D57" s="55"/>
      <c r="E57" s="55"/>
      <c r="F57" s="55"/>
      <c r="J57" s="61"/>
      <c r="K57" s="61"/>
      <c r="L57" s="61"/>
      <c r="M57" s="61"/>
      <c r="N57" s="61"/>
      <c r="O57" s="61"/>
      <c r="P57" s="61"/>
      <c r="Q57" s="61"/>
      <c r="R57" s="61"/>
      <c r="S57" s="61"/>
      <c r="T57" s="61"/>
      <c r="U57" s="61"/>
      <c r="V57" s="55"/>
    </row>
    <row r="58" spans="1:24" s="60" customFormat="1">
      <c r="D58" s="55"/>
      <c r="E58" s="55"/>
      <c r="F58" s="55"/>
      <c r="J58" s="61"/>
      <c r="K58" s="61"/>
      <c r="L58" s="61"/>
      <c r="M58" s="61"/>
      <c r="N58" s="61"/>
      <c r="O58" s="61"/>
      <c r="P58" s="61"/>
      <c r="Q58" s="61"/>
      <c r="R58" s="61"/>
      <c r="S58" s="61"/>
      <c r="T58" s="61"/>
      <c r="U58" s="61"/>
      <c r="V58" s="55"/>
    </row>
    <row r="59" spans="1:24" s="60" customFormat="1">
      <c r="D59" s="55"/>
      <c r="E59" s="55"/>
      <c r="F59" s="55"/>
      <c r="J59" s="61"/>
      <c r="K59" s="61"/>
      <c r="L59" s="61"/>
      <c r="M59" s="61"/>
      <c r="N59" s="61"/>
      <c r="O59" s="61"/>
      <c r="P59" s="61"/>
      <c r="Q59" s="61"/>
      <c r="R59" s="61"/>
      <c r="S59" s="61"/>
      <c r="T59" s="61"/>
      <c r="U59" s="61"/>
      <c r="V59" s="55"/>
    </row>
    <row r="60" spans="1:24" s="60" customFormat="1">
      <c r="B60" s="55"/>
      <c r="C60" s="55"/>
      <c r="D60" s="55"/>
      <c r="E60" s="55"/>
      <c r="F60" s="55"/>
      <c r="J60" s="55"/>
      <c r="K60" s="55"/>
      <c r="L60" s="55"/>
      <c r="M60" s="55"/>
      <c r="N60" s="61"/>
      <c r="O60" s="61"/>
      <c r="U60" s="61"/>
      <c r="V60" s="55"/>
    </row>
    <row r="61" spans="1:24" s="60" customFormat="1">
      <c r="B61" s="55"/>
      <c r="C61" s="55"/>
      <c r="D61" s="55"/>
      <c r="E61" s="55"/>
      <c r="F61" s="55"/>
      <c r="G61" s="55"/>
      <c r="H61" s="55"/>
      <c r="I61" s="55"/>
      <c r="J61" s="55"/>
      <c r="K61" s="55"/>
      <c r="L61" s="55"/>
      <c r="M61" s="55"/>
      <c r="N61" s="61"/>
      <c r="O61" s="61"/>
      <c r="P61" s="55"/>
      <c r="Q61" s="55"/>
      <c r="R61" s="55"/>
      <c r="S61" s="55"/>
      <c r="T61" s="55"/>
      <c r="U61" s="55"/>
      <c r="V61" s="55"/>
    </row>
    <row r="62" spans="1:24" s="60" customFormat="1">
      <c r="B62" s="55"/>
      <c r="C62" s="55"/>
      <c r="D62" s="55"/>
      <c r="E62" s="55"/>
      <c r="F62" s="55"/>
      <c r="G62" s="55"/>
      <c r="H62" s="55"/>
      <c r="I62" s="55"/>
      <c r="J62" s="55"/>
      <c r="K62" s="55"/>
      <c r="L62" s="55"/>
      <c r="M62" s="55"/>
      <c r="N62" s="61"/>
      <c r="O62" s="61"/>
      <c r="P62" s="55"/>
      <c r="Q62" s="55"/>
      <c r="R62" s="55"/>
      <c r="S62" s="55"/>
      <c r="T62" s="55"/>
      <c r="U62" s="55"/>
      <c r="V62" s="55"/>
    </row>
    <row r="63" spans="1:24" s="60" customFormat="1">
      <c r="B63" s="55"/>
      <c r="C63" s="55"/>
      <c r="D63" s="55"/>
      <c r="E63" s="55"/>
      <c r="F63" s="55"/>
      <c r="G63" s="55"/>
      <c r="H63" s="55"/>
      <c r="I63" s="55"/>
      <c r="J63" s="55"/>
      <c r="K63" s="55"/>
      <c r="L63" s="55"/>
      <c r="M63" s="55"/>
      <c r="N63" s="61"/>
      <c r="O63" s="61"/>
      <c r="P63" s="55"/>
      <c r="Q63" s="55"/>
      <c r="R63" s="55"/>
      <c r="S63" s="55"/>
      <c r="T63" s="55"/>
      <c r="U63" s="55"/>
      <c r="V63" s="55"/>
    </row>
    <row r="64" spans="1:24" s="60" customFormat="1">
      <c r="B64" s="55"/>
      <c r="C64" s="55"/>
      <c r="D64" s="55"/>
      <c r="E64" s="55"/>
      <c r="F64" s="55"/>
      <c r="G64" s="55"/>
      <c r="H64" s="55"/>
      <c r="I64" s="55"/>
      <c r="J64" s="55"/>
      <c r="K64" s="55"/>
      <c r="L64" s="55"/>
      <c r="M64" s="55"/>
      <c r="N64" s="61"/>
      <c r="O64" s="61"/>
      <c r="P64" s="55"/>
      <c r="Q64" s="55"/>
      <c r="R64" s="55"/>
      <c r="S64" s="55"/>
      <c r="T64" s="55"/>
      <c r="U64" s="55"/>
      <c r="V64" s="55"/>
    </row>
    <row r="65" spans="1:24" s="60" customFormat="1">
      <c r="B65" s="55"/>
      <c r="C65" s="55"/>
      <c r="D65" s="55"/>
      <c r="E65" s="55"/>
      <c r="F65" s="55"/>
      <c r="G65" s="55"/>
      <c r="H65" s="55"/>
      <c r="I65" s="55"/>
      <c r="J65" s="55"/>
      <c r="K65" s="55"/>
      <c r="L65" s="55"/>
      <c r="M65" s="55"/>
      <c r="N65" s="61"/>
      <c r="O65" s="61"/>
      <c r="P65" s="55"/>
      <c r="Q65" s="55"/>
      <c r="R65" s="55"/>
      <c r="S65" s="55"/>
      <c r="T65" s="55"/>
      <c r="U65" s="55"/>
      <c r="V65" s="55"/>
      <c r="X65" s="55"/>
    </row>
    <row r="66" spans="1:24" s="55" customFormat="1">
      <c r="A66" s="60"/>
    </row>
    <row r="67" spans="1:24" s="55" customFormat="1" ht="12" customHeight="1">
      <c r="A67" s="60"/>
    </row>
    <row r="68" spans="1:24" s="55" customFormat="1">
      <c r="A68" s="60"/>
    </row>
    <row r="69" spans="1:24" s="55" customFormat="1">
      <c r="A69" s="60"/>
    </row>
    <row r="70" spans="1:24" s="55" customFormat="1"/>
    <row r="71" spans="1:24" s="55" customFormat="1"/>
    <row r="72" spans="1:24" s="55" customFormat="1"/>
    <row r="73" spans="1:24" s="55" customFormat="1"/>
    <row r="74" spans="1:24" s="55" customFormat="1"/>
    <row r="75" spans="1:24" s="55" customFormat="1"/>
    <row r="76" spans="1:24" s="55" customFormat="1"/>
    <row r="77" spans="1:24" s="55" customFormat="1"/>
    <row r="78" spans="1:24" s="55" customFormat="1"/>
    <row r="79" spans="1:24" s="55" customFormat="1"/>
    <row r="80" spans="1:24" s="55" customFormat="1"/>
    <row r="81" spans="16:23" s="55" customFormat="1"/>
    <row r="82" spans="16:23" s="55" customFormat="1"/>
    <row r="83" spans="16:23" s="55" customFormat="1"/>
    <row r="84" spans="16:23" s="55" customFormat="1"/>
    <row r="85" spans="16:23" s="55" customFormat="1"/>
    <row r="86" spans="16:23" s="55" customFormat="1" ht="12.75">
      <c r="P86" s="671"/>
      <c r="Q86" s="671"/>
      <c r="R86" s="671"/>
      <c r="S86" s="671"/>
      <c r="T86" s="671"/>
      <c r="U86" s="671"/>
    </row>
    <row r="87" spans="16:23" s="55" customFormat="1" ht="12.75">
      <c r="P87" s="671"/>
      <c r="Q87" s="671"/>
      <c r="R87" s="671"/>
      <c r="S87" s="671"/>
      <c r="T87" s="671"/>
      <c r="U87" s="671"/>
    </row>
    <row r="88" spans="16:23" s="55" customFormat="1" ht="12.75">
      <c r="P88" s="671"/>
      <c r="Q88" s="671"/>
      <c r="R88" s="671"/>
      <c r="S88" s="671"/>
      <c r="T88" s="671"/>
      <c r="U88" s="671"/>
    </row>
    <row r="89" spans="16:23" s="55" customFormat="1" ht="12.75">
      <c r="P89" s="671"/>
      <c r="Q89" s="671"/>
      <c r="R89" s="671"/>
      <c r="S89" s="671"/>
      <c r="T89" s="671"/>
      <c r="U89" s="671"/>
    </row>
    <row r="90" spans="16:23" s="55" customFormat="1" ht="12.75">
      <c r="P90" s="671"/>
      <c r="Q90" s="671"/>
      <c r="R90" s="671"/>
      <c r="S90" s="671"/>
      <c r="T90" s="671"/>
      <c r="U90" s="671"/>
    </row>
    <row r="91" spans="16:23" s="671" customFormat="1" ht="12.75">
      <c r="W91" s="50"/>
    </row>
    <row r="92" spans="16:23" s="671" customFormat="1" ht="12.75">
      <c r="W92" s="50"/>
    </row>
    <row r="93" spans="16:23" s="671" customFormat="1" ht="24" customHeight="1">
      <c r="P93" s="55"/>
      <c r="Q93" s="55"/>
      <c r="R93" s="55"/>
      <c r="S93" s="55"/>
      <c r="T93" s="55"/>
      <c r="U93" s="55"/>
      <c r="W93" s="50"/>
    </row>
    <row r="94" spans="16:23" s="671" customFormat="1" ht="12.75">
      <c r="P94" s="55"/>
      <c r="Q94" s="55"/>
      <c r="R94" s="55"/>
      <c r="S94" s="55"/>
      <c r="T94" s="55"/>
      <c r="U94" s="55"/>
      <c r="W94" s="50"/>
    </row>
    <row r="95" spans="16:23" s="671" customFormat="1" ht="12.75">
      <c r="P95" s="55"/>
      <c r="Q95" s="55"/>
      <c r="R95" s="55"/>
      <c r="S95" s="55"/>
      <c r="T95" s="55"/>
      <c r="U95" s="55"/>
      <c r="W95" s="50"/>
    </row>
    <row r="96" spans="16:23" s="671" customFormat="1" ht="12.75">
      <c r="P96" s="55"/>
      <c r="Q96" s="55"/>
      <c r="R96" s="55"/>
      <c r="S96" s="55"/>
      <c r="T96" s="55"/>
      <c r="U96" s="55"/>
      <c r="W96" s="50"/>
    </row>
    <row r="97" spans="16:23" s="671" customFormat="1" ht="12.75">
      <c r="P97" s="55"/>
      <c r="Q97" s="55"/>
      <c r="R97" s="55"/>
      <c r="S97" s="55"/>
      <c r="T97" s="55"/>
      <c r="U97" s="55"/>
      <c r="W97" s="50"/>
    </row>
    <row r="98" spans="16:23" s="55" customFormat="1"/>
    <row r="99" spans="16:23" s="55" customFormat="1"/>
    <row r="100" spans="16:23" s="55" customFormat="1"/>
    <row r="101" spans="16:23" s="55" customFormat="1"/>
    <row r="102" spans="16:23" s="55" customFormat="1"/>
    <row r="103" spans="16:23" s="55" customFormat="1"/>
    <row r="104" spans="16:23" s="55" customFormat="1"/>
    <row r="105" spans="16:23" s="55" customFormat="1"/>
    <row r="106" spans="16:23" s="55" customFormat="1"/>
    <row r="107" spans="16:23" s="55" customFormat="1"/>
    <row r="108" spans="16:23" s="55" customFormat="1"/>
    <row r="109" spans="16:23" s="55" customFormat="1"/>
    <row r="110" spans="16:23" s="55" customFormat="1"/>
    <row r="111" spans="16:23" s="55" customFormat="1"/>
    <row r="112" spans="16:23" s="55" customFormat="1"/>
    <row r="113" s="55" customFormat="1"/>
    <row r="114" s="55" customFormat="1"/>
    <row r="115" s="55" customFormat="1"/>
    <row r="116" s="55" customFormat="1"/>
    <row r="117" s="55" customFormat="1"/>
    <row r="118" s="55" customFormat="1"/>
    <row r="119" s="55" customFormat="1"/>
    <row r="120" s="55" customFormat="1"/>
    <row r="121" s="55" customFormat="1"/>
    <row r="122" s="55" customFormat="1"/>
    <row r="123" s="55" customFormat="1"/>
    <row r="124" s="55" customFormat="1"/>
    <row r="125" s="55" customFormat="1"/>
    <row r="126" s="55" customFormat="1"/>
    <row r="127" s="55" customFormat="1"/>
    <row r="128" s="55" customFormat="1"/>
    <row r="129" s="55" customFormat="1"/>
    <row r="130" s="55" customFormat="1"/>
    <row r="131" s="55" customFormat="1"/>
    <row r="132" s="55" customFormat="1"/>
    <row r="133" s="55" customFormat="1"/>
    <row r="134" s="55" customFormat="1"/>
    <row r="135" s="55" customFormat="1"/>
    <row r="136" s="55" customFormat="1"/>
    <row r="137" s="55" customFormat="1"/>
    <row r="138" s="55" customFormat="1"/>
    <row r="139" s="55" customFormat="1"/>
    <row r="140" s="55" customFormat="1"/>
    <row r="141" s="55" customFormat="1"/>
    <row r="142" s="55" customFormat="1"/>
    <row r="143" s="55" customFormat="1"/>
    <row r="144" s="55" customFormat="1"/>
    <row r="145" s="55" customFormat="1"/>
    <row r="146" s="55" customFormat="1"/>
    <row r="147" s="55" customFormat="1"/>
    <row r="148" s="55" customFormat="1"/>
    <row r="149" s="55" customFormat="1"/>
    <row r="150" s="55" customFormat="1"/>
    <row r="151" s="55" customFormat="1"/>
    <row r="152" s="55" customFormat="1"/>
    <row r="153" s="55" customFormat="1"/>
    <row r="154" s="55" customFormat="1"/>
    <row r="155" s="55" customFormat="1"/>
    <row r="156" s="55" customFormat="1"/>
    <row r="157" s="55" customFormat="1"/>
    <row r="158" s="55" customFormat="1"/>
    <row r="159" s="55" customFormat="1"/>
    <row r="160" s="55" customFormat="1"/>
    <row r="161" s="55" customFormat="1"/>
    <row r="162" s="55" customFormat="1"/>
    <row r="163" s="55" customFormat="1"/>
    <row r="164" s="55" customFormat="1"/>
    <row r="165" s="55" customFormat="1"/>
    <row r="166" s="55" customFormat="1"/>
    <row r="167" s="55" customFormat="1"/>
    <row r="168" s="55" customFormat="1"/>
    <row r="169" s="55" customFormat="1"/>
    <row r="170" s="55" customFormat="1"/>
    <row r="171" s="55" customFormat="1"/>
    <row r="172" s="55" customFormat="1"/>
    <row r="173" s="55" customFormat="1"/>
    <row r="174" s="55" customFormat="1"/>
    <row r="175" s="55" customFormat="1"/>
    <row r="176" s="55" customFormat="1"/>
    <row r="177" s="55" customFormat="1"/>
    <row r="178" s="55" customFormat="1"/>
    <row r="179" s="55" customFormat="1"/>
    <row r="180" s="55" customFormat="1"/>
    <row r="181" s="55" customFormat="1"/>
    <row r="182" s="55" customFormat="1"/>
    <row r="183" s="55" customFormat="1"/>
    <row r="184" s="55" customFormat="1"/>
    <row r="185" s="55" customFormat="1"/>
    <row r="186" s="55" customFormat="1"/>
    <row r="187" s="55" customFormat="1"/>
    <row r="188" s="55" customFormat="1"/>
    <row r="189" s="55" customFormat="1"/>
    <row r="190" s="55" customFormat="1"/>
    <row r="191" s="55" customFormat="1"/>
    <row r="192" s="55" customFormat="1"/>
    <row r="193" spans="22:22" s="55" customFormat="1"/>
    <row r="194" spans="22:22" s="55" customFormat="1"/>
    <row r="195" spans="22:22" s="55" customFormat="1"/>
    <row r="196" spans="22:22" s="55" customFormat="1"/>
    <row r="197" spans="22:22" s="55" customFormat="1"/>
    <row r="198" spans="22:22" s="55" customFormat="1"/>
    <row r="199" spans="22:22" s="55" customFormat="1"/>
    <row r="200" spans="22:22" s="55" customFormat="1"/>
    <row r="201" spans="22:22" s="55" customFormat="1"/>
    <row r="202" spans="22:22" s="55" customFormat="1"/>
    <row r="203" spans="22:22" s="55" customFormat="1">
      <c r="V203" s="50"/>
    </row>
    <row r="204" spans="22:22" s="55" customFormat="1">
      <c r="V204" s="50"/>
    </row>
    <row r="205" spans="22:22" s="55" customFormat="1">
      <c r="V205" s="50"/>
    </row>
    <row r="206" spans="22:22" s="55" customFormat="1">
      <c r="V206" s="50"/>
    </row>
    <row r="207" spans="22:22" s="55" customFormat="1">
      <c r="V207" s="50"/>
    </row>
    <row r="208" spans="22:22" s="55" customFormat="1">
      <c r="V208" s="50"/>
    </row>
    <row r="209" spans="2:30" s="55" customFormat="1">
      <c r="V209" s="50"/>
    </row>
    <row r="210" spans="2:30" s="55" customFormat="1">
      <c r="B210" s="50"/>
      <c r="C210" s="50"/>
      <c r="D210" s="50"/>
      <c r="E210" s="50"/>
      <c r="F210" s="50"/>
      <c r="G210" s="50"/>
      <c r="H210" s="50"/>
      <c r="I210" s="50"/>
      <c r="J210" s="50"/>
      <c r="K210" s="50"/>
      <c r="L210" s="50"/>
      <c r="M210" s="50"/>
      <c r="V210" s="50"/>
    </row>
    <row r="211" spans="2:30" s="55" customFormat="1">
      <c r="B211" s="50"/>
      <c r="C211" s="50"/>
      <c r="D211" s="50"/>
      <c r="E211" s="50"/>
      <c r="F211" s="50"/>
      <c r="G211" s="50"/>
      <c r="H211" s="50"/>
      <c r="I211" s="50"/>
      <c r="J211" s="50"/>
      <c r="K211" s="50"/>
      <c r="L211" s="50"/>
      <c r="M211" s="50"/>
      <c r="P211" s="50"/>
      <c r="Q211" s="50"/>
      <c r="R211" s="50"/>
      <c r="S211" s="50"/>
      <c r="T211" s="50"/>
      <c r="U211" s="50"/>
      <c r="V211" s="50"/>
    </row>
    <row r="212" spans="2:30" s="55" customFormat="1">
      <c r="B212" s="50"/>
      <c r="C212" s="50"/>
      <c r="D212" s="50"/>
      <c r="E212" s="50"/>
      <c r="F212" s="50"/>
      <c r="G212" s="50"/>
      <c r="H212" s="50"/>
      <c r="I212" s="50"/>
      <c r="J212" s="50"/>
      <c r="K212" s="50"/>
      <c r="L212" s="50"/>
      <c r="M212" s="50"/>
      <c r="P212" s="50"/>
      <c r="Q212" s="50"/>
      <c r="R212" s="50"/>
      <c r="S212" s="50"/>
      <c r="T212" s="50"/>
      <c r="U212" s="50"/>
      <c r="V212" s="50"/>
    </row>
    <row r="213" spans="2:30" s="55" customFormat="1">
      <c r="B213" s="50"/>
      <c r="C213" s="50"/>
      <c r="D213" s="50"/>
      <c r="E213" s="50"/>
      <c r="F213" s="50"/>
      <c r="G213" s="50"/>
      <c r="H213" s="50"/>
      <c r="I213" s="50"/>
      <c r="J213" s="50"/>
      <c r="K213" s="50"/>
      <c r="L213" s="50"/>
      <c r="M213" s="50"/>
      <c r="P213" s="50"/>
      <c r="Q213" s="50"/>
      <c r="R213" s="50"/>
      <c r="S213" s="50"/>
      <c r="T213" s="50"/>
      <c r="U213" s="50"/>
      <c r="V213" s="50"/>
    </row>
    <row r="214" spans="2:30" s="55" customFormat="1">
      <c r="B214" s="50"/>
      <c r="C214" s="50"/>
      <c r="D214" s="50"/>
      <c r="E214" s="50"/>
      <c r="F214" s="50"/>
      <c r="G214" s="50"/>
      <c r="H214" s="50"/>
      <c r="I214" s="50"/>
      <c r="J214" s="50"/>
      <c r="K214" s="50"/>
      <c r="L214" s="50"/>
      <c r="M214" s="50"/>
      <c r="P214" s="50"/>
      <c r="Q214" s="50"/>
      <c r="R214" s="50"/>
      <c r="S214" s="50"/>
      <c r="T214" s="50"/>
      <c r="U214" s="50"/>
      <c r="V214" s="50"/>
    </row>
    <row r="215" spans="2:30" s="55" customFormat="1">
      <c r="B215" s="50"/>
      <c r="C215" s="50"/>
      <c r="D215" s="50"/>
      <c r="E215" s="50"/>
      <c r="F215" s="50"/>
      <c r="G215" s="50"/>
      <c r="H215" s="50"/>
      <c r="I215" s="50"/>
      <c r="J215" s="50"/>
      <c r="K215" s="50"/>
      <c r="L215" s="50"/>
      <c r="M215" s="50"/>
      <c r="P215" s="50"/>
      <c r="Q215" s="50"/>
      <c r="R215" s="50"/>
      <c r="S215" s="50"/>
      <c r="T215" s="50"/>
      <c r="U215" s="50"/>
      <c r="V215" s="50"/>
      <c r="W215" s="50"/>
      <c r="AD215" s="50"/>
    </row>
  </sheetData>
  <sheetProtection sheet="1" objects="1" scenarios="1" formatCells="0" formatColumns="0" formatRows="0" insertRows="0" deleteRows="0"/>
  <mergeCells count="22">
    <mergeCell ref="A5:A7"/>
    <mergeCell ref="J6:J7"/>
    <mergeCell ref="G6:G7"/>
    <mergeCell ref="D6:D7"/>
    <mergeCell ref="G5:L5"/>
    <mergeCell ref="K6:K7"/>
    <mergeCell ref="L6:L7"/>
    <mergeCell ref="C5:C7"/>
    <mergeCell ref="B5:B7"/>
    <mergeCell ref="D5:F5"/>
    <mergeCell ref="E6:E7"/>
    <mergeCell ref="F6:F7"/>
    <mergeCell ref="H6:H7"/>
    <mergeCell ref="I6:I7"/>
    <mergeCell ref="B46:G46"/>
    <mergeCell ref="S6:S7"/>
    <mergeCell ref="M5:U5"/>
    <mergeCell ref="M6:P6"/>
    <mergeCell ref="U6:U7"/>
    <mergeCell ref="Q6:Q7"/>
    <mergeCell ref="R6:R7"/>
    <mergeCell ref="T6:T7"/>
  </mergeCells>
  <phoneticPr fontId="9" type="noConversion"/>
  <conditionalFormatting sqref="Q9:Q28">
    <cfRule type="expression" dxfId="23" priority="10">
      <formula>$C9="Other"</formula>
    </cfRule>
  </conditionalFormatting>
  <conditionalFormatting sqref="D9:I28">
    <cfRule type="expression" dxfId="22" priority="8">
      <formula>ISNA(D9)</formula>
    </cfRule>
  </conditionalFormatting>
  <conditionalFormatting sqref="U8:U29">
    <cfRule type="expression" dxfId="21" priority="7">
      <formula>U8&lt;0</formula>
    </cfRule>
  </conditionalFormatting>
  <conditionalFormatting sqref="T30">
    <cfRule type="expression" dxfId="20" priority="1">
      <formula>AND($B$9&lt;&gt;0,$T$30=0)</formula>
    </cfRule>
  </conditionalFormatting>
  <dataValidations xWindow="638" yWindow="394" count="3">
    <dataValidation errorTitle="Unit Value not Recognized" error="The unit value for this measure is not recognized.  Please add this unit value to the list at the bottom of this spreadsheet by inserting a new cell above the orange cell and entering this value." promptTitle="Units" prompt="Select the unit that corresponds to the measure and quantity indicated." sqref="J9:O28 U9:U28"/>
    <dataValidation showErrorMessage="1" errorTitle="Unit Value not Recognized" error="The unit value for this measure is not recognized.  Please add this unit value to the list at the bottom of this spreadsheet by inserting a new cell above the orange cell and entering this value." promptTitle="Units" prompt="Select the unit that corresponds to the measure and quantity indicated." sqref="P9:T28"/>
    <dataValidation type="list" allowBlank="1" showInputMessage="1" showErrorMessage="1" sqref="C9:C28">
      <formula1>Measure_Type</formula1>
    </dataValidation>
  </dataValidations>
  <pageMargins left="0.5" right="0.5" top="1" bottom="1" header="0.5" footer="0.5"/>
  <pageSetup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79998168889431442"/>
  </sheetPr>
  <dimension ref="A1:K44"/>
  <sheetViews>
    <sheetView showGridLines="0" workbookViewId="0">
      <selection activeCell="R27" sqref="R27"/>
    </sheetView>
  </sheetViews>
  <sheetFormatPr defaultRowHeight="12"/>
  <cols>
    <col min="1" max="1" width="2" style="44" bestFit="1" customWidth="1"/>
    <col min="2" max="2" width="20" style="44" customWidth="1"/>
    <col min="3" max="3" width="15.85546875" style="44" customWidth="1"/>
    <col min="4" max="4" width="16" style="44" customWidth="1"/>
    <col min="5" max="5" width="11.5703125" style="44" customWidth="1"/>
    <col min="6" max="6" width="15.85546875" style="44" customWidth="1"/>
    <col min="7" max="7" width="15.7109375" style="44" customWidth="1"/>
    <col min="8" max="8" width="12.7109375" style="44" customWidth="1"/>
    <col min="9" max="9" width="10.42578125" style="44" customWidth="1"/>
    <col min="10" max="10" width="10.140625" style="44" customWidth="1"/>
    <col min="11" max="16384" width="9.140625" style="44"/>
  </cols>
  <sheetData>
    <row r="1" spans="1:11">
      <c r="B1" s="43" t="s">
        <v>121</v>
      </c>
    </row>
    <row r="2" spans="1:11">
      <c r="A2" s="44">
        <v>1</v>
      </c>
      <c r="B2" s="44" t="s">
        <v>253</v>
      </c>
    </row>
    <row r="3" spans="1:11">
      <c r="A3" s="44">
        <v>2</v>
      </c>
      <c r="B3" s="45" t="s">
        <v>186</v>
      </c>
      <c r="C3" s="45"/>
    </row>
    <row r="4" spans="1:11">
      <c r="A4" s="44">
        <v>3</v>
      </c>
      <c r="B4" s="44" t="s">
        <v>150</v>
      </c>
    </row>
    <row r="5" spans="1:11">
      <c r="A5" s="44">
        <v>4</v>
      </c>
      <c r="B5" s="44" t="s">
        <v>254</v>
      </c>
    </row>
    <row r="6" spans="1:11">
      <c r="A6" s="44">
        <v>5</v>
      </c>
      <c r="B6" s="1583" t="s">
        <v>521</v>
      </c>
      <c r="C6" s="1583"/>
      <c r="D6" s="1583"/>
      <c r="E6" s="1583"/>
      <c r="F6" s="1583"/>
      <c r="G6" s="1583"/>
      <c r="H6" s="1583"/>
      <c r="I6" s="1583"/>
      <c r="J6" s="1583"/>
      <c r="K6" s="1583"/>
    </row>
    <row r="8" spans="1:11" ht="12.75" thickBot="1">
      <c r="B8" s="43" t="s">
        <v>133</v>
      </c>
    </row>
    <row r="9" spans="1:11" ht="13.5" customHeight="1" thickBot="1">
      <c r="B9" s="85" t="s">
        <v>188</v>
      </c>
      <c r="C9" s="76" t="s">
        <v>137</v>
      </c>
      <c r="D9" s="1584" t="s">
        <v>138</v>
      </c>
      <c r="E9" s="1585"/>
      <c r="F9" s="1585"/>
      <c r="G9" s="1585"/>
      <c r="H9" s="1585"/>
      <c r="I9" s="1585"/>
      <c r="J9" s="1586"/>
    </row>
    <row r="10" spans="1:11" ht="13.5" customHeight="1" thickBot="1">
      <c r="B10" s="86" t="s">
        <v>139</v>
      </c>
      <c r="C10" s="87">
        <f>'Basic Info'!C12</f>
        <v>0</v>
      </c>
      <c r="D10" s="1587" t="s">
        <v>152</v>
      </c>
      <c r="E10" s="1588"/>
      <c r="F10" s="1588"/>
      <c r="G10" s="1588"/>
      <c r="H10" s="1588"/>
      <c r="I10" s="1588"/>
      <c r="J10" s="1589"/>
    </row>
    <row r="11" spans="1:11" ht="13.5" customHeight="1" thickBot="1">
      <c r="B11" s="82" t="s">
        <v>153</v>
      </c>
      <c r="C11" s="79">
        <f>SUM('Basic Info'!C13:C18)+SUM('Basic Info'!C21:C22)</f>
        <v>0</v>
      </c>
      <c r="D11" s="1587" t="s">
        <v>151</v>
      </c>
      <c r="E11" s="1588"/>
      <c r="F11" s="1588"/>
      <c r="G11" s="1588"/>
      <c r="H11" s="1588"/>
      <c r="I11" s="1588"/>
      <c r="J11" s="1589"/>
    </row>
    <row r="12" spans="1:11" ht="13.5" customHeight="1" thickBot="1">
      <c r="B12" s="73" t="s">
        <v>154</v>
      </c>
      <c r="C12" s="88">
        <f>'Basic Info'!C19+'Basic Info'!C20</f>
        <v>0</v>
      </c>
      <c r="D12" s="1587" t="s">
        <v>522</v>
      </c>
      <c r="E12" s="1588"/>
      <c r="F12" s="1588"/>
      <c r="G12" s="1588"/>
      <c r="H12" s="1588"/>
      <c r="I12" s="1588"/>
      <c r="J12" s="1589"/>
    </row>
    <row r="13" spans="1:11" ht="13.5" customHeight="1" thickBot="1">
      <c r="B13" s="73" t="s">
        <v>147</v>
      </c>
      <c r="C13" s="88">
        <f>'Basic Info'!C25</f>
        <v>0</v>
      </c>
      <c r="D13" s="1587" t="s">
        <v>523</v>
      </c>
      <c r="E13" s="1588"/>
      <c r="F13" s="1588"/>
      <c r="G13" s="1588"/>
      <c r="H13" s="1588"/>
      <c r="I13" s="1588"/>
      <c r="J13" s="1589"/>
    </row>
    <row r="14" spans="1:11" ht="12.75" thickBot="1">
      <c r="B14" s="89" t="s">
        <v>155</v>
      </c>
      <c r="C14" s="90">
        <f>'Basic Info'!C28</f>
        <v>0</v>
      </c>
    </row>
    <row r="16" spans="1:11" ht="12.75" thickBot="1">
      <c r="B16" s="43" t="s">
        <v>156</v>
      </c>
    </row>
    <row r="17" spans="2:11" ht="12.75" thickBot="1">
      <c r="B17" s="86" t="s">
        <v>157</v>
      </c>
      <c r="C17" s="91">
        <f>'Basic Info'!C59</f>
        <v>0.18579999999999999</v>
      </c>
      <c r="D17" s="75" t="s">
        <v>158</v>
      </c>
    </row>
    <row r="18" spans="2:11" ht="12.75" thickBot="1">
      <c r="B18" s="82" t="s">
        <v>149</v>
      </c>
      <c r="C18" s="92">
        <f>'Basic Info'!C60</f>
        <v>1.3220000000000001</v>
      </c>
      <c r="D18" s="74" t="s">
        <v>159</v>
      </c>
      <c r="K18" s="48"/>
    </row>
    <row r="19" spans="2:11" ht="12.75" thickBot="1">
      <c r="B19" s="82" t="s">
        <v>251</v>
      </c>
      <c r="C19" s="297">
        <f>'Reporting Summary'!C114</f>
        <v>0</v>
      </c>
      <c r="D19" s="74" t="s">
        <v>0</v>
      </c>
      <c r="K19" s="48"/>
    </row>
    <row r="21" spans="2:11" ht="12.75" thickBot="1">
      <c r="B21" s="43" t="s">
        <v>160</v>
      </c>
    </row>
    <row r="22" spans="2:11" ht="13.5" customHeight="1" thickBot="1">
      <c r="B22" s="93"/>
      <c r="C22" s="1590" t="s">
        <v>119</v>
      </c>
      <c r="D22" s="1591"/>
      <c r="E22" s="1592"/>
      <c r="F22" s="1590" t="s">
        <v>120</v>
      </c>
      <c r="G22" s="1591"/>
      <c r="H22" s="1593"/>
      <c r="I22" s="1581" t="s">
        <v>260</v>
      </c>
      <c r="J22" s="1581" t="s">
        <v>162</v>
      </c>
    </row>
    <row r="23" spans="2:11" ht="12.75" thickBot="1">
      <c r="B23" s="72"/>
      <c r="C23" s="80" t="s">
        <v>1</v>
      </c>
      <c r="D23" s="94" t="s">
        <v>163</v>
      </c>
      <c r="E23" s="77" t="s">
        <v>166</v>
      </c>
      <c r="F23" s="80" t="s">
        <v>1</v>
      </c>
      <c r="G23" s="78" t="s">
        <v>163</v>
      </c>
      <c r="H23" s="78" t="s">
        <v>166</v>
      </c>
      <c r="I23" s="1582"/>
      <c r="J23" s="1582"/>
    </row>
    <row r="24" spans="2:11" ht="12.75" thickBot="1">
      <c r="B24" s="82" t="s">
        <v>167</v>
      </c>
      <c r="C24" s="95" t="e">
        <f>'Reporting Summary'!C118</f>
        <v>#DIV/0!</v>
      </c>
      <c r="D24" s="95" t="e">
        <f>'Reporting Summary'!D118</f>
        <v>#DIV/0!</v>
      </c>
      <c r="E24" s="97" t="e">
        <f t="shared" ref="E24:E29" si="0">C24/100000*$C$18+D24/3412*$C$17</f>
        <v>#DIV/0!</v>
      </c>
      <c r="F24" s="96">
        <f>'Reporting Summary'!G118</f>
        <v>0</v>
      </c>
      <c r="G24" s="96">
        <f>'Reporting Summary'!H118</f>
        <v>0</v>
      </c>
      <c r="H24" s="98">
        <f t="shared" ref="H24:H29" si="1">F24/100000*$C$18+G24/3412*$C$17</f>
        <v>0</v>
      </c>
      <c r="I24" s="99" t="e">
        <f>IF(SUM(C24:D24)=0,0,(SUM(C24:D24)-SUM(F24:G24))/SUM(C24:D24))</f>
        <v>#DIV/0!</v>
      </c>
      <c r="J24" s="100" t="e">
        <f>IF(E24=0,0,(E24-H24)/E24)</f>
        <v>#DIV/0!</v>
      </c>
    </row>
    <row r="25" spans="2:11" ht="12.75" thickBot="1">
      <c r="B25" s="82" t="s">
        <v>168</v>
      </c>
      <c r="C25" s="95" t="e">
        <f>'Reporting Summary'!C119</f>
        <v>#DIV/0!</v>
      </c>
      <c r="D25" s="95" t="e">
        <f>'Reporting Summary'!D119</f>
        <v>#DIV/0!</v>
      </c>
      <c r="E25" s="97" t="e">
        <f t="shared" si="0"/>
        <v>#DIV/0!</v>
      </c>
      <c r="F25" s="96">
        <f>'Reporting Summary'!G119</f>
        <v>0</v>
      </c>
      <c r="G25" s="96">
        <f>'Reporting Summary'!H119</f>
        <v>0</v>
      </c>
      <c r="H25" s="98">
        <f t="shared" si="1"/>
        <v>0</v>
      </c>
      <c r="I25" s="99" t="e">
        <f t="shared" ref="I25:I31" si="2">IF(SUM(C25:D25)=0,0,(SUM(C25:D25)-SUM(F25:G25))/SUM(C25:D25))</f>
        <v>#DIV/0!</v>
      </c>
      <c r="J25" s="100" t="e">
        <f t="shared" ref="J25:J31" si="3">IF(E25=0,0,(E25-H25)/E25)</f>
        <v>#DIV/0!</v>
      </c>
    </row>
    <row r="26" spans="2:11" ht="12.75" thickBot="1">
      <c r="B26" s="82" t="s">
        <v>169</v>
      </c>
      <c r="C26" s="95" t="e">
        <f>'Reporting Summary'!C120</f>
        <v>#DIV/0!</v>
      </c>
      <c r="D26" s="95" t="e">
        <f>'Reporting Summary'!D120</f>
        <v>#DIV/0!</v>
      </c>
      <c r="E26" s="97" t="e">
        <f t="shared" si="0"/>
        <v>#DIV/0!</v>
      </c>
      <c r="F26" s="96">
        <f>'Reporting Summary'!G120</f>
        <v>0</v>
      </c>
      <c r="G26" s="96">
        <f>'Reporting Summary'!H120</f>
        <v>0</v>
      </c>
      <c r="H26" s="98">
        <f t="shared" si="1"/>
        <v>0</v>
      </c>
      <c r="I26" s="99" t="e">
        <f t="shared" si="2"/>
        <v>#DIV/0!</v>
      </c>
      <c r="J26" s="100" t="e">
        <f t="shared" si="3"/>
        <v>#DIV/0!</v>
      </c>
    </row>
    <row r="27" spans="2:11" ht="12.75" thickBot="1">
      <c r="B27" s="82" t="s">
        <v>170</v>
      </c>
      <c r="C27" s="95" t="e">
        <f>'Reporting Summary'!C121</f>
        <v>#DIV/0!</v>
      </c>
      <c r="D27" s="95" t="e">
        <f>'Reporting Summary'!D121</f>
        <v>#DIV/0!</v>
      </c>
      <c r="E27" s="97" t="e">
        <f t="shared" si="0"/>
        <v>#DIV/0!</v>
      </c>
      <c r="F27" s="96">
        <f>'Reporting Summary'!G121</f>
        <v>0</v>
      </c>
      <c r="G27" s="96">
        <f>'Reporting Summary'!H121</f>
        <v>0</v>
      </c>
      <c r="H27" s="98">
        <f t="shared" si="1"/>
        <v>0</v>
      </c>
      <c r="I27" s="99" t="e">
        <f t="shared" si="2"/>
        <v>#DIV/0!</v>
      </c>
      <c r="J27" s="100" t="e">
        <f t="shared" si="3"/>
        <v>#DIV/0!</v>
      </c>
    </row>
    <row r="28" spans="2:11" ht="12.75" thickBot="1">
      <c r="B28" s="82" t="s">
        <v>171</v>
      </c>
      <c r="C28" s="95" t="e">
        <f>'Reporting Summary'!C122</f>
        <v>#DIV/0!</v>
      </c>
      <c r="D28" s="95" t="e">
        <f>'Reporting Summary'!D122</f>
        <v>#DIV/0!</v>
      </c>
      <c r="E28" s="97" t="e">
        <f t="shared" si="0"/>
        <v>#DIV/0!</v>
      </c>
      <c r="F28" s="96">
        <f>'Reporting Summary'!G122</f>
        <v>0</v>
      </c>
      <c r="G28" s="96">
        <f>'Reporting Summary'!H122</f>
        <v>0</v>
      </c>
      <c r="H28" s="98">
        <f t="shared" si="1"/>
        <v>0</v>
      </c>
      <c r="I28" s="99" t="e">
        <f t="shared" si="2"/>
        <v>#DIV/0!</v>
      </c>
      <c r="J28" s="100" t="e">
        <f t="shared" si="3"/>
        <v>#DIV/0!</v>
      </c>
    </row>
    <row r="29" spans="2:11" ht="12.75" thickBot="1">
      <c r="B29" s="82" t="s">
        <v>1106</v>
      </c>
      <c r="C29" s="95" t="e">
        <f>'Reporting Summary'!C123</f>
        <v>#DIV/0!</v>
      </c>
      <c r="D29" s="95" t="e">
        <f>'Reporting Summary'!D123</f>
        <v>#DIV/0!</v>
      </c>
      <c r="E29" s="97" t="e">
        <f t="shared" si="0"/>
        <v>#DIV/0!</v>
      </c>
      <c r="F29" s="96">
        <f>'Reporting Summary'!G123</f>
        <v>0</v>
      </c>
      <c r="G29" s="96">
        <f>'Reporting Summary'!H123</f>
        <v>0</v>
      </c>
      <c r="H29" s="98">
        <f t="shared" si="1"/>
        <v>0</v>
      </c>
      <c r="I29" s="99" t="e">
        <f t="shared" si="2"/>
        <v>#DIV/0!</v>
      </c>
      <c r="J29" s="100" t="e">
        <f t="shared" si="3"/>
        <v>#DIV/0!</v>
      </c>
    </row>
    <row r="30" spans="2:11" ht="12.75" thickBot="1">
      <c r="B30" s="82" t="s">
        <v>1107</v>
      </c>
      <c r="C30" s="95" t="e">
        <f>'Reporting Summary'!C124</f>
        <v>#DIV/0!</v>
      </c>
      <c r="D30" s="95" t="e">
        <f>'Reporting Summary'!D124</f>
        <v>#DIV/0!</v>
      </c>
      <c r="E30" s="97" t="e">
        <f t="shared" ref="E30" si="4">C30/100000*$C$18+D30/3412*$C$17</f>
        <v>#DIV/0!</v>
      </c>
      <c r="F30" s="96">
        <f>'Reporting Summary'!G124</f>
        <v>0</v>
      </c>
      <c r="G30" s="96">
        <f>'Reporting Summary'!H124</f>
        <v>0</v>
      </c>
      <c r="H30" s="98">
        <f t="shared" ref="H30" si="5">F30/100000*$C$18+G30/3412*$C$17</f>
        <v>0</v>
      </c>
      <c r="I30" s="99" t="e">
        <f t="shared" ref="I30" si="6">IF(SUM(C30:D30)=0,0,(SUM(C30:D30)-SUM(F30:G30))/SUM(C30:D30))</f>
        <v>#DIV/0!</v>
      </c>
      <c r="J30" s="100" t="e">
        <f t="shared" ref="J30" si="7">IF(E30=0,0,(E30-H30)/E30)</f>
        <v>#DIV/0!</v>
      </c>
    </row>
    <row r="31" spans="2:11" ht="12.75" thickBot="1">
      <c r="B31" s="83" t="s">
        <v>141</v>
      </c>
      <c r="C31" s="95" t="e">
        <f t="shared" ref="C31:H31" si="8">SUM(C24:C30)</f>
        <v>#DIV/0!</v>
      </c>
      <c r="D31" s="95" t="e">
        <f t="shared" si="8"/>
        <v>#DIV/0!</v>
      </c>
      <c r="E31" s="101" t="e">
        <f t="shared" si="8"/>
        <v>#DIV/0!</v>
      </c>
      <c r="F31" s="102">
        <f t="shared" si="8"/>
        <v>0</v>
      </c>
      <c r="G31" s="102">
        <f t="shared" si="8"/>
        <v>0</v>
      </c>
      <c r="H31" s="103">
        <f t="shared" si="8"/>
        <v>0</v>
      </c>
      <c r="I31" s="99" t="e">
        <f t="shared" si="2"/>
        <v>#DIV/0!</v>
      </c>
      <c r="J31" s="104" t="e">
        <f t="shared" si="3"/>
        <v>#DIV/0!</v>
      </c>
    </row>
    <row r="32" spans="2:11" ht="12.75" thickBot="1"/>
    <row r="33" spans="2:9" ht="12.75" thickBot="1">
      <c r="B33" s="43" t="s">
        <v>177</v>
      </c>
      <c r="G33" s="105"/>
      <c r="H33" s="97" t="e">
        <f>F31*C18/100000/('Reporting Summary'!I27)/12</f>
        <v>#DIV/0!</v>
      </c>
      <c r="I33" s="44" t="s">
        <v>258</v>
      </c>
    </row>
    <row r="34" spans="2:9" ht="12.75" thickBot="1">
      <c r="G34" s="105"/>
      <c r="H34" s="97" t="e">
        <f>G31*C17/3412/12/('Reporting Summary'!I27)</f>
        <v>#DIV/0!</v>
      </c>
      <c r="I34" s="44" t="s">
        <v>257</v>
      </c>
    </row>
    <row r="35" spans="2:9" ht="12.75" thickBot="1">
      <c r="B35" s="72"/>
      <c r="C35" s="80" t="s">
        <v>119</v>
      </c>
      <c r="D35" s="77" t="s">
        <v>120</v>
      </c>
    </row>
    <row r="36" spans="2:9" ht="12.75" thickBot="1">
      <c r="B36" s="72"/>
      <c r="C36" s="80" t="s">
        <v>178</v>
      </c>
      <c r="D36" s="77" t="s">
        <v>178</v>
      </c>
    </row>
    <row r="37" spans="2:9" ht="12.75" thickBot="1">
      <c r="B37" s="82" t="s">
        <v>167</v>
      </c>
      <c r="C37" s="81">
        <f t="shared" ref="C37:C43" si="9">IF($C$14=0,0,SUM(C24:D24)/$C$14)</f>
        <v>0</v>
      </c>
      <c r="D37" s="79">
        <f t="shared" ref="D37:D42" si="10">IF($C$14=0,0,SUM(F24:G24)/$C$14)</f>
        <v>0</v>
      </c>
    </row>
    <row r="38" spans="2:9" ht="12.75" thickBot="1">
      <c r="B38" s="82" t="s">
        <v>168</v>
      </c>
      <c r="C38" s="81">
        <f t="shared" si="9"/>
        <v>0</v>
      </c>
      <c r="D38" s="79">
        <f t="shared" si="10"/>
        <v>0</v>
      </c>
    </row>
    <row r="39" spans="2:9" ht="12.75" thickBot="1">
      <c r="B39" s="82" t="s">
        <v>169</v>
      </c>
      <c r="C39" s="81">
        <f t="shared" si="9"/>
        <v>0</v>
      </c>
      <c r="D39" s="79">
        <f t="shared" si="10"/>
        <v>0</v>
      </c>
    </row>
    <row r="40" spans="2:9" ht="12.75" thickBot="1">
      <c r="B40" s="82" t="s">
        <v>170</v>
      </c>
      <c r="C40" s="81">
        <f t="shared" si="9"/>
        <v>0</v>
      </c>
      <c r="D40" s="79">
        <f t="shared" si="10"/>
        <v>0</v>
      </c>
    </row>
    <row r="41" spans="2:9" ht="12.75" thickBot="1">
      <c r="B41" s="82" t="s">
        <v>171</v>
      </c>
      <c r="C41" s="81">
        <f t="shared" si="9"/>
        <v>0</v>
      </c>
      <c r="D41" s="79">
        <f t="shared" si="10"/>
        <v>0</v>
      </c>
    </row>
    <row r="42" spans="2:9" ht="12.75" thickBot="1">
      <c r="B42" s="82" t="s">
        <v>1106</v>
      </c>
      <c r="C42" s="81">
        <f t="shared" si="9"/>
        <v>0</v>
      </c>
      <c r="D42" s="79">
        <f t="shared" si="10"/>
        <v>0</v>
      </c>
    </row>
    <row r="43" spans="2:9" ht="12.75" thickBot="1">
      <c r="B43" s="82" t="s">
        <v>1107</v>
      </c>
      <c r="C43" s="81">
        <f t="shared" si="9"/>
        <v>0</v>
      </c>
      <c r="D43" s="79">
        <f t="shared" ref="D43" si="11">IF($C$14=0,0,SUM(F30:G30)/$C$14)</f>
        <v>0</v>
      </c>
    </row>
    <row r="44" spans="2:9" ht="12.75" thickBot="1">
      <c r="B44" s="83" t="s">
        <v>141</v>
      </c>
      <c r="C44" s="81">
        <f>SUM(C37:C43)</f>
        <v>0</v>
      </c>
      <c r="D44" s="79">
        <f>SUM(D37:D43)</f>
        <v>0</v>
      </c>
    </row>
  </sheetData>
  <mergeCells count="10">
    <mergeCell ref="I22:I23"/>
    <mergeCell ref="B6:K6"/>
    <mergeCell ref="J22:J23"/>
    <mergeCell ref="D9:J9"/>
    <mergeCell ref="D10:J10"/>
    <mergeCell ref="D11:J11"/>
    <mergeCell ref="D12:J12"/>
    <mergeCell ref="D13:J13"/>
    <mergeCell ref="C22:E22"/>
    <mergeCell ref="F22:H22"/>
  </mergeCells>
  <phoneticPr fontId="29" type="noConversion"/>
  <pageMargins left="0.75" right="0.75" top="1" bottom="1" header="0.5" footer="0.5"/>
  <pageSetup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0" tint="-0.249977111117893"/>
  </sheetPr>
  <dimension ref="A1:CE131"/>
  <sheetViews>
    <sheetView zoomScaleNormal="100" workbookViewId="0">
      <selection activeCell="K30" sqref="K30"/>
    </sheetView>
  </sheetViews>
  <sheetFormatPr defaultRowHeight="12"/>
  <cols>
    <col min="1" max="1" width="14.7109375" style="684" bestFit="1" customWidth="1"/>
    <col min="2" max="13" width="13.7109375" style="684" customWidth="1"/>
    <col min="14" max="17" width="13.7109375" style="686" customWidth="1"/>
    <col min="18" max="18" width="13.85546875" style="686" customWidth="1"/>
    <col min="19" max="19" width="13.28515625" style="686" customWidth="1"/>
    <col min="20" max="20" width="12.42578125" style="686" customWidth="1"/>
    <col min="21" max="21" width="15.5703125" style="686" bestFit="1" customWidth="1"/>
    <col min="22" max="22" width="16.140625" style="686" customWidth="1"/>
    <col min="23" max="23" width="13.85546875" style="686" customWidth="1"/>
    <col min="24" max="24" width="17" style="686" customWidth="1"/>
    <col min="25" max="25" width="14.42578125" style="686" customWidth="1"/>
    <col min="26" max="50" width="9.140625" style="686" hidden="1" customWidth="1"/>
    <col min="51" max="51" width="13.85546875" style="686" bestFit="1" customWidth="1"/>
    <col min="52" max="52" width="13.28515625" style="686" customWidth="1"/>
    <col min="53" max="53" width="15.5703125" style="686" bestFit="1" customWidth="1"/>
    <col min="54" max="54" width="15.28515625" style="686" customWidth="1"/>
    <col min="55" max="55" width="14.28515625" style="686" customWidth="1"/>
    <col min="56" max="56" width="13.7109375" style="686" customWidth="1"/>
    <col min="57" max="57" width="13.5703125" style="686" customWidth="1"/>
    <col min="58" max="58" width="12.7109375" style="686" customWidth="1"/>
    <col min="59" max="59" width="11.85546875" style="686" customWidth="1"/>
    <col min="60" max="71" width="13.7109375" style="686" customWidth="1"/>
    <col min="72" max="72" width="0" style="686" hidden="1" customWidth="1"/>
    <col min="73" max="77" width="0" style="684" hidden="1" customWidth="1"/>
    <col min="78" max="16384" width="9.140625" style="684"/>
  </cols>
  <sheetData>
    <row r="1" spans="1:77" ht="18.75">
      <c r="A1" s="311"/>
      <c r="B1" s="741" t="s">
        <v>529</v>
      </c>
      <c r="M1" s="411"/>
    </row>
    <row r="2" spans="1:77">
      <c r="A2" s="742" t="s">
        <v>545</v>
      </c>
      <c r="B2" s="312" t="s">
        <v>547</v>
      </c>
      <c r="M2" s="411"/>
    </row>
    <row r="3" spans="1:77">
      <c r="A3" s="742" t="s">
        <v>545</v>
      </c>
      <c r="B3" s="312" t="s">
        <v>546</v>
      </c>
      <c r="D3" s="687"/>
      <c r="E3" s="687"/>
      <c r="F3" s="687"/>
      <c r="M3" s="411"/>
    </row>
    <row r="4" spans="1:77">
      <c r="A4" s="742"/>
      <c r="B4" s="312"/>
      <c r="D4" s="687"/>
      <c r="E4" s="687"/>
      <c r="F4" s="687"/>
      <c r="M4" s="411"/>
    </row>
    <row r="5" spans="1:77">
      <c r="A5" s="743" t="s">
        <v>534</v>
      </c>
      <c r="B5" s="744" t="s">
        <v>122</v>
      </c>
      <c r="D5" s="688"/>
      <c r="E5" s="688"/>
      <c r="F5" s="688"/>
      <c r="M5" s="411"/>
    </row>
    <row r="6" spans="1:77">
      <c r="A6" s="311"/>
      <c r="B6" s="311"/>
      <c r="M6" s="411"/>
    </row>
    <row r="7" spans="1:77" ht="12.75" thickBot="1">
      <c r="A7" s="745" t="s">
        <v>535</v>
      </c>
      <c r="B7" s="746" t="s">
        <v>543</v>
      </c>
      <c r="M7" s="411"/>
    </row>
    <row r="8" spans="1:77" ht="12.75" thickBot="1">
      <c r="M8" s="756" t="s">
        <v>169</v>
      </c>
      <c r="N8" s="756" t="s">
        <v>169</v>
      </c>
      <c r="O8" s="756" t="s">
        <v>171</v>
      </c>
      <c r="P8" s="756" t="s">
        <v>167</v>
      </c>
      <c r="Q8" s="756" t="s">
        <v>168</v>
      </c>
      <c r="R8" s="756" t="s">
        <v>168</v>
      </c>
      <c r="S8" s="756" t="s">
        <v>1107</v>
      </c>
      <c r="T8" s="756" t="s">
        <v>1106</v>
      </c>
      <c r="U8" s="756" t="s">
        <v>171</v>
      </c>
      <c r="V8" s="756" t="s">
        <v>167</v>
      </c>
      <c r="W8" s="756" t="s">
        <v>170</v>
      </c>
      <c r="X8" s="757" t="s">
        <v>169</v>
      </c>
      <c r="Y8" s="757"/>
      <c r="Z8" s="758"/>
      <c r="AA8" s="758"/>
      <c r="AB8" s="758"/>
      <c r="AC8" s="758"/>
      <c r="AD8" s="758"/>
      <c r="AE8" s="758"/>
      <c r="AF8" s="758"/>
      <c r="AG8" s="758"/>
      <c r="AH8" s="758"/>
      <c r="AI8" s="758"/>
      <c r="AJ8" s="758"/>
      <c r="AK8" s="758"/>
      <c r="AL8" s="758"/>
      <c r="AM8" s="758"/>
      <c r="AN8" s="758"/>
      <c r="AO8" s="758"/>
      <c r="AP8" s="758"/>
      <c r="AQ8" s="758"/>
      <c r="AR8" s="758"/>
      <c r="AS8" s="758"/>
      <c r="AT8" s="758"/>
      <c r="AU8" s="758"/>
      <c r="AV8" s="758"/>
      <c r="AW8" s="758"/>
      <c r="AX8" s="758"/>
      <c r="AY8" s="756" t="s">
        <v>169</v>
      </c>
      <c r="AZ8" s="756" t="s">
        <v>169</v>
      </c>
      <c r="BA8" s="756" t="s">
        <v>171</v>
      </c>
      <c r="BB8" s="756" t="s">
        <v>167</v>
      </c>
      <c r="BC8" s="756" t="s">
        <v>168</v>
      </c>
      <c r="BD8" s="756" t="s">
        <v>168</v>
      </c>
      <c r="BE8" s="756" t="s">
        <v>1107</v>
      </c>
      <c r="BF8" s="756" t="s">
        <v>1106</v>
      </c>
      <c r="BG8" s="756" t="s">
        <v>171</v>
      </c>
      <c r="BH8" s="756" t="s">
        <v>167</v>
      </c>
      <c r="BI8" s="756" t="s">
        <v>170</v>
      </c>
      <c r="BJ8" s="757" t="s">
        <v>169</v>
      </c>
      <c r="BK8" s="757" t="str">
        <f t="shared" ref="BK8" si="0">BK9</f>
        <v>TOTAL</v>
      </c>
    </row>
    <row r="9" spans="1:77" ht="12.75" hidden="1" thickBot="1">
      <c r="C9" s="693"/>
      <c r="M9" s="690" t="s">
        <v>169</v>
      </c>
      <c r="N9" s="690" t="s">
        <v>169</v>
      </c>
      <c r="O9" s="690" t="s">
        <v>171</v>
      </c>
      <c r="P9" s="690" t="s">
        <v>167</v>
      </c>
      <c r="Q9" s="690" t="s">
        <v>168</v>
      </c>
      <c r="R9" s="690" t="s">
        <v>168</v>
      </c>
      <c r="S9" s="690" t="s">
        <v>172</v>
      </c>
      <c r="T9" s="690" t="s">
        <v>172</v>
      </c>
      <c r="U9" s="690" t="s">
        <v>171</v>
      </c>
      <c r="V9" s="690" t="s">
        <v>167</v>
      </c>
      <c r="W9" s="690" t="s">
        <v>170</v>
      </c>
      <c r="X9" s="691" t="s">
        <v>172</v>
      </c>
      <c r="Y9" s="691"/>
      <c r="Z9" s="692"/>
      <c r="AA9" s="692"/>
      <c r="AB9" s="692"/>
      <c r="AC9" s="692"/>
      <c r="AD9" s="692"/>
      <c r="AE9" s="692"/>
      <c r="AF9" s="692"/>
      <c r="AG9" s="692"/>
      <c r="AH9" s="692"/>
      <c r="AI9" s="692"/>
      <c r="AJ9" s="692"/>
      <c r="AK9" s="692"/>
      <c r="AL9" s="692"/>
      <c r="AM9" s="692"/>
      <c r="AN9" s="692"/>
      <c r="AO9" s="692"/>
      <c r="AP9" s="692"/>
      <c r="AQ9" s="692"/>
      <c r="AR9" s="692"/>
      <c r="AS9" s="692"/>
      <c r="AT9" s="692"/>
      <c r="AU9" s="692"/>
      <c r="AV9" s="692"/>
      <c r="AW9" s="692"/>
      <c r="AX9" s="692"/>
      <c r="AY9" s="690" t="s">
        <v>169</v>
      </c>
      <c r="AZ9" s="690" t="s">
        <v>169</v>
      </c>
      <c r="BA9" s="690" t="s">
        <v>171</v>
      </c>
      <c r="BB9" s="690" t="s">
        <v>167</v>
      </c>
      <c r="BC9" s="690" t="s">
        <v>168</v>
      </c>
      <c r="BD9" s="690" t="s">
        <v>168</v>
      </c>
      <c r="BE9" s="690" t="s">
        <v>172</v>
      </c>
      <c r="BF9" s="690" t="s">
        <v>172</v>
      </c>
      <c r="BG9" s="690" t="s">
        <v>171</v>
      </c>
      <c r="BH9" s="690" t="s">
        <v>167</v>
      </c>
      <c r="BI9" s="690" t="s">
        <v>170</v>
      </c>
      <c r="BJ9" s="691" t="s">
        <v>172</v>
      </c>
      <c r="BK9" s="691" t="s">
        <v>533</v>
      </c>
      <c r="BT9" s="684"/>
    </row>
    <row r="10" spans="1:77" s="694" customFormat="1" ht="12.75" customHeight="1">
      <c r="B10" s="747"/>
      <c r="C10" s="748"/>
      <c r="D10" s="748"/>
      <c r="E10" s="748"/>
      <c r="F10" s="748"/>
      <c r="G10" s="748"/>
      <c r="H10" s="748"/>
      <c r="I10" s="748"/>
      <c r="J10" s="748"/>
      <c r="K10" s="748"/>
      <c r="L10" s="748"/>
      <c r="M10" s="748" t="s">
        <v>46</v>
      </c>
      <c r="N10" s="748"/>
      <c r="O10" s="748"/>
      <c r="P10" s="748"/>
      <c r="Q10" s="748"/>
      <c r="R10" s="748"/>
      <c r="S10" s="748"/>
      <c r="T10" s="748"/>
      <c r="U10" s="748"/>
      <c r="V10" s="748"/>
      <c r="W10" s="748"/>
      <c r="X10" s="748"/>
      <c r="Y10" s="748"/>
      <c r="Z10" s="748" t="s">
        <v>47</v>
      </c>
      <c r="AA10" s="748"/>
      <c r="AB10" s="748"/>
      <c r="AC10" s="748"/>
      <c r="AD10" s="748"/>
      <c r="AE10" s="748"/>
      <c r="AF10" s="748"/>
      <c r="AG10" s="748"/>
      <c r="AH10" s="748"/>
      <c r="AI10" s="748"/>
      <c r="AJ10" s="748"/>
      <c r="AK10" s="748"/>
      <c r="AL10" s="748" t="s">
        <v>48</v>
      </c>
      <c r="AM10" s="748"/>
      <c r="AN10" s="748"/>
      <c r="AO10" s="748"/>
      <c r="AP10" s="748"/>
      <c r="AQ10" s="748"/>
      <c r="AR10" s="748"/>
      <c r="AS10" s="748"/>
      <c r="AT10" s="748"/>
      <c r="AU10" s="748"/>
      <c r="AV10" s="748"/>
      <c r="AW10" s="748"/>
      <c r="AX10" s="748"/>
      <c r="AY10" s="748" t="s">
        <v>49</v>
      </c>
      <c r="AZ10" s="748"/>
      <c r="BA10" s="748"/>
      <c r="BB10" s="748"/>
      <c r="BC10" s="748"/>
      <c r="BD10" s="748"/>
      <c r="BE10" s="748"/>
      <c r="BF10" s="748"/>
      <c r="BG10" s="748"/>
      <c r="BH10" s="748"/>
      <c r="BI10" s="748"/>
      <c r="BJ10" s="748"/>
      <c r="BK10" s="748"/>
      <c r="BL10" s="748" t="s">
        <v>50</v>
      </c>
      <c r="BM10" s="748"/>
      <c r="BN10" s="748" t="s">
        <v>51</v>
      </c>
      <c r="BO10" s="1597" t="s">
        <v>52</v>
      </c>
      <c r="BP10" s="1598"/>
      <c r="BQ10" s="1599"/>
      <c r="BR10" s="748"/>
      <c r="BS10" s="749"/>
      <c r="BT10" s="1600" t="s">
        <v>549</v>
      </c>
      <c r="BU10" s="1601"/>
      <c r="BV10" s="1601"/>
      <c r="BW10" s="1601"/>
      <c r="BX10" s="1601"/>
      <c r="BY10" s="1602"/>
    </row>
    <row r="11" spans="1:77" s="694" customFormat="1">
      <c r="B11" s="750"/>
      <c r="C11" s="751"/>
      <c r="D11" s="751"/>
      <c r="E11" s="751"/>
      <c r="F11" s="751"/>
      <c r="G11" s="751"/>
      <c r="H11" s="751"/>
      <c r="I11" s="751"/>
      <c r="J11" s="751"/>
      <c r="K11" s="751"/>
      <c r="L11" s="751" t="s">
        <v>53</v>
      </c>
      <c r="M11" s="751" t="s">
        <v>54</v>
      </c>
      <c r="N11" s="751" t="s">
        <v>54</v>
      </c>
      <c r="O11" s="751" t="s">
        <v>54</v>
      </c>
      <c r="P11" s="751" t="s">
        <v>54</v>
      </c>
      <c r="Q11" s="751" t="s">
        <v>54</v>
      </c>
      <c r="R11" s="751" t="s">
        <v>54</v>
      </c>
      <c r="S11" s="751" t="s">
        <v>54</v>
      </c>
      <c r="T11" s="751" t="s">
        <v>54</v>
      </c>
      <c r="U11" s="751" t="s">
        <v>54</v>
      </c>
      <c r="V11" s="751" t="s">
        <v>54</v>
      </c>
      <c r="W11" s="751" t="s">
        <v>54</v>
      </c>
      <c r="X11" s="751" t="s">
        <v>54</v>
      </c>
      <c r="Y11" s="751" t="s">
        <v>54</v>
      </c>
      <c r="Z11" s="751" t="s">
        <v>54</v>
      </c>
      <c r="AA11" s="751" t="s">
        <v>54</v>
      </c>
      <c r="AB11" s="751" t="s">
        <v>54</v>
      </c>
      <c r="AC11" s="751" t="s">
        <v>54</v>
      </c>
      <c r="AD11" s="751" t="s">
        <v>54</v>
      </c>
      <c r="AE11" s="751" t="s">
        <v>54</v>
      </c>
      <c r="AF11" s="751" t="s">
        <v>54</v>
      </c>
      <c r="AG11" s="751" t="s">
        <v>54</v>
      </c>
      <c r="AH11" s="751" t="s">
        <v>54</v>
      </c>
      <c r="AI11" s="751" t="s">
        <v>54</v>
      </c>
      <c r="AJ11" s="751" t="s">
        <v>54</v>
      </c>
      <c r="AK11" s="751" t="s">
        <v>54</v>
      </c>
      <c r="AL11" s="751" t="s">
        <v>54</v>
      </c>
      <c r="AM11" s="751" t="s">
        <v>54</v>
      </c>
      <c r="AN11" s="751" t="s">
        <v>54</v>
      </c>
      <c r="AO11" s="751" t="s">
        <v>54</v>
      </c>
      <c r="AP11" s="751" t="s">
        <v>54</v>
      </c>
      <c r="AQ11" s="751" t="s">
        <v>54</v>
      </c>
      <c r="AR11" s="751" t="s">
        <v>54</v>
      </c>
      <c r="AS11" s="751" t="s">
        <v>54</v>
      </c>
      <c r="AT11" s="751" t="s">
        <v>54</v>
      </c>
      <c r="AU11" s="751" t="s">
        <v>54</v>
      </c>
      <c r="AV11" s="751" t="s">
        <v>54</v>
      </c>
      <c r="AW11" s="751" t="s">
        <v>54</v>
      </c>
      <c r="AX11" s="751" t="s">
        <v>54</v>
      </c>
      <c r="AY11" s="751" t="s">
        <v>54</v>
      </c>
      <c r="AZ11" s="751" t="s">
        <v>54</v>
      </c>
      <c r="BA11" s="751" t="s">
        <v>54</v>
      </c>
      <c r="BB11" s="751" t="s">
        <v>54</v>
      </c>
      <c r="BC11" s="751" t="s">
        <v>54</v>
      </c>
      <c r="BD11" s="751" t="s">
        <v>54</v>
      </c>
      <c r="BE11" s="751" t="s">
        <v>54</v>
      </c>
      <c r="BF11" s="751" t="s">
        <v>54</v>
      </c>
      <c r="BG11" s="751" t="s">
        <v>54</v>
      </c>
      <c r="BH11" s="751" t="s">
        <v>54</v>
      </c>
      <c r="BI11" s="751" t="s">
        <v>54</v>
      </c>
      <c r="BJ11" s="751" t="s">
        <v>54</v>
      </c>
      <c r="BK11" s="751" t="s">
        <v>54</v>
      </c>
      <c r="BL11" s="751" t="s">
        <v>55</v>
      </c>
      <c r="BM11" s="751" t="s">
        <v>55</v>
      </c>
      <c r="BN11" s="751" t="s">
        <v>56</v>
      </c>
      <c r="BO11" s="751" t="s">
        <v>56</v>
      </c>
      <c r="BP11" s="751" t="s">
        <v>57</v>
      </c>
      <c r="BQ11" s="751" t="s">
        <v>57</v>
      </c>
      <c r="BR11" s="751" t="s">
        <v>57</v>
      </c>
      <c r="BS11" s="752" t="s">
        <v>57</v>
      </c>
      <c r="BT11" s="699" t="s">
        <v>55</v>
      </c>
      <c r="BU11" s="699" t="s">
        <v>55</v>
      </c>
      <c r="BV11" s="699" t="s">
        <v>550</v>
      </c>
      <c r="BW11" s="699"/>
      <c r="BX11" s="699" t="s">
        <v>55</v>
      </c>
      <c r="BY11" s="699" t="s">
        <v>55</v>
      </c>
    </row>
    <row r="12" spans="1:77" s="694" customFormat="1">
      <c r="B12" s="750"/>
      <c r="C12" s="751"/>
      <c r="D12" s="751"/>
      <c r="E12" s="751"/>
      <c r="F12" s="751"/>
      <c r="G12" s="751"/>
      <c r="H12" s="751"/>
      <c r="I12" s="751"/>
      <c r="J12" s="751"/>
      <c r="K12" s="751"/>
      <c r="L12" s="751" t="s">
        <v>58</v>
      </c>
      <c r="M12" s="751" t="s">
        <v>59</v>
      </c>
      <c r="N12" s="751" t="s">
        <v>60</v>
      </c>
      <c r="O12" s="751" t="s">
        <v>61</v>
      </c>
      <c r="P12" s="751" t="s">
        <v>62</v>
      </c>
      <c r="Q12" s="751" t="s">
        <v>62</v>
      </c>
      <c r="R12" s="751" t="s">
        <v>63</v>
      </c>
      <c r="S12" s="751" t="s">
        <v>140</v>
      </c>
      <c r="T12" s="751" t="s">
        <v>64</v>
      </c>
      <c r="U12" s="751" t="s">
        <v>65</v>
      </c>
      <c r="V12" s="751" t="s">
        <v>66</v>
      </c>
      <c r="W12" s="751" t="s">
        <v>67</v>
      </c>
      <c r="X12" s="751" t="s">
        <v>68</v>
      </c>
      <c r="Y12" s="751"/>
      <c r="Z12" s="751" t="s">
        <v>59</v>
      </c>
      <c r="AA12" s="751" t="s">
        <v>60</v>
      </c>
      <c r="AB12" s="751" t="s">
        <v>61</v>
      </c>
      <c r="AC12" s="751" t="s">
        <v>62</v>
      </c>
      <c r="AD12" s="751" t="s">
        <v>62</v>
      </c>
      <c r="AE12" s="751" t="s">
        <v>63</v>
      </c>
      <c r="AF12" s="751" t="s">
        <v>140</v>
      </c>
      <c r="AG12" s="751" t="s">
        <v>64</v>
      </c>
      <c r="AH12" s="751" t="s">
        <v>65</v>
      </c>
      <c r="AI12" s="751" t="s">
        <v>66</v>
      </c>
      <c r="AJ12" s="751" t="s">
        <v>67</v>
      </c>
      <c r="AK12" s="751" t="s">
        <v>68</v>
      </c>
      <c r="AL12" s="751" t="s">
        <v>59</v>
      </c>
      <c r="AM12" s="751" t="s">
        <v>60</v>
      </c>
      <c r="AN12" s="751" t="s">
        <v>61</v>
      </c>
      <c r="AO12" s="751" t="s">
        <v>62</v>
      </c>
      <c r="AP12" s="751" t="s">
        <v>62</v>
      </c>
      <c r="AQ12" s="751" t="s">
        <v>63</v>
      </c>
      <c r="AR12" s="751" t="s">
        <v>140</v>
      </c>
      <c r="AS12" s="751" t="s">
        <v>64</v>
      </c>
      <c r="AT12" s="751" t="s">
        <v>65</v>
      </c>
      <c r="AU12" s="751" t="s">
        <v>66</v>
      </c>
      <c r="AV12" s="751" t="s">
        <v>67</v>
      </c>
      <c r="AW12" s="751" t="s">
        <v>68</v>
      </c>
      <c r="AX12" s="751" t="s">
        <v>69</v>
      </c>
      <c r="AY12" s="751" t="s">
        <v>59</v>
      </c>
      <c r="AZ12" s="751" t="s">
        <v>60</v>
      </c>
      <c r="BA12" s="751" t="s">
        <v>61</v>
      </c>
      <c r="BB12" s="751" t="s">
        <v>62</v>
      </c>
      <c r="BC12" s="751" t="s">
        <v>62</v>
      </c>
      <c r="BD12" s="751" t="s">
        <v>63</v>
      </c>
      <c r="BE12" s="751" t="s">
        <v>140</v>
      </c>
      <c r="BF12" s="751" t="s">
        <v>64</v>
      </c>
      <c r="BG12" s="751" t="s">
        <v>65</v>
      </c>
      <c r="BH12" s="751" t="s">
        <v>66</v>
      </c>
      <c r="BI12" s="751" t="s">
        <v>67</v>
      </c>
      <c r="BJ12" s="751" t="s">
        <v>68</v>
      </c>
      <c r="BK12" s="751"/>
      <c r="BL12" s="751" t="s">
        <v>69</v>
      </c>
      <c r="BM12" s="751" t="s">
        <v>69</v>
      </c>
      <c r="BN12" s="751" t="s">
        <v>69</v>
      </c>
      <c r="BO12" s="751" t="s">
        <v>69</v>
      </c>
      <c r="BP12" s="751" t="s">
        <v>141</v>
      </c>
      <c r="BQ12" s="751" t="s">
        <v>141</v>
      </c>
      <c r="BR12" s="751" t="s">
        <v>175</v>
      </c>
      <c r="BS12" s="752" t="s">
        <v>175</v>
      </c>
      <c r="BT12" s="699" t="s">
        <v>551</v>
      </c>
      <c r="BU12" s="699" t="s">
        <v>552</v>
      </c>
      <c r="BV12" s="699" t="s">
        <v>553</v>
      </c>
      <c r="BW12" s="699" t="s">
        <v>551</v>
      </c>
      <c r="BX12" s="699" t="s">
        <v>554</v>
      </c>
      <c r="BY12" s="699" t="s">
        <v>555</v>
      </c>
    </row>
    <row r="13" spans="1:77" s="694" customFormat="1">
      <c r="B13" s="750" t="s">
        <v>70</v>
      </c>
      <c r="C13" s="751" t="s">
        <v>71</v>
      </c>
      <c r="D13" s="751" t="s">
        <v>72</v>
      </c>
      <c r="E13" s="751" t="s">
        <v>73</v>
      </c>
      <c r="F13" s="751" t="s">
        <v>74</v>
      </c>
      <c r="G13" s="751" t="s">
        <v>75</v>
      </c>
      <c r="H13" s="751" t="s">
        <v>75</v>
      </c>
      <c r="I13" s="751" t="s">
        <v>532</v>
      </c>
      <c r="J13" s="751"/>
      <c r="K13" s="751"/>
      <c r="L13" s="751" t="s">
        <v>76</v>
      </c>
      <c r="M13" s="751" t="s">
        <v>77</v>
      </c>
      <c r="N13" s="751" t="s">
        <v>77</v>
      </c>
      <c r="O13" s="751" t="s">
        <v>78</v>
      </c>
      <c r="P13" s="751" t="s">
        <v>79</v>
      </c>
      <c r="Q13" s="751" t="s">
        <v>173</v>
      </c>
      <c r="R13" s="751" t="s">
        <v>80</v>
      </c>
      <c r="S13" s="751" t="s">
        <v>81</v>
      </c>
      <c r="T13" s="751" t="s">
        <v>82</v>
      </c>
      <c r="U13" s="751" t="s">
        <v>83</v>
      </c>
      <c r="V13" s="751" t="s">
        <v>84</v>
      </c>
      <c r="W13" s="751" t="s">
        <v>85</v>
      </c>
      <c r="X13" s="751" t="s">
        <v>86</v>
      </c>
      <c r="Y13" s="751" t="s">
        <v>141</v>
      </c>
      <c r="Z13" s="751" t="s">
        <v>77</v>
      </c>
      <c r="AA13" s="751" t="s">
        <v>77</v>
      </c>
      <c r="AB13" s="751" t="s">
        <v>78</v>
      </c>
      <c r="AC13" s="751" t="s">
        <v>79</v>
      </c>
      <c r="AD13" s="751" t="s">
        <v>173</v>
      </c>
      <c r="AE13" s="751" t="s">
        <v>80</v>
      </c>
      <c r="AF13" s="751" t="s">
        <v>81</v>
      </c>
      <c r="AG13" s="751" t="s">
        <v>82</v>
      </c>
      <c r="AH13" s="751" t="s">
        <v>83</v>
      </c>
      <c r="AI13" s="751" t="s">
        <v>84</v>
      </c>
      <c r="AJ13" s="751" t="s">
        <v>85</v>
      </c>
      <c r="AK13" s="751" t="s">
        <v>86</v>
      </c>
      <c r="AL13" s="751" t="s">
        <v>77</v>
      </c>
      <c r="AM13" s="751" t="s">
        <v>77</v>
      </c>
      <c r="AN13" s="751" t="s">
        <v>78</v>
      </c>
      <c r="AO13" s="751" t="s">
        <v>79</v>
      </c>
      <c r="AP13" s="751" t="s">
        <v>173</v>
      </c>
      <c r="AQ13" s="751" t="s">
        <v>80</v>
      </c>
      <c r="AR13" s="751" t="s">
        <v>81</v>
      </c>
      <c r="AS13" s="751" t="s">
        <v>82</v>
      </c>
      <c r="AT13" s="751" t="s">
        <v>83</v>
      </c>
      <c r="AU13" s="751" t="s">
        <v>84</v>
      </c>
      <c r="AV13" s="751" t="s">
        <v>85</v>
      </c>
      <c r="AW13" s="751" t="s">
        <v>86</v>
      </c>
      <c r="AX13" s="751" t="s">
        <v>141</v>
      </c>
      <c r="AY13" s="751" t="s">
        <v>77</v>
      </c>
      <c r="AZ13" s="751" t="s">
        <v>77</v>
      </c>
      <c r="BA13" s="751" t="s">
        <v>78</v>
      </c>
      <c r="BB13" s="751" t="s">
        <v>79</v>
      </c>
      <c r="BC13" s="751" t="s">
        <v>173</v>
      </c>
      <c r="BD13" s="751" t="s">
        <v>80</v>
      </c>
      <c r="BE13" s="751" t="s">
        <v>81</v>
      </c>
      <c r="BF13" s="751" t="s">
        <v>82</v>
      </c>
      <c r="BG13" s="751" t="s">
        <v>83</v>
      </c>
      <c r="BH13" s="751" t="s">
        <v>84</v>
      </c>
      <c r="BI13" s="751" t="s">
        <v>85</v>
      </c>
      <c r="BJ13" s="751" t="s">
        <v>86</v>
      </c>
      <c r="BK13" s="751" t="s">
        <v>141</v>
      </c>
      <c r="BL13" s="751" t="s">
        <v>183</v>
      </c>
      <c r="BM13" s="751" t="s">
        <v>87</v>
      </c>
      <c r="BN13" s="751" t="s">
        <v>183</v>
      </c>
      <c r="BO13" s="751" t="s">
        <v>87</v>
      </c>
      <c r="BP13" s="751" t="s">
        <v>175</v>
      </c>
      <c r="BQ13" s="751" t="s">
        <v>123</v>
      </c>
      <c r="BR13" s="751" t="s">
        <v>38</v>
      </c>
      <c r="BS13" s="752" t="s">
        <v>39</v>
      </c>
      <c r="BT13" s="699" t="s">
        <v>556</v>
      </c>
      <c r="BU13" s="699" t="s">
        <v>557</v>
      </c>
      <c r="BV13" s="699" t="s">
        <v>558</v>
      </c>
      <c r="BW13" s="699" t="s">
        <v>556</v>
      </c>
      <c r="BX13" s="699" t="s">
        <v>557</v>
      </c>
      <c r="BY13" s="699" t="s">
        <v>557</v>
      </c>
    </row>
    <row r="14" spans="1:77" s="694" customFormat="1" ht="12.75" thickBot="1">
      <c r="B14" s="753" t="s">
        <v>124</v>
      </c>
      <c r="C14" s="754" t="s">
        <v>125</v>
      </c>
      <c r="D14" s="754" t="s">
        <v>126</v>
      </c>
      <c r="E14" s="754" t="s">
        <v>127</v>
      </c>
      <c r="F14" s="754" t="s">
        <v>128</v>
      </c>
      <c r="G14" s="754" t="s">
        <v>129</v>
      </c>
      <c r="H14" s="754" t="s">
        <v>32</v>
      </c>
      <c r="I14" s="754" t="s">
        <v>531</v>
      </c>
      <c r="J14" s="754" t="s">
        <v>33</v>
      </c>
      <c r="K14" s="754" t="s">
        <v>34</v>
      </c>
      <c r="L14" s="754" t="s">
        <v>184</v>
      </c>
      <c r="M14" s="754" t="s">
        <v>38</v>
      </c>
      <c r="N14" s="754" t="s">
        <v>38</v>
      </c>
      <c r="O14" s="754" t="s">
        <v>38</v>
      </c>
      <c r="P14" s="754" t="s">
        <v>38</v>
      </c>
      <c r="Q14" s="754" t="s">
        <v>38</v>
      </c>
      <c r="R14" s="754" t="s">
        <v>38</v>
      </c>
      <c r="S14" s="754" t="s">
        <v>38</v>
      </c>
      <c r="T14" s="754" t="s">
        <v>38</v>
      </c>
      <c r="U14" s="754" t="s">
        <v>38</v>
      </c>
      <c r="V14" s="754" t="s">
        <v>38</v>
      </c>
      <c r="W14" s="754" t="s">
        <v>38</v>
      </c>
      <c r="X14" s="754" t="s">
        <v>38</v>
      </c>
      <c r="Y14" s="754" t="s">
        <v>38</v>
      </c>
      <c r="Z14" s="754" t="s">
        <v>39</v>
      </c>
      <c r="AA14" s="754" t="s">
        <v>39</v>
      </c>
      <c r="AB14" s="754" t="s">
        <v>39</v>
      </c>
      <c r="AC14" s="754" t="s">
        <v>39</v>
      </c>
      <c r="AD14" s="754" t="s">
        <v>39</v>
      </c>
      <c r="AE14" s="754" t="s">
        <v>39</v>
      </c>
      <c r="AF14" s="754" t="s">
        <v>39</v>
      </c>
      <c r="AG14" s="754" t="s">
        <v>39</v>
      </c>
      <c r="AH14" s="754" t="s">
        <v>39</v>
      </c>
      <c r="AI14" s="754" t="s">
        <v>39</v>
      </c>
      <c r="AJ14" s="754" t="s">
        <v>39</v>
      </c>
      <c r="AK14" s="754" t="s">
        <v>39</v>
      </c>
      <c r="AL14" s="754" t="s">
        <v>39</v>
      </c>
      <c r="AM14" s="754" t="s">
        <v>39</v>
      </c>
      <c r="AN14" s="754" t="s">
        <v>39</v>
      </c>
      <c r="AO14" s="754" t="s">
        <v>39</v>
      </c>
      <c r="AP14" s="754" t="s">
        <v>39</v>
      </c>
      <c r="AQ14" s="754" t="s">
        <v>39</v>
      </c>
      <c r="AR14" s="754" t="s">
        <v>39</v>
      </c>
      <c r="AS14" s="754" t="s">
        <v>39</v>
      </c>
      <c r="AT14" s="754" t="s">
        <v>39</v>
      </c>
      <c r="AU14" s="754" t="s">
        <v>39</v>
      </c>
      <c r="AV14" s="754" t="s">
        <v>39</v>
      </c>
      <c r="AW14" s="754" t="s">
        <v>39</v>
      </c>
      <c r="AX14" s="754" t="s">
        <v>39</v>
      </c>
      <c r="AY14" s="754" t="s">
        <v>174</v>
      </c>
      <c r="AZ14" s="754" t="s">
        <v>174</v>
      </c>
      <c r="BA14" s="754" t="s">
        <v>174</v>
      </c>
      <c r="BB14" s="754" t="s">
        <v>174</v>
      </c>
      <c r="BC14" s="754" t="s">
        <v>174</v>
      </c>
      <c r="BD14" s="754" t="s">
        <v>174</v>
      </c>
      <c r="BE14" s="754" t="s">
        <v>174</v>
      </c>
      <c r="BF14" s="754" t="s">
        <v>174</v>
      </c>
      <c r="BG14" s="754" t="s">
        <v>174</v>
      </c>
      <c r="BH14" s="754" t="s">
        <v>174</v>
      </c>
      <c r="BI14" s="754" t="s">
        <v>174</v>
      </c>
      <c r="BJ14" s="754" t="s">
        <v>174</v>
      </c>
      <c r="BK14" s="754" t="s">
        <v>174</v>
      </c>
      <c r="BL14" s="754" t="s">
        <v>35</v>
      </c>
      <c r="BM14" s="754" t="s">
        <v>36</v>
      </c>
      <c r="BN14" s="754" t="s">
        <v>37</v>
      </c>
      <c r="BO14" s="754" t="s">
        <v>176</v>
      </c>
      <c r="BP14" s="754" t="s">
        <v>40</v>
      </c>
      <c r="BQ14" s="754" t="s">
        <v>40</v>
      </c>
      <c r="BR14" s="754" t="s">
        <v>40</v>
      </c>
      <c r="BS14" s="755" t="s">
        <v>40</v>
      </c>
      <c r="BT14" s="702" t="s">
        <v>559</v>
      </c>
      <c r="BU14" s="702" t="s">
        <v>559</v>
      </c>
      <c r="BV14" s="702" t="s">
        <v>560</v>
      </c>
      <c r="BW14" s="702" t="s">
        <v>560</v>
      </c>
      <c r="BX14" s="702" t="s">
        <v>560</v>
      </c>
      <c r="BY14" s="702" t="s">
        <v>560</v>
      </c>
    </row>
    <row r="15" spans="1:77" s="411" customFormat="1" ht="12.75">
      <c r="B15" s="704"/>
      <c r="C15" s="705"/>
      <c r="D15" s="705"/>
      <c r="E15" s="705"/>
      <c r="F15" s="705"/>
      <c r="G15" s="706"/>
      <c r="H15" s="706"/>
      <c r="I15" s="705"/>
      <c r="J15" s="705"/>
      <c r="K15" s="705"/>
      <c r="L15" s="705"/>
      <c r="M15" s="705"/>
      <c r="N15" s="705"/>
      <c r="O15" s="705"/>
      <c r="P15" s="705"/>
      <c r="Q15" s="705"/>
      <c r="R15" s="705"/>
      <c r="S15" s="705"/>
      <c r="T15" s="705"/>
      <c r="U15" s="705"/>
      <c r="V15" s="705"/>
      <c r="W15" s="705"/>
      <c r="X15" s="705"/>
      <c r="Y15" s="705"/>
      <c r="Z15" s="705"/>
      <c r="AA15" s="705"/>
      <c r="AB15" s="705"/>
      <c r="AC15" s="705"/>
      <c r="AD15" s="705"/>
      <c r="AE15" s="705"/>
      <c r="AF15" s="705"/>
      <c r="AG15" s="705"/>
      <c r="AH15" s="705"/>
      <c r="AI15" s="705"/>
      <c r="AJ15" s="705"/>
      <c r="AK15" s="705"/>
      <c r="AL15" s="705"/>
      <c r="AM15" s="705"/>
      <c r="AN15" s="705"/>
      <c r="AO15" s="705"/>
      <c r="AP15" s="705"/>
      <c r="AQ15" s="705"/>
      <c r="AR15" s="705"/>
      <c r="AS15" s="705"/>
      <c r="AT15" s="705"/>
      <c r="AU15" s="705"/>
      <c r="AV15" s="705"/>
      <c r="AW15" s="705"/>
      <c r="AX15" s="705"/>
      <c r="AY15" s="705"/>
      <c r="AZ15" s="705"/>
      <c r="BA15" s="705"/>
      <c r="BB15" s="705"/>
      <c r="BC15" s="705"/>
      <c r="BD15" s="705"/>
      <c r="BE15" s="705"/>
      <c r="BF15" s="705"/>
      <c r="BG15" s="705"/>
      <c r="BH15" s="705"/>
      <c r="BI15" s="705"/>
      <c r="BJ15" s="705"/>
      <c r="BK15" s="705"/>
      <c r="BL15" s="705"/>
      <c r="BM15" s="705"/>
      <c r="BN15" s="705"/>
      <c r="BO15" s="705"/>
      <c r="BP15" s="705"/>
      <c r="BQ15" s="705"/>
      <c r="BR15" s="705"/>
      <c r="BS15" s="707"/>
      <c r="BT15" s="671">
        <v>0</v>
      </c>
      <c r="BU15" s="671">
        <v>0</v>
      </c>
      <c r="BV15" s="671">
        <v>8760</v>
      </c>
      <c r="BW15" s="671">
        <v>0</v>
      </c>
      <c r="BX15" s="708"/>
      <c r="BY15" s="709"/>
    </row>
    <row r="16" spans="1:77" s="411" customFormat="1">
      <c r="B16" s="704"/>
      <c r="C16" s="705"/>
      <c r="D16" s="705"/>
      <c r="E16" s="705"/>
      <c r="F16" s="705"/>
      <c r="G16" s="706"/>
      <c r="H16" s="706"/>
      <c r="I16" s="705"/>
      <c r="J16" s="705"/>
      <c r="K16" s="705"/>
      <c r="L16" s="705"/>
      <c r="M16" s="705"/>
      <c r="N16" s="705"/>
      <c r="O16" s="705"/>
      <c r="P16" s="705"/>
      <c r="Q16" s="705"/>
      <c r="R16" s="705"/>
      <c r="S16" s="705"/>
      <c r="T16" s="705"/>
      <c r="U16" s="705"/>
      <c r="V16" s="705"/>
      <c r="W16" s="705"/>
      <c r="X16" s="705"/>
      <c r="Y16" s="705"/>
      <c r="Z16" s="705"/>
      <c r="AA16" s="705"/>
      <c r="AB16" s="705"/>
      <c r="AC16" s="705"/>
      <c r="AD16" s="705"/>
      <c r="AE16" s="705"/>
      <c r="AF16" s="705"/>
      <c r="AG16" s="705"/>
      <c r="AH16" s="705"/>
      <c r="AI16" s="705"/>
      <c r="AJ16" s="705"/>
      <c r="AK16" s="705"/>
      <c r="AL16" s="705"/>
      <c r="AM16" s="705"/>
      <c r="AN16" s="705"/>
      <c r="AO16" s="705"/>
      <c r="AP16" s="705"/>
      <c r="AQ16" s="705"/>
      <c r="AR16" s="705"/>
      <c r="AS16" s="705"/>
      <c r="AT16" s="705"/>
      <c r="AU16" s="705"/>
      <c r="AV16" s="705"/>
      <c r="AW16" s="705"/>
      <c r="AX16" s="705"/>
      <c r="AY16" s="705"/>
      <c r="AZ16" s="705"/>
      <c r="BA16" s="705"/>
      <c r="BB16" s="705"/>
      <c r="BC16" s="705"/>
      <c r="BD16" s="705"/>
      <c r="BE16" s="705"/>
      <c r="BF16" s="705"/>
      <c r="BG16" s="705"/>
      <c r="BH16" s="705"/>
      <c r="BI16" s="705"/>
      <c r="BJ16" s="705"/>
      <c r="BK16" s="705"/>
      <c r="BL16" s="705"/>
      <c r="BM16" s="705"/>
      <c r="BN16" s="705"/>
      <c r="BO16" s="705"/>
      <c r="BP16" s="705"/>
      <c r="BQ16" s="705"/>
      <c r="BR16" s="705"/>
      <c r="BS16" s="707"/>
      <c r="BT16" s="705"/>
      <c r="BU16" s="705"/>
      <c r="BV16" s="705"/>
      <c r="BW16" s="705"/>
      <c r="BX16" s="705"/>
      <c r="BY16" s="707"/>
    </row>
    <row r="17" spans="1:83" s="411" customFormat="1">
      <c r="B17" s="704"/>
      <c r="C17" s="705"/>
      <c r="D17" s="705"/>
      <c r="E17" s="705"/>
      <c r="F17" s="705"/>
      <c r="G17" s="706"/>
      <c r="H17" s="706"/>
      <c r="I17" s="705"/>
      <c r="J17" s="705"/>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5"/>
      <c r="AL17" s="705"/>
      <c r="AM17" s="705"/>
      <c r="AN17" s="705"/>
      <c r="AO17" s="705"/>
      <c r="AP17" s="705"/>
      <c r="AQ17" s="705"/>
      <c r="AR17" s="705"/>
      <c r="AS17" s="705"/>
      <c r="AT17" s="705"/>
      <c r="AU17" s="705"/>
      <c r="AV17" s="705"/>
      <c r="AW17" s="705"/>
      <c r="AX17" s="705"/>
      <c r="AY17" s="705"/>
      <c r="AZ17" s="705"/>
      <c r="BA17" s="705"/>
      <c r="BB17" s="705"/>
      <c r="BC17" s="705"/>
      <c r="BD17" s="705"/>
      <c r="BE17" s="705"/>
      <c r="BF17" s="705"/>
      <c r="BG17" s="705"/>
      <c r="BH17" s="705"/>
      <c r="BI17" s="705"/>
      <c r="BJ17" s="705"/>
      <c r="BK17" s="705"/>
      <c r="BL17" s="705"/>
      <c r="BM17" s="705"/>
      <c r="BN17" s="705"/>
      <c r="BO17" s="705"/>
      <c r="BP17" s="705"/>
      <c r="BQ17" s="705"/>
      <c r="BR17" s="705"/>
      <c r="BS17" s="707"/>
      <c r="BT17" s="705"/>
      <c r="BU17" s="705"/>
      <c r="BV17" s="705"/>
      <c r="BW17" s="705"/>
      <c r="BX17" s="705"/>
      <c r="BY17" s="707"/>
    </row>
    <row r="18" spans="1:83" s="411" customFormat="1" ht="12.75" thickBot="1">
      <c r="B18" s="710"/>
      <c r="C18" s="711"/>
      <c r="D18" s="711"/>
      <c r="E18" s="711"/>
      <c r="F18" s="711"/>
      <c r="G18" s="712"/>
      <c r="H18" s="712"/>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I18" s="711"/>
      <c r="AJ18" s="711"/>
      <c r="AK18" s="711"/>
      <c r="AL18" s="711"/>
      <c r="AM18" s="711"/>
      <c r="AN18" s="711"/>
      <c r="AO18" s="711"/>
      <c r="AP18" s="711"/>
      <c r="AQ18" s="711"/>
      <c r="AR18" s="711"/>
      <c r="AS18" s="711"/>
      <c r="AT18" s="711"/>
      <c r="AU18" s="711"/>
      <c r="AV18" s="711"/>
      <c r="AW18" s="711"/>
      <c r="AX18" s="711"/>
      <c r="AY18" s="711"/>
      <c r="AZ18" s="711"/>
      <c r="BA18" s="711"/>
      <c r="BB18" s="711"/>
      <c r="BC18" s="711"/>
      <c r="BD18" s="711"/>
      <c r="BE18" s="711"/>
      <c r="BF18" s="711"/>
      <c r="BG18" s="711"/>
      <c r="BH18" s="711"/>
      <c r="BI18" s="711"/>
      <c r="BJ18" s="711"/>
      <c r="BK18" s="711"/>
      <c r="BL18" s="711"/>
      <c r="BM18" s="711"/>
      <c r="BN18" s="711"/>
      <c r="BO18" s="711"/>
      <c r="BP18" s="711"/>
      <c r="BQ18" s="711"/>
      <c r="BR18" s="711"/>
      <c r="BS18" s="713"/>
      <c r="BT18" s="711"/>
      <c r="BU18" s="711"/>
      <c r="BV18" s="711"/>
      <c r="BW18" s="711"/>
      <c r="BX18" s="711"/>
      <c r="BY18" s="713"/>
    </row>
    <row r="19" spans="1:83" s="686" customFormat="1" ht="13.5" customHeight="1" thickBot="1">
      <c r="A19" s="759" t="s">
        <v>541</v>
      </c>
      <c r="B19" s="1594" t="s">
        <v>130</v>
      </c>
      <c r="C19" s="1595"/>
      <c r="D19" s="1595"/>
      <c r="E19" s="1595"/>
      <c r="F19" s="1595"/>
      <c r="G19" s="1595"/>
      <c r="H19" s="1595"/>
      <c r="I19" s="1595"/>
      <c r="J19" s="1595"/>
      <c r="K19" s="1595"/>
      <c r="L19" s="1596"/>
      <c r="M19" s="760" t="e">
        <f t="shared" ref="M19:BS19" si="1">AVERAGE(M15:M18)</f>
        <v>#DIV/0!</v>
      </c>
      <c r="N19" s="760" t="e">
        <f t="shared" si="1"/>
        <v>#DIV/0!</v>
      </c>
      <c r="O19" s="760" t="e">
        <f t="shared" si="1"/>
        <v>#DIV/0!</v>
      </c>
      <c r="P19" s="760" t="e">
        <f t="shared" si="1"/>
        <v>#DIV/0!</v>
      </c>
      <c r="Q19" s="761" t="e">
        <f t="shared" si="1"/>
        <v>#DIV/0!</v>
      </c>
      <c r="R19" s="760" t="e">
        <f t="shared" si="1"/>
        <v>#DIV/0!</v>
      </c>
      <c r="S19" s="760" t="e">
        <f t="shared" si="1"/>
        <v>#DIV/0!</v>
      </c>
      <c r="T19" s="761" t="e">
        <f t="shared" si="1"/>
        <v>#DIV/0!</v>
      </c>
      <c r="U19" s="760" t="e">
        <f t="shared" si="1"/>
        <v>#DIV/0!</v>
      </c>
      <c r="V19" s="760" t="e">
        <f t="shared" si="1"/>
        <v>#DIV/0!</v>
      </c>
      <c r="W19" s="760" t="e">
        <f t="shared" si="1"/>
        <v>#DIV/0!</v>
      </c>
      <c r="X19" s="760" t="e">
        <f t="shared" si="1"/>
        <v>#DIV/0!</v>
      </c>
      <c r="Y19" s="761" t="e">
        <f t="shared" si="1"/>
        <v>#DIV/0!</v>
      </c>
      <c r="Z19" s="760" t="e">
        <f t="shared" si="1"/>
        <v>#DIV/0!</v>
      </c>
      <c r="AA19" s="760" t="e">
        <f t="shared" si="1"/>
        <v>#DIV/0!</v>
      </c>
      <c r="AB19" s="760" t="e">
        <f t="shared" si="1"/>
        <v>#DIV/0!</v>
      </c>
      <c r="AC19" s="760" t="e">
        <f t="shared" si="1"/>
        <v>#DIV/0!</v>
      </c>
      <c r="AD19" s="760" t="e">
        <f t="shared" si="1"/>
        <v>#DIV/0!</v>
      </c>
      <c r="AE19" s="760" t="e">
        <f t="shared" si="1"/>
        <v>#DIV/0!</v>
      </c>
      <c r="AF19" s="760" t="e">
        <f t="shared" si="1"/>
        <v>#DIV/0!</v>
      </c>
      <c r="AG19" s="760" t="e">
        <f t="shared" si="1"/>
        <v>#DIV/0!</v>
      </c>
      <c r="AH19" s="760" t="e">
        <f t="shared" si="1"/>
        <v>#DIV/0!</v>
      </c>
      <c r="AI19" s="760" t="e">
        <f t="shared" si="1"/>
        <v>#DIV/0!</v>
      </c>
      <c r="AJ19" s="760" t="e">
        <f t="shared" si="1"/>
        <v>#DIV/0!</v>
      </c>
      <c r="AK19" s="760" t="e">
        <f t="shared" si="1"/>
        <v>#DIV/0!</v>
      </c>
      <c r="AL19" s="760" t="e">
        <f t="shared" si="1"/>
        <v>#DIV/0!</v>
      </c>
      <c r="AM19" s="760" t="e">
        <f t="shared" si="1"/>
        <v>#DIV/0!</v>
      </c>
      <c r="AN19" s="760" t="e">
        <f t="shared" si="1"/>
        <v>#DIV/0!</v>
      </c>
      <c r="AO19" s="760" t="e">
        <f t="shared" si="1"/>
        <v>#DIV/0!</v>
      </c>
      <c r="AP19" s="760" t="e">
        <f t="shared" si="1"/>
        <v>#DIV/0!</v>
      </c>
      <c r="AQ19" s="760" t="e">
        <f t="shared" si="1"/>
        <v>#DIV/0!</v>
      </c>
      <c r="AR19" s="760" t="e">
        <f t="shared" si="1"/>
        <v>#DIV/0!</v>
      </c>
      <c r="AS19" s="760" t="e">
        <f t="shared" si="1"/>
        <v>#DIV/0!</v>
      </c>
      <c r="AT19" s="760" t="e">
        <f t="shared" si="1"/>
        <v>#DIV/0!</v>
      </c>
      <c r="AU19" s="760" t="e">
        <f t="shared" si="1"/>
        <v>#DIV/0!</v>
      </c>
      <c r="AV19" s="760" t="e">
        <f t="shared" si="1"/>
        <v>#DIV/0!</v>
      </c>
      <c r="AW19" s="760" t="e">
        <f t="shared" si="1"/>
        <v>#DIV/0!</v>
      </c>
      <c r="AX19" s="760" t="e">
        <f t="shared" si="1"/>
        <v>#DIV/0!</v>
      </c>
      <c r="AY19" s="760" t="e">
        <f t="shared" si="1"/>
        <v>#DIV/0!</v>
      </c>
      <c r="AZ19" s="760" t="e">
        <f t="shared" si="1"/>
        <v>#DIV/0!</v>
      </c>
      <c r="BA19" s="760" t="e">
        <f t="shared" si="1"/>
        <v>#DIV/0!</v>
      </c>
      <c r="BB19" s="761" t="e">
        <f t="shared" si="1"/>
        <v>#DIV/0!</v>
      </c>
      <c r="BC19" s="760" t="e">
        <f t="shared" si="1"/>
        <v>#DIV/0!</v>
      </c>
      <c r="BD19" s="760" t="e">
        <f t="shared" si="1"/>
        <v>#DIV/0!</v>
      </c>
      <c r="BE19" s="760" t="e">
        <f t="shared" si="1"/>
        <v>#DIV/0!</v>
      </c>
      <c r="BF19" s="760" t="e">
        <f t="shared" si="1"/>
        <v>#DIV/0!</v>
      </c>
      <c r="BG19" s="760" t="e">
        <f t="shared" si="1"/>
        <v>#DIV/0!</v>
      </c>
      <c r="BH19" s="760" t="e">
        <f t="shared" si="1"/>
        <v>#DIV/0!</v>
      </c>
      <c r="BI19" s="761" t="e">
        <f t="shared" si="1"/>
        <v>#DIV/0!</v>
      </c>
      <c r="BJ19" s="761" t="e">
        <f t="shared" si="1"/>
        <v>#DIV/0!</v>
      </c>
      <c r="BK19" s="761" t="e">
        <f t="shared" si="1"/>
        <v>#DIV/0!</v>
      </c>
      <c r="BL19" s="762" t="e">
        <f t="shared" si="1"/>
        <v>#DIV/0!</v>
      </c>
      <c r="BM19" s="760" t="e">
        <f t="shared" si="1"/>
        <v>#DIV/0!</v>
      </c>
      <c r="BN19" s="760" t="e">
        <f t="shared" si="1"/>
        <v>#DIV/0!</v>
      </c>
      <c r="BO19" s="760" t="e">
        <f t="shared" si="1"/>
        <v>#DIV/0!</v>
      </c>
      <c r="BP19" s="761" t="e">
        <f t="shared" si="1"/>
        <v>#DIV/0!</v>
      </c>
      <c r="BQ19" s="760" t="e">
        <f t="shared" si="1"/>
        <v>#DIV/0!</v>
      </c>
      <c r="BR19" s="761" t="e">
        <f t="shared" si="1"/>
        <v>#DIV/0!</v>
      </c>
      <c r="BS19" s="763" t="e">
        <f t="shared" si="1"/>
        <v>#DIV/0!</v>
      </c>
      <c r="BT19" s="714">
        <f t="shared" ref="BT19:BY19" si="2">AVERAGE(BT15:BT18)</f>
        <v>0</v>
      </c>
      <c r="BU19" s="714">
        <f t="shared" si="2"/>
        <v>0</v>
      </c>
      <c r="BV19" s="715">
        <f t="shared" si="2"/>
        <v>8760</v>
      </c>
      <c r="BW19" s="714">
        <f t="shared" si="2"/>
        <v>0</v>
      </c>
      <c r="BX19" s="715" t="e">
        <f t="shared" si="2"/>
        <v>#DIV/0!</v>
      </c>
      <c r="BY19" s="716" t="e">
        <f t="shared" si="2"/>
        <v>#DIV/0!</v>
      </c>
      <c r="BZ19" s="717"/>
      <c r="CA19" s="717"/>
      <c r="CB19" s="717"/>
      <c r="CC19" s="717"/>
      <c r="CD19" s="717"/>
      <c r="CE19" s="717"/>
    </row>
    <row r="20" spans="1:83">
      <c r="B20" s="689"/>
      <c r="C20" s="689"/>
      <c r="BU20" s="718"/>
      <c r="BV20" s="686"/>
      <c r="BW20" s="686"/>
    </row>
    <row r="21" spans="1:83" ht="12.75" thickBot="1">
      <c r="A21" s="745" t="s">
        <v>536</v>
      </c>
      <c r="B21" s="746" t="s">
        <v>544</v>
      </c>
      <c r="BU21" s="718"/>
      <c r="BV21" s="686"/>
      <c r="BW21" s="686"/>
    </row>
    <row r="22" spans="1:83" s="411" customFormat="1" ht="12.75" thickBot="1">
      <c r="B22" s="719"/>
      <c r="C22" s="720"/>
      <c r="D22" s="720"/>
      <c r="E22" s="720"/>
      <c r="F22" s="720"/>
      <c r="G22" s="721"/>
      <c r="H22" s="721"/>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c r="AJ22" s="720"/>
      <c r="AK22" s="720"/>
      <c r="AL22" s="720"/>
      <c r="AM22" s="720"/>
      <c r="AN22" s="720"/>
      <c r="AO22" s="720"/>
      <c r="AP22" s="720"/>
      <c r="AQ22" s="720"/>
      <c r="AR22" s="720"/>
      <c r="AS22" s="720"/>
      <c r="AT22" s="720"/>
      <c r="AU22" s="720"/>
      <c r="AV22" s="720"/>
      <c r="AW22" s="720"/>
      <c r="AX22" s="720"/>
      <c r="AY22" s="720"/>
      <c r="AZ22" s="720"/>
      <c r="BA22" s="720"/>
      <c r="BB22" s="720"/>
      <c r="BC22" s="720"/>
      <c r="BD22" s="720"/>
      <c r="BE22" s="720"/>
      <c r="BF22" s="720"/>
      <c r="BG22" s="720"/>
      <c r="BH22" s="720"/>
      <c r="BI22" s="720"/>
      <c r="BJ22" s="720"/>
      <c r="BK22" s="720"/>
      <c r="BL22" s="720"/>
      <c r="BM22" s="720"/>
      <c r="BN22" s="720"/>
      <c r="BO22" s="720"/>
      <c r="BP22" s="720"/>
      <c r="BQ22" s="720"/>
      <c r="BR22" s="720"/>
      <c r="BS22" s="722"/>
      <c r="BT22" s="723"/>
      <c r="BU22" s="723"/>
      <c r="BV22" s="723"/>
      <c r="BW22" s="723"/>
      <c r="BX22" s="723"/>
      <c r="BY22" s="724"/>
    </row>
    <row r="23" spans="1:83">
      <c r="M23" s="686"/>
      <c r="BU23" s="686"/>
      <c r="BV23" s="686"/>
      <c r="BW23" s="686"/>
    </row>
    <row r="24" spans="1:83">
      <c r="B24" s="693"/>
      <c r="M24" s="686"/>
      <c r="BU24" s="686"/>
      <c r="BV24" s="686"/>
      <c r="BW24" s="686"/>
    </row>
    <row r="25" spans="1:83" ht="12.75" thickBot="1">
      <c r="G25" s="725"/>
      <c r="H25" s="725"/>
      <c r="M25" s="686"/>
      <c r="BU25" s="686"/>
      <c r="BV25" s="686"/>
      <c r="BW25" s="686"/>
    </row>
    <row r="26" spans="1:83" ht="12.75" thickBot="1">
      <c r="A26" s="745" t="s">
        <v>542</v>
      </c>
      <c r="B26" s="746" t="s">
        <v>548</v>
      </c>
      <c r="G26" s="725"/>
      <c r="H26" s="725"/>
      <c r="M26" s="686"/>
      <c r="BT26" s="695" t="s">
        <v>55</v>
      </c>
      <c r="BU26" s="696" t="s">
        <v>55</v>
      </c>
      <c r="BV26" s="696" t="s">
        <v>550</v>
      </c>
      <c r="BW26" s="696"/>
      <c r="BX26" s="696" t="s">
        <v>55</v>
      </c>
      <c r="BY26" s="697" t="s">
        <v>55</v>
      </c>
    </row>
    <row r="27" spans="1:83" s="694" customFormat="1">
      <c r="B27" s="747"/>
      <c r="C27" s="748"/>
      <c r="D27" s="748"/>
      <c r="E27" s="748"/>
      <c r="F27" s="748"/>
      <c r="G27" s="748"/>
      <c r="H27" s="748"/>
      <c r="I27" s="748"/>
      <c r="J27" s="748"/>
      <c r="K27" s="748"/>
      <c r="L27" s="748" t="s">
        <v>58</v>
      </c>
      <c r="M27" s="748" t="s">
        <v>59</v>
      </c>
      <c r="N27" s="748" t="s">
        <v>60</v>
      </c>
      <c r="O27" s="748" t="s">
        <v>61</v>
      </c>
      <c r="P27" s="748" t="s">
        <v>62</v>
      </c>
      <c r="Q27" s="748" t="s">
        <v>62</v>
      </c>
      <c r="R27" s="748" t="s">
        <v>63</v>
      </c>
      <c r="S27" s="748" t="s">
        <v>140</v>
      </c>
      <c r="T27" s="748" t="s">
        <v>64</v>
      </c>
      <c r="U27" s="748" t="s">
        <v>65</v>
      </c>
      <c r="V27" s="748" t="s">
        <v>66</v>
      </c>
      <c r="W27" s="748" t="s">
        <v>67</v>
      </c>
      <c r="X27" s="748" t="s">
        <v>68</v>
      </c>
      <c r="Y27" s="748"/>
      <c r="Z27" s="748" t="s">
        <v>59</v>
      </c>
      <c r="AA27" s="748" t="s">
        <v>60</v>
      </c>
      <c r="AB27" s="748" t="s">
        <v>61</v>
      </c>
      <c r="AC27" s="748" t="s">
        <v>62</v>
      </c>
      <c r="AD27" s="748" t="s">
        <v>62</v>
      </c>
      <c r="AE27" s="748" t="s">
        <v>63</v>
      </c>
      <c r="AF27" s="748" t="s">
        <v>140</v>
      </c>
      <c r="AG27" s="748" t="s">
        <v>64</v>
      </c>
      <c r="AH27" s="748" t="s">
        <v>65</v>
      </c>
      <c r="AI27" s="748" t="s">
        <v>66</v>
      </c>
      <c r="AJ27" s="748" t="s">
        <v>67</v>
      </c>
      <c r="AK27" s="748" t="s">
        <v>68</v>
      </c>
      <c r="AL27" s="748" t="s">
        <v>59</v>
      </c>
      <c r="AM27" s="748" t="s">
        <v>60</v>
      </c>
      <c r="AN27" s="748" t="s">
        <v>61</v>
      </c>
      <c r="AO27" s="748" t="s">
        <v>62</v>
      </c>
      <c r="AP27" s="748" t="s">
        <v>62</v>
      </c>
      <c r="AQ27" s="748" t="s">
        <v>63</v>
      </c>
      <c r="AR27" s="748" t="s">
        <v>140</v>
      </c>
      <c r="AS27" s="748" t="s">
        <v>64</v>
      </c>
      <c r="AT27" s="748" t="s">
        <v>65</v>
      </c>
      <c r="AU27" s="748" t="s">
        <v>66</v>
      </c>
      <c r="AV27" s="748" t="s">
        <v>67</v>
      </c>
      <c r="AW27" s="748" t="s">
        <v>68</v>
      </c>
      <c r="AX27" s="748" t="s">
        <v>69</v>
      </c>
      <c r="AY27" s="748" t="s">
        <v>59</v>
      </c>
      <c r="AZ27" s="748" t="s">
        <v>60</v>
      </c>
      <c r="BA27" s="748" t="s">
        <v>61</v>
      </c>
      <c r="BB27" s="748" t="s">
        <v>62</v>
      </c>
      <c r="BC27" s="748" t="s">
        <v>62</v>
      </c>
      <c r="BD27" s="748" t="s">
        <v>63</v>
      </c>
      <c r="BE27" s="748" t="s">
        <v>140</v>
      </c>
      <c r="BF27" s="748" t="s">
        <v>64</v>
      </c>
      <c r="BG27" s="748" t="s">
        <v>65</v>
      </c>
      <c r="BH27" s="748" t="s">
        <v>66</v>
      </c>
      <c r="BI27" s="748" t="s">
        <v>67</v>
      </c>
      <c r="BJ27" s="748" t="s">
        <v>68</v>
      </c>
      <c r="BK27" s="748"/>
      <c r="BL27" s="748" t="s">
        <v>69</v>
      </c>
      <c r="BM27" s="748" t="s">
        <v>69</v>
      </c>
      <c r="BN27" s="748" t="s">
        <v>69</v>
      </c>
      <c r="BO27" s="748" t="s">
        <v>69</v>
      </c>
      <c r="BP27" s="748" t="s">
        <v>141</v>
      </c>
      <c r="BQ27" s="748" t="s">
        <v>141</v>
      </c>
      <c r="BR27" s="748" t="s">
        <v>175</v>
      </c>
      <c r="BS27" s="749" t="s">
        <v>175</v>
      </c>
      <c r="BT27" s="698" t="s">
        <v>551</v>
      </c>
      <c r="BU27" s="699" t="s">
        <v>552</v>
      </c>
      <c r="BV27" s="699" t="s">
        <v>553</v>
      </c>
      <c r="BW27" s="699" t="s">
        <v>551</v>
      </c>
      <c r="BX27" s="699" t="s">
        <v>554</v>
      </c>
      <c r="BY27" s="700" t="s">
        <v>555</v>
      </c>
    </row>
    <row r="28" spans="1:83" s="694" customFormat="1">
      <c r="B28" s="750" t="s">
        <v>70</v>
      </c>
      <c r="C28" s="751" t="s">
        <v>71</v>
      </c>
      <c r="D28" s="751" t="s">
        <v>72</v>
      </c>
      <c r="E28" s="751" t="s">
        <v>73</v>
      </c>
      <c r="F28" s="751" t="s">
        <v>74</v>
      </c>
      <c r="G28" s="751" t="s">
        <v>75</v>
      </c>
      <c r="H28" s="751" t="s">
        <v>75</v>
      </c>
      <c r="I28" s="751" t="s">
        <v>532</v>
      </c>
      <c r="J28" s="751"/>
      <c r="K28" s="751"/>
      <c r="L28" s="751" t="s">
        <v>76</v>
      </c>
      <c r="M28" s="751" t="s">
        <v>77</v>
      </c>
      <c r="N28" s="751" t="s">
        <v>77</v>
      </c>
      <c r="O28" s="751" t="s">
        <v>78</v>
      </c>
      <c r="P28" s="751" t="s">
        <v>79</v>
      </c>
      <c r="Q28" s="751" t="s">
        <v>173</v>
      </c>
      <c r="R28" s="751" t="s">
        <v>80</v>
      </c>
      <c r="S28" s="751" t="s">
        <v>81</v>
      </c>
      <c r="T28" s="751" t="s">
        <v>82</v>
      </c>
      <c r="U28" s="751" t="s">
        <v>83</v>
      </c>
      <c r="V28" s="751" t="s">
        <v>84</v>
      </c>
      <c r="W28" s="751" t="s">
        <v>85</v>
      </c>
      <c r="X28" s="751" t="s">
        <v>86</v>
      </c>
      <c r="Y28" s="751" t="s">
        <v>141</v>
      </c>
      <c r="Z28" s="751" t="s">
        <v>77</v>
      </c>
      <c r="AA28" s="751" t="s">
        <v>77</v>
      </c>
      <c r="AB28" s="751" t="s">
        <v>78</v>
      </c>
      <c r="AC28" s="751" t="s">
        <v>79</v>
      </c>
      <c r="AD28" s="751" t="s">
        <v>173</v>
      </c>
      <c r="AE28" s="751" t="s">
        <v>80</v>
      </c>
      <c r="AF28" s="751" t="s">
        <v>81</v>
      </c>
      <c r="AG28" s="751" t="s">
        <v>82</v>
      </c>
      <c r="AH28" s="751" t="s">
        <v>83</v>
      </c>
      <c r="AI28" s="751" t="s">
        <v>84</v>
      </c>
      <c r="AJ28" s="751" t="s">
        <v>85</v>
      </c>
      <c r="AK28" s="751" t="s">
        <v>86</v>
      </c>
      <c r="AL28" s="751" t="s">
        <v>77</v>
      </c>
      <c r="AM28" s="751" t="s">
        <v>77</v>
      </c>
      <c r="AN28" s="751" t="s">
        <v>78</v>
      </c>
      <c r="AO28" s="751" t="s">
        <v>79</v>
      </c>
      <c r="AP28" s="751" t="s">
        <v>173</v>
      </c>
      <c r="AQ28" s="751" t="s">
        <v>80</v>
      </c>
      <c r="AR28" s="751" t="s">
        <v>81</v>
      </c>
      <c r="AS28" s="751" t="s">
        <v>82</v>
      </c>
      <c r="AT28" s="751" t="s">
        <v>83</v>
      </c>
      <c r="AU28" s="751" t="s">
        <v>84</v>
      </c>
      <c r="AV28" s="751" t="s">
        <v>85</v>
      </c>
      <c r="AW28" s="751" t="s">
        <v>86</v>
      </c>
      <c r="AX28" s="751" t="s">
        <v>141</v>
      </c>
      <c r="AY28" s="751" t="s">
        <v>77</v>
      </c>
      <c r="AZ28" s="751" t="s">
        <v>77</v>
      </c>
      <c r="BA28" s="751" t="s">
        <v>78</v>
      </c>
      <c r="BB28" s="751" t="s">
        <v>79</v>
      </c>
      <c r="BC28" s="751" t="s">
        <v>173</v>
      </c>
      <c r="BD28" s="751" t="s">
        <v>80</v>
      </c>
      <c r="BE28" s="751" t="s">
        <v>81</v>
      </c>
      <c r="BF28" s="751" t="s">
        <v>82</v>
      </c>
      <c r="BG28" s="751" t="s">
        <v>83</v>
      </c>
      <c r="BH28" s="751" t="s">
        <v>84</v>
      </c>
      <c r="BI28" s="751" t="s">
        <v>85</v>
      </c>
      <c r="BJ28" s="751" t="s">
        <v>86</v>
      </c>
      <c r="BK28" s="751" t="s">
        <v>141</v>
      </c>
      <c r="BL28" s="751" t="s">
        <v>183</v>
      </c>
      <c r="BM28" s="751" t="s">
        <v>87</v>
      </c>
      <c r="BN28" s="751" t="s">
        <v>183</v>
      </c>
      <c r="BO28" s="751" t="s">
        <v>87</v>
      </c>
      <c r="BP28" s="751" t="s">
        <v>175</v>
      </c>
      <c r="BQ28" s="751" t="s">
        <v>123</v>
      </c>
      <c r="BR28" s="751" t="s">
        <v>38</v>
      </c>
      <c r="BS28" s="752" t="s">
        <v>39</v>
      </c>
      <c r="BT28" s="698" t="s">
        <v>556</v>
      </c>
      <c r="BU28" s="699" t="s">
        <v>557</v>
      </c>
      <c r="BV28" s="699" t="s">
        <v>558</v>
      </c>
      <c r="BW28" s="699" t="s">
        <v>556</v>
      </c>
      <c r="BX28" s="699" t="s">
        <v>557</v>
      </c>
      <c r="BY28" s="700" t="s">
        <v>557</v>
      </c>
    </row>
    <row r="29" spans="1:83" s="694" customFormat="1" ht="12.75" thickBot="1">
      <c r="B29" s="753" t="s">
        <v>124</v>
      </c>
      <c r="C29" s="754" t="s">
        <v>125</v>
      </c>
      <c r="D29" s="754" t="s">
        <v>126</v>
      </c>
      <c r="E29" s="754" t="s">
        <v>127</v>
      </c>
      <c r="F29" s="754" t="s">
        <v>128</v>
      </c>
      <c r="G29" s="754" t="s">
        <v>129</v>
      </c>
      <c r="H29" s="754" t="s">
        <v>530</v>
      </c>
      <c r="I29" s="754" t="s">
        <v>531</v>
      </c>
      <c r="J29" s="754" t="s">
        <v>33</v>
      </c>
      <c r="K29" s="754" t="s">
        <v>34</v>
      </c>
      <c r="L29" s="754" t="s">
        <v>184</v>
      </c>
      <c r="M29" s="754" t="s">
        <v>38</v>
      </c>
      <c r="N29" s="754" t="s">
        <v>38</v>
      </c>
      <c r="O29" s="754" t="s">
        <v>38</v>
      </c>
      <c r="P29" s="754" t="s">
        <v>38</v>
      </c>
      <c r="Q29" s="754" t="s">
        <v>38</v>
      </c>
      <c r="R29" s="754" t="s">
        <v>38</v>
      </c>
      <c r="S29" s="754" t="s">
        <v>38</v>
      </c>
      <c r="T29" s="754" t="s">
        <v>38</v>
      </c>
      <c r="U29" s="754" t="s">
        <v>38</v>
      </c>
      <c r="V29" s="754" t="s">
        <v>38</v>
      </c>
      <c r="W29" s="754" t="s">
        <v>38</v>
      </c>
      <c r="X29" s="754" t="s">
        <v>38</v>
      </c>
      <c r="Y29" s="754" t="s">
        <v>38</v>
      </c>
      <c r="Z29" s="754" t="s">
        <v>39</v>
      </c>
      <c r="AA29" s="754" t="s">
        <v>39</v>
      </c>
      <c r="AB29" s="754" t="s">
        <v>39</v>
      </c>
      <c r="AC29" s="754" t="s">
        <v>39</v>
      </c>
      <c r="AD29" s="754" t="s">
        <v>39</v>
      </c>
      <c r="AE29" s="754" t="s">
        <v>39</v>
      </c>
      <c r="AF29" s="754" t="s">
        <v>39</v>
      </c>
      <c r="AG29" s="754" t="s">
        <v>39</v>
      </c>
      <c r="AH29" s="754" t="s">
        <v>39</v>
      </c>
      <c r="AI29" s="754" t="s">
        <v>39</v>
      </c>
      <c r="AJ29" s="754" t="s">
        <v>39</v>
      </c>
      <c r="AK29" s="754" t="s">
        <v>39</v>
      </c>
      <c r="AL29" s="754" t="s">
        <v>39</v>
      </c>
      <c r="AM29" s="754" t="s">
        <v>39</v>
      </c>
      <c r="AN29" s="754" t="s">
        <v>39</v>
      </c>
      <c r="AO29" s="754" t="s">
        <v>39</v>
      </c>
      <c r="AP29" s="754" t="s">
        <v>39</v>
      </c>
      <c r="AQ29" s="754" t="s">
        <v>39</v>
      </c>
      <c r="AR29" s="754" t="s">
        <v>39</v>
      </c>
      <c r="AS29" s="754" t="s">
        <v>39</v>
      </c>
      <c r="AT29" s="754" t="s">
        <v>39</v>
      </c>
      <c r="AU29" s="754" t="s">
        <v>39</v>
      </c>
      <c r="AV29" s="754" t="s">
        <v>39</v>
      </c>
      <c r="AW29" s="754" t="s">
        <v>39</v>
      </c>
      <c r="AX29" s="754" t="s">
        <v>39</v>
      </c>
      <c r="AY29" s="754" t="s">
        <v>174</v>
      </c>
      <c r="AZ29" s="754" t="s">
        <v>174</v>
      </c>
      <c r="BA29" s="754" t="s">
        <v>174</v>
      </c>
      <c r="BB29" s="754" t="s">
        <v>174</v>
      </c>
      <c r="BC29" s="754" t="s">
        <v>174</v>
      </c>
      <c r="BD29" s="754" t="s">
        <v>174</v>
      </c>
      <c r="BE29" s="754" t="s">
        <v>174</v>
      </c>
      <c r="BF29" s="754" t="s">
        <v>174</v>
      </c>
      <c r="BG29" s="754" t="s">
        <v>174</v>
      </c>
      <c r="BH29" s="754" t="s">
        <v>174</v>
      </c>
      <c r="BI29" s="754" t="s">
        <v>174</v>
      </c>
      <c r="BJ29" s="754" t="s">
        <v>174</v>
      </c>
      <c r="BK29" s="754" t="s">
        <v>174</v>
      </c>
      <c r="BL29" s="754" t="s">
        <v>35</v>
      </c>
      <c r="BM29" s="754" t="s">
        <v>36</v>
      </c>
      <c r="BN29" s="754" t="s">
        <v>37</v>
      </c>
      <c r="BO29" s="754" t="s">
        <v>176</v>
      </c>
      <c r="BP29" s="754" t="s">
        <v>40</v>
      </c>
      <c r="BQ29" s="754" t="s">
        <v>40</v>
      </c>
      <c r="BR29" s="754" t="s">
        <v>40</v>
      </c>
      <c r="BS29" s="755" t="s">
        <v>40</v>
      </c>
      <c r="BT29" s="701" t="s">
        <v>559</v>
      </c>
      <c r="BU29" s="702" t="s">
        <v>559</v>
      </c>
      <c r="BV29" s="702" t="s">
        <v>560</v>
      </c>
      <c r="BW29" s="702" t="s">
        <v>560</v>
      </c>
      <c r="BX29" s="702" t="s">
        <v>560</v>
      </c>
      <c r="BY29" s="703" t="s">
        <v>560</v>
      </c>
    </row>
    <row r="30" spans="1:83" s="411" customFormat="1">
      <c r="B30" s="726"/>
      <c r="C30" s="727"/>
      <c r="D30" s="727"/>
      <c r="E30" s="727"/>
      <c r="F30" s="727"/>
      <c r="G30" s="728"/>
      <c r="H30" s="728"/>
      <c r="I30" s="727"/>
      <c r="J30" s="727"/>
      <c r="K30" s="727"/>
      <c r="L30" s="727"/>
      <c r="M30" s="727"/>
      <c r="N30" s="727"/>
      <c r="O30" s="727"/>
      <c r="P30" s="727"/>
      <c r="Q30" s="727"/>
      <c r="R30" s="727"/>
      <c r="S30" s="727"/>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AY30" s="727"/>
      <c r="AZ30" s="727"/>
      <c r="BA30" s="727"/>
      <c r="BB30" s="727"/>
      <c r="BC30" s="727"/>
      <c r="BD30" s="727"/>
      <c r="BE30" s="727"/>
      <c r="BF30" s="727"/>
      <c r="BG30" s="727"/>
      <c r="BH30" s="727"/>
      <c r="BI30" s="727"/>
      <c r="BJ30" s="727"/>
      <c r="BK30" s="727"/>
      <c r="BL30" s="727"/>
      <c r="BM30" s="727"/>
      <c r="BN30" s="727"/>
      <c r="BO30" s="727"/>
      <c r="BP30" s="727"/>
      <c r="BQ30" s="727"/>
      <c r="BR30" s="727"/>
      <c r="BS30" s="729"/>
      <c r="BT30" s="705">
        <v>0.71</v>
      </c>
      <c r="BU30" s="705">
        <v>0</v>
      </c>
      <c r="BV30" s="705">
        <v>8760</v>
      </c>
      <c r="BW30" s="705">
        <v>62</v>
      </c>
      <c r="BX30" s="705"/>
      <c r="BY30" s="707"/>
    </row>
    <row r="31" spans="1:83" s="411" customFormat="1">
      <c r="B31" s="730"/>
      <c r="C31" s="427"/>
      <c r="D31" s="427"/>
      <c r="E31" s="427"/>
      <c r="F31" s="427"/>
      <c r="G31" s="731"/>
      <c r="H31" s="731"/>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732"/>
      <c r="BT31" s="705">
        <v>0.01</v>
      </c>
      <c r="BU31" s="705">
        <v>0</v>
      </c>
      <c r="BV31" s="705">
        <v>8760</v>
      </c>
      <c r="BW31" s="705">
        <v>1</v>
      </c>
      <c r="BX31" s="705"/>
      <c r="BY31" s="707"/>
    </row>
    <row r="32" spans="1:83" s="411" customFormat="1">
      <c r="B32" s="730"/>
      <c r="C32" s="427"/>
      <c r="D32" s="427"/>
      <c r="E32" s="427"/>
      <c r="F32" s="427"/>
      <c r="G32" s="731"/>
      <c r="H32" s="731"/>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732"/>
      <c r="BT32" s="705">
        <v>0.01</v>
      </c>
      <c r="BU32" s="705">
        <v>0</v>
      </c>
      <c r="BV32" s="705">
        <v>8760</v>
      </c>
      <c r="BW32" s="705">
        <v>1</v>
      </c>
      <c r="BX32" s="705"/>
      <c r="BY32" s="707"/>
    </row>
    <row r="33" spans="2:77" s="411" customFormat="1">
      <c r="B33" s="730"/>
      <c r="C33" s="427"/>
      <c r="D33" s="427"/>
      <c r="E33" s="427"/>
      <c r="F33" s="427"/>
      <c r="G33" s="731"/>
      <c r="H33" s="731"/>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c r="BL33" s="427"/>
      <c r="BM33" s="427"/>
      <c r="BN33" s="427"/>
      <c r="BO33" s="427"/>
      <c r="BP33" s="427"/>
      <c r="BQ33" s="427"/>
      <c r="BR33" s="427"/>
      <c r="BS33" s="732"/>
      <c r="BT33" s="705">
        <v>0.02</v>
      </c>
      <c r="BU33" s="705">
        <v>0</v>
      </c>
      <c r="BV33" s="705">
        <v>8760</v>
      </c>
      <c r="BW33" s="705">
        <v>2</v>
      </c>
      <c r="BX33" s="705"/>
      <c r="BY33" s="707"/>
    </row>
    <row r="34" spans="2:77" s="411" customFormat="1">
      <c r="B34" s="730"/>
      <c r="C34" s="427"/>
      <c r="D34" s="427"/>
      <c r="E34" s="427"/>
      <c r="F34" s="427"/>
      <c r="G34" s="731"/>
      <c r="H34" s="731"/>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c r="BR34" s="427"/>
      <c r="BS34" s="732"/>
      <c r="BT34" s="705">
        <v>0.02</v>
      </c>
      <c r="BU34" s="705">
        <v>0</v>
      </c>
      <c r="BV34" s="705">
        <v>8760</v>
      </c>
      <c r="BW34" s="705">
        <v>2</v>
      </c>
      <c r="BX34" s="705"/>
      <c r="BY34" s="707"/>
    </row>
    <row r="35" spans="2:77" s="411" customFormat="1">
      <c r="B35" s="730"/>
      <c r="C35" s="427"/>
      <c r="D35" s="427"/>
      <c r="E35" s="427"/>
      <c r="F35" s="427"/>
      <c r="G35" s="731"/>
      <c r="H35" s="731"/>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c r="BH35" s="427"/>
      <c r="BI35" s="427"/>
      <c r="BJ35" s="427"/>
      <c r="BK35" s="427"/>
      <c r="BL35" s="427"/>
      <c r="BM35" s="427"/>
      <c r="BN35" s="427"/>
      <c r="BO35" s="427"/>
      <c r="BP35" s="427"/>
      <c r="BQ35" s="427"/>
      <c r="BR35" s="427"/>
      <c r="BS35" s="732"/>
      <c r="BT35" s="705">
        <v>0.01</v>
      </c>
      <c r="BU35" s="705">
        <v>0</v>
      </c>
      <c r="BV35" s="705">
        <v>8760</v>
      </c>
      <c r="BW35" s="705">
        <v>1</v>
      </c>
      <c r="BX35" s="705"/>
      <c r="BY35" s="707"/>
    </row>
    <row r="36" spans="2:77">
      <c r="B36" s="730"/>
      <c r="C36" s="427"/>
      <c r="D36" s="427"/>
      <c r="E36" s="427"/>
      <c r="F36" s="427"/>
      <c r="G36" s="731"/>
      <c r="H36" s="731"/>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c r="BH36" s="427"/>
      <c r="BI36" s="427"/>
      <c r="BJ36" s="427"/>
      <c r="BK36" s="427"/>
      <c r="BL36" s="427"/>
      <c r="BM36" s="427"/>
      <c r="BN36" s="427"/>
      <c r="BO36" s="427"/>
      <c r="BP36" s="427"/>
      <c r="BQ36" s="427"/>
      <c r="BR36" s="427"/>
      <c r="BS36" s="732"/>
      <c r="BT36" s="705">
        <v>0</v>
      </c>
      <c r="BU36" s="705">
        <v>0</v>
      </c>
      <c r="BV36" s="705">
        <v>8760</v>
      </c>
      <c r="BW36" s="705">
        <v>0</v>
      </c>
      <c r="BX36" s="705"/>
      <c r="BY36" s="707"/>
    </row>
    <row r="37" spans="2:77">
      <c r="B37" s="730"/>
      <c r="C37" s="427"/>
      <c r="D37" s="427"/>
      <c r="E37" s="427"/>
      <c r="F37" s="427"/>
      <c r="G37" s="731"/>
      <c r="H37" s="731"/>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427"/>
      <c r="BO37" s="427"/>
      <c r="BP37" s="427"/>
      <c r="BQ37" s="427"/>
      <c r="BR37" s="427"/>
      <c r="BS37" s="732"/>
      <c r="BT37" s="705">
        <v>0</v>
      </c>
      <c r="BU37" s="705">
        <v>0</v>
      </c>
      <c r="BV37" s="705">
        <v>8760</v>
      </c>
      <c r="BW37" s="705">
        <v>0</v>
      </c>
      <c r="BX37" s="705"/>
      <c r="BY37" s="707"/>
    </row>
    <row r="38" spans="2:77">
      <c r="B38" s="730"/>
      <c r="C38" s="427"/>
      <c r="D38" s="427"/>
      <c r="E38" s="427"/>
      <c r="F38" s="427"/>
      <c r="G38" s="731"/>
      <c r="H38" s="731"/>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c r="BP38" s="427"/>
      <c r="BQ38" s="427"/>
      <c r="BR38" s="427"/>
      <c r="BS38" s="732"/>
      <c r="BT38" s="705">
        <v>0</v>
      </c>
      <c r="BU38" s="705">
        <v>0</v>
      </c>
      <c r="BV38" s="705">
        <v>8760</v>
      </c>
      <c r="BW38" s="705">
        <v>0</v>
      </c>
      <c r="BX38" s="705"/>
      <c r="BY38" s="707"/>
    </row>
    <row r="39" spans="2:77">
      <c r="B39" s="730"/>
      <c r="C39" s="427"/>
      <c r="D39" s="427"/>
      <c r="E39" s="427"/>
      <c r="F39" s="427"/>
      <c r="G39" s="731"/>
      <c r="H39" s="731"/>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427"/>
      <c r="AW39" s="427"/>
      <c r="AX39" s="427"/>
      <c r="AY39" s="427"/>
      <c r="AZ39" s="427"/>
      <c r="BA39" s="427"/>
      <c r="BB39" s="427"/>
      <c r="BC39" s="427"/>
      <c r="BD39" s="427"/>
      <c r="BE39" s="427"/>
      <c r="BF39" s="427"/>
      <c r="BG39" s="427"/>
      <c r="BH39" s="427"/>
      <c r="BI39" s="427"/>
      <c r="BJ39" s="427"/>
      <c r="BK39" s="427"/>
      <c r="BL39" s="427"/>
      <c r="BM39" s="427"/>
      <c r="BN39" s="427"/>
      <c r="BO39" s="427"/>
      <c r="BP39" s="427"/>
      <c r="BQ39" s="427"/>
      <c r="BR39" s="427"/>
      <c r="BS39" s="732"/>
      <c r="BT39" s="705">
        <v>0</v>
      </c>
      <c r="BU39" s="705">
        <v>0</v>
      </c>
      <c r="BV39" s="705">
        <v>8760</v>
      </c>
      <c r="BW39" s="705">
        <v>0</v>
      </c>
      <c r="BX39" s="705"/>
      <c r="BY39" s="707"/>
    </row>
    <row r="40" spans="2:77">
      <c r="B40" s="730"/>
      <c r="C40" s="427"/>
      <c r="D40" s="427"/>
      <c r="E40" s="427"/>
      <c r="F40" s="427"/>
      <c r="G40" s="731"/>
      <c r="H40" s="731"/>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427"/>
      <c r="BL40" s="427"/>
      <c r="BM40" s="427"/>
      <c r="BN40" s="427"/>
      <c r="BO40" s="427"/>
      <c r="BP40" s="427"/>
      <c r="BQ40" s="427"/>
      <c r="BR40" s="427"/>
      <c r="BS40" s="732"/>
      <c r="BT40" s="705">
        <v>0</v>
      </c>
      <c r="BU40" s="705">
        <v>0</v>
      </c>
      <c r="BV40" s="705">
        <v>8760</v>
      </c>
      <c r="BW40" s="705">
        <v>0</v>
      </c>
      <c r="BX40" s="705"/>
      <c r="BY40" s="707"/>
    </row>
    <row r="41" spans="2:77">
      <c r="B41" s="730"/>
      <c r="C41" s="427"/>
      <c r="D41" s="427"/>
      <c r="E41" s="427"/>
      <c r="F41" s="427"/>
      <c r="G41" s="731"/>
      <c r="H41" s="731"/>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427"/>
      <c r="BL41" s="427"/>
      <c r="BM41" s="427"/>
      <c r="BN41" s="427"/>
      <c r="BO41" s="427"/>
      <c r="BP41" s="427"/>
      <c r="BQ41" s="427"/>
      <c r="BR41" s="427"/>
      <c r="BS41" s="732"/>
      <c r="BT41" s="705">
        <v>0</v>
      </c>
      <c r="BU41" s="705">
        <v>0</v>
      </c>
      <c r="BV41" s="705">
        <v>8760</v>
      </c>
      <c r="BW41" s="705">
        <v>0</v>
      </c>
      <c r="BX41" s="705"/>
      <c r="BY41" s="707"/>
    </row>
    <row r="42" spans="2:77">
      <c r="B42" s="730"/>
      <c r="C42" s="427"/>
      <c r="D42" s="427"/>
      <c r="E42" s="427"/>
      <c r="F42" s="427"/>
      <c r="G42" s="731"/>
      <c r="H42" s="731"/>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7"/>
      <c r="AO42" s="427"/>
      <c r="AP42" s="427"/>
      <c r="AQ42" s="427"/>
      <c r="AR42" s="427"/>
      <c r="AS42" s="427"/>
      <c r="AT42" s="427"/>
      <c r="AU42" s="427"/>
      <c r="AV42" s="427"/>
      <c r="AW42" s="427"/>
      <c r="AX42" s="427"/>
      <c r="AY42" s="427"/>
      <c r="AZ42" s="427"/>
      <c r="BA42" s="427"/>
      <c r="BB42" s="427"/>
      <c r="BC42" s="427"/>
      <c r="BD42" s="427"/>
      <c r="BE42" s="427"/>
      <c r="BF42" s="427"/>
      <c r="BG42" s="427"/>
      <c r="BH42" s="427"/>
      <c r="BI42" s="427"/>
      <c r="BJ42" s="427"/>
      <c r="BK42" s="427"/>
      <c r="BL42" s="427"/>
      <c r="BM42" s="427"/>
      <c r="BN42" s="427"/>
      <c r="BO42" s="427"/>
      <c r="BP42" s="427"/>
      <c r="BQ42" s="427"/>
      <c r="BR42" s="427"/>
      <c r="BS42" s="732"/>
      <c r="BT42" s="705">
        <v>0</v>
      </c>
      <c r="BU42" s="705">
        <v>0</v>
      </c>
      <c r="BV42" s="705">
        <v>8760</v>
      </c>
      <c r="BW42" s="705">
        <v>0</v>
      </c>
      <c r="BX42" s="705"/>
      <c r="BY42" s="707"/>
    </row>
    <row r="43" spans="2:77">
      <c r="B43" s="730"/>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7"/>
      <c r="AY43" s="427"/>
      <c r="AZ43" s="427"/>
      <c r="BA43" s="427"/>
      <c r="BB43" s="427"/>
      <c r="BC43" s="427"/>
      <c r="BD43" s="427"/>
      <c r="BE43" s="427"/>
      <c r="BF43" s="427"/>
      <c r="BG43" s="427"/>
      <c r="BH43" s="427"/>
      <c r="BI43" s="427"/>
      <c r="BJ43" s="427"/>
      <c r="BK43" s="427"/>
      <c r="BL43" s="427"/>
      <c r="BM43" s="427"/>
      <c r="BN43" s="427"/>
      <c r="BO43" s="427"/>
      <c r="BP43" s="427"/>
      <c r="BQ43" s="427"/>
      <c r="BR43" s="427"/>
      <c r="BS43" s="732"/>
      <c r="BT43" s="705">
        <v>0</v>
      </c>
      <c r="BU43" s="705">
        <v>0</v>
      </c>
      <c r="BV43" s="705">
        <v>8760</v>
      </c>
      <c r="BW43" s="705">
        <v>0</v>
      </c>
      <c r="BX43" s="705"/>
      <c r="BY43" s="707"/>
    </row>
    <row r="44" spans="2:77">
      <c r="B44" s="730"/>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427"/>
      <c r="AZ44" s="427"/>
      <c r="BA44" s="427"/>
      <c r="BB44" s="427"/>
      <c r="BC44" s="427"/>
      <c r="BD44" s="427"/>
      <c r="BE44" s="427"/>
      <c r="BF44" s="427"/>
      <c r="BG44" s="427"/>
      <c r="BH44" s="427"/>
      <c r="BI44" s="427"/>
      <c r="BJ44" s="427"/>
      <c r="BK44" s="427"/>
      <c r="BL44" s="427"/>
      <c r="BM44" s="427"/>
      <c r="BN44" s="427"/>
      <c r="BO44" s="427"/>
      <c r="BP44" s="427"/>
      <c r="BQ44" s="427"/>
      <c r="BR44" s="427"/>
      <c r="BS44" s="732"/>
      <c r="BT44" s="705"/>
      <c r="BU44" s="705"/>
      <c r="BV44" s="705"/>
      <c r="BW44" s="705"/>
      <c r="BX44" s="705"/>
      <c r="BY44" s="707"/>
    </row>
    <row r="45" spans="2:77">
      <c r="B45" s="730"/>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7"/>
      <c r="AY45" s="427"/>
      <c r="AZ45" s="427"/>
      <c r="BA45" s="427"/>
      <c r="BB45" s="427"/>
      <c r="BC45" s="427"/>
      <c r="BD45" s="427"/>
      <c r="BE45" s="427"/>
      <c r="BF45" s="427"/>
      <c r="BG45" s="427"/>
      <c r="BH45" s="427"/>
      <c r="BI45" s="427"/>
      <c r="BJ45" s="427"/>
      <c r="BK45" s="427"/>
      <c r="BL45" s="427"/>
      <c r="BM45" s="427"/>
      <c r="BN45" s="427"/>
      <c r="BO45" s="427"/>
      <c r="BP45" s="427"/>
      <c r="BQ45" s="427"/>
      <c r="BR45" s="427"/>
      <c r="BS45" s="732"/>
      <c r="BT45" s="705"/>
      <c r="BU45" s="705"/>
      <c r="BV45" s="705"/>
      <c r="BW45" s="705"/>
      <c r="BX45" s="705"/>
      <c r="BY45" s="707"/>
    </row>
    <row r="46" spans="2:77">
      <c r="B46" s="730"/>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427"/>
      <c r="AY46" s="427"/>
      <c r="AZ46" s="427"/>
      <c r="BA46" s="427"/>
      <c r="BB46" s="427"/>
      <c r="BC46" s="427"/>
      <c r="BD46" s="427"/>
      <c r="BE46" s="427"/>
      <c r="BF46" s="427"/>
      <c r="BG46" s="427"/>
      <c r="BH46" s="427"/>
      <c r="BI46" s="427"/>
      <c r="BJ46" s="427"/>
      <c r="BK46" s="427"/>
      <c r="BL46" s="427"/>
      <c r="BM46" s="427"/>
      <c r="BN46" s="427"/>
      <c r="BO46" s="427"/>
      <c r="BP46" s="427"/>
      <c r="BQ46" s="427"/>
      <c r="BR46" s="427"/>
      <c r="BS46" s="732"/>
      <c r="BT46" s="705"/>
      <c r="BU46" s="705"/>
      <c r="BV46" s="705"/>
      <c r="BW46" s="705"/>
      <c r="BX46" s="705"/>
      <c r="BY46" s="707"/>
    </row>
    <row r="47" spans="2:77">
      <c r="B47" s="730"/>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c r="AJ47" s="427"/>
      <c r="AK47" s="427"/>
      <c r="AL47" s="427"/>
      <c r="AM47" s="427"/>
      <c r="AN47" s="427"/>
      <c r="AO47" s="427"/>
      <c r="AP47" s="427"/>
      <c r="AQ47" s="427"/>
      <c r="AR47" s="427"/>
      <c r="AS47" s="427"/>
      <c r="AT47" s="427"/>
      <c r="AU47" s="427"/>
      <c r="AV47" s="427"/>
      <c r="AW47" s="427"/>
      <c r="AX47" s="427"/>
      <c r="AY47" s="427"/>
      <c r="AZ47" s="427"/>
      <c r="BA47" s="427"/>
      <c r="BB47" s="427"/>
      <c r="BC47" s="427"/>
      <c r="BD47" s="427"/>
      <c r="BE47" s="427"/>
      <c r="BF47" s="427"/>
      <c r="BG47" s="427"/>
      <c r="BH47" s="427"/>
      <c r="BI47" s="427"/>
      <c r="BJ47" s="427"/>
      <c r="BK47" s="427"/>
      <c r="BL47" s="427"/>
      <c r="BM47" s="427"/>
      <c r="BN47" s="427"/>
      <c r="BO47" s="427"/>
      <c r="BP47" s="427"/>
      <c r="BQ47" s="427"/>
      <c r="BR47" s="427"/>
      <c r="BS47" s="732"/>
      <c r="BT47" s="705"/>
      <c r="BU47" s="705"/>
      <c r="BV47" s="705"/>
      <c r="BW47" s="705"/>
      <c r="BX47" s="705"/>
      <c r="BY47" s="707"/>
    </row>
    <row r="48" spans="2:77">
      <c r="B48" s="730"/>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c r="AL48" s="427"/>
      <c r="AM48" s="427"/>
      <c r="AN48" s="427"/>
      <c r="AO48" s="427"/>
      <c r="AP48" s="427"/>
      <c r="AQ48" s="427"/>
      <c r="AR48" s="427"/>
      <c r="AS48" s="427"/>
      <c r="AT48" s="427"/>
      <c r="AU48" s="427"/>
      <c r="AV48" s="427"/>
      <c r="AW48" s="427"/>
      <c r="AX48" s="427"/>
      <c r="AY48" s="427"/>
      <c r="AZ48" s="427"/>
      <c r="BA48" s="427"/>
      <c r="BB48" s="427"/>
      <c r="BC48" s="427"/>
      <c r="BD48" s="427"/>
      <c r="BE48" s="427"/>
      <c r="BF48" s="427"/>
      <c r="BG48" s="427"/>
      <c r="BH48" s="427"/>
      <c r="BI48" s="427"/>
      <c r="BJ48" s="427"/>
      <c r="BK48" s="427"/>
      <c r="BL48" s="427"/>
      <c r="BM48" s="427"/>
      <c r="BN48" s="427"/>
      <c r="BO48" s="427"/>
      <c r="BP48" s="427"/>
      <c r="BQ48" s="427"/>
      <c r="BR48" s="427"/>
      <c r="BS48" s="732"/>
      <c r="BT48" s="705"/>
      <c r="BU48" s="705"/>
      <c r="BV48" s="705"/>
      <c r="BW48" s="705"/>
      <c r="BX48" s="705"/>
      <c r="BY48" s="707"/>
    </row>
    <row r="49" spans="2:77" ht="12.75" thickBot="1">
      <c r="B49" s="733"/>
      <c r="C49" s="734"/>
      <c r="D49" s="734"/>
      <c r="E49" s="734"/>
      <c r="F49" s="734"/>
      <c r="G49" s="734"/>
      <c r="H49" s="734"/>
      <c r="I49" s="734"/>
      <c r="J49" s="734"/>
      <c r="K49" s="734"/>
      <c r="L49" s="734"/>
      <c r="M49" s="734"/>
      <c r="N49" s="734"/>
      <c r="O49" s="734"/>
      <c r="P49" s="734"/>
      <c r="Q49" s="734"/>
      <c r="R49" s="734"/>
      <c r="S49" s="734"/>
      <c r="T49" s="734"/>
      <c r="U49" s="734"/>
      <c r="V49" s="734"/>
      <c r="W49" s="734"/>
      <c r="X49" s="734"/>
      <c r="Y49" s="734"/>
      <c r="Z49" s="734"/>
      <c r="AA49" s="734"/>
      <c r="AB49" s="734"/>
      <c r="AC49" s="734"/>
      <c r="AD49" s="734"/>
      <c r="AE49" s="734"/>
      <c r="AF49" s="734"/>
      <c r="AG49" s="734"/>
      <c r="AH49" s="734"/>
      <c r="AI49" s="734"/>
      <c r="AJ49" s="734"/>
      <c r="AK49" s="734"/>
      <c r="AL49" s="734"/>
      <c r="AM49" s="734"/>
      <c r="AN49" s="734"/>
      <c r="AO49" s="734"/>
      <c r="AP49" s="734"/>
      <c r="AQ49" s="734"/>
      <c r="AR49" s="734"/>
      <c r="AS49" s="734"/>
      <c r="AT49" s="734"/>
      <c r="AU49" s="734"/>
      <c r="AV49" s="734"/>
      <c r="AW49" s="734"/>
      <c r="AX49" s="734"/>
      <c r="AY49" s="734"/>
      <c r="AZ49" s="734"/>
      <c r="BA49" s="734"/>
      <c r="BB49" s="734"/>
      <c r="BC49" s="734"/>
      <c r="BD49" s="734"/>
      <c r="BE49" s="734"/>
      <c r="BF49" s="734"/>
      <c r="BG49" s="734"/>
      <c r="BH49" s="734"/>
      <c r="BI49" s="734"/>
      <c r="BJ49" s="734"/>
      <c r="BK49" s="734"/>
      <c r="BL49" s="734"/>
      <c r="BM49" s="734"/>
      <c r="BN49" s="734"/>
      <c r="BO49" s="734"/>
      <c r="BP49" s="734"/>
      <c r="BQ49" s="734"/>
      <c r="BR49" s="734"/>
      <c r="BS49" s="735"/>
      <c r="BT49" s="736"/>
      <c r="BU49" s="736"/>
      <c r="BV49" s="736"/>
      <c r="BW49" s="736"/>
      <c r="BX49" s="736"/>
      <c r="BY49" s="737"/>
    </row>
    <row r="50" spans="2:77" ht="12.75" thickBot="1">
      <c r="B50" s="738"/>
      <c r="C50" s="739"/>
      <c r="D50" s="739"/>
      <c r="E50" s="739"/>
      <c r="F50" s="739"/>
      <c r="G50" s="739"/>
      <c r="H50" s="739"/>
      <c r="I50" s="739"/>
      <c r="J50" s="739"/>
      <c r="K50" s="739"/>
      <c r="L50" s="739"/>
      <c r="M50" s="739"/>
      <c r="N50" s="739"/>
      <c r="O50" s="739"/>
      <c r="P50" s="739"/>
      <c r="Q50" s="739"/>
      <c r="R50" s="739"/>
      <c r="S50" s="739"/>
      <c r="T50" s="739"/>
      <c r="U50" s="739"/>
      <c r="V50" s="739"/>
      <c r="W50" s="739"/>
      <c r="X50" s="739"/>
      <c r="Y50" s="739"/>
      <c r="Z50" s="739"/>
      <c r="AA50" s="739"/>
      <c r="AB50" s="739"/>
      <c r="AC50" s="739"/>
      <c r="AD50" s="739"/>
      <c r="AE50" s="739"/>
      <c r="AF50" s="739"/>
      <c r="AG50" s="739"/>
      <c r="AH50" s="739"/>
      <c r="AI50" s="739"/>
      <c r="AJ50" s="739"/>
      <c r="AK50" s="739"/>
      <c r="AL50" s="739"/>
      <c r="AM50" s="739"/>
      <c r="AN50" s="739"/>
      <c r="AO50" s="739"/>
      <c r="AP50" s="739"/>
      <c r="AQ50" s="739"/>
      <c r="AR50" s="739"/>
      <c r="AS50" s="739"/>
      <c r="AT50" s="739"/>
      <c r="AU50" s="739"/>
      <c r="AV50" s="739"/>
      <c r="AW50" s="739"/>
      <c r="AX50" s="739"/>
      <c r="AY50" s="739"/>
      <c r="AZ50" s="739"/>
      <c r="BA50" s="739"/>
      <c r="BB50" s="739"/>
      <c r="BC50" s="739"/>
      <c r="BD50" s="739"/>
      <c r="BE50" s="739"/>
      <c r="BF50" s="739"/>
      <c r="BG50" s="739"/>
      <c r="BH50" s="739"/>
      <c r="BI50" s="739"/>
      <c r="BJ50" s="739"/>
      <c r="BK50" s="739"/>
      <c r="BL50" s="739"/>
      <c r="BM50" s="739"/>
      <c r="BN50" s="739"/>
      <c r="BO50" s="739"/>
      <c r="BP50" s="739"/>
      <c r="BQ50" s="739"/>
      <c r="BR50" s="739"/>
      <c r="BS50" s="740"/>
      <c r="BU50" s="686"/>
      <c r="BV50" s="686"/>
      <c r="BW50" s="686"/>
    </row>
    <row r="51" spans="2:77">
      <c r="BU51" s="686"/>
      <c r="BV51" s="686"/>
      <c r="BW51" s="686"/>
    </row>
    <row r="52" spans="2:77">
      <c r="BU52" s="686"/>
      <c r="BV52" s="686"/>
      <c r="BW52" s="686"/>
    </row>
    <row r="53" spans="2:77">
      <c r="B53" s="1239" t="s">
        <v>1135</v>
      </c>
      <c r="C53" s="1240"/>
      <c r="D53" s="1240"/>
      <c r="E53" s="1240"/>
      <c r="F53" s="1240"/>
      <c r="G53" s="1241"/>
      <c r="BU53" s="686"/>
      <c r="BV53" s="686"/>
      <c r="BW53" s="686"/>
    </row>
    <row r="54" spans="2:77">
      <c r="B54" s="423"/>
      <c r="C54" s="424"/>
      <c r="D54" s="424"/>
      <c r="E54" s="424"/>
      <c r="F54" s="424"/>
      <c r="G54" s="425"/>
      <c r="BU54" s="686"/>
      <c r="BV54" s="686"/>
      <c r="BW54" s="686"/>
    </row>
    <row r="55" spans="2:77">
      <c r="B55" s="426"/>
      <c r="C55" s="427"/>
      <c r="D55" s="427"/>
      <c r="E55" s="427"/>
      <c r="F55" s="427"/>
      <c r="G55" s="428"/>
      <c r="BU55" s="686"/>
      <c r="BV55" s="686"/>
      <c r="BW55" s="686"/>
    </row>
    <row r="56" spans="2:77">
      <c r="B56" s="429"/>
      <c r="C56" s="427"/>
      <c r="D56" s="427"/>
      <c r="E56" s="427"/>
      <c r="F56" s="427"/>
      <c r="G56" s="428"/>
      <c r="BU56" s="686"/>
      <c r="BV56" s="686"/>
      <c r="BW56" s="686"/>
    </row>
    <row r="57" spans="2:77">
      <c r="B57" s="429"/>
      <c r="C57" s="427"/>
      <c r="D57" s="427"/>
      <c r="E57" s="427"/>
      <c r="F57" s="427"/>
      <c r="G57" s="428"/>
      <c r="BU57" s="686"/>
      <c r="BV57" s="686"/>
      <c r="BW57" s="686"/>
    </row>
    <row r="58" spans="2:77">
      <c r="B58" s="430"/>
      <c r="C58" s="431"/>
      <c r="D58" s="431"/>
      <c r="E58" s="431"/>
      <c r="F58" s="431"/>
      <c r="G58" s="432"/>
      <c r="BU58" s="686"/>
      <c r="BV58" s="686"/>
      <c r="BW58" s="686"/>
    </row>
    <row r="59" spans="2:77">
      <c r="BU59" s="686"/>
      <c r="BV59" s="686"/>
      <c r="BW59" s="686"/>
    </row>
    <row r="60" spans="2:77">
      <c r="BU60" s="686"/>
      <c r="BV60" s="686"/>
      <c r="BW60" s="686"/>
    </row>
    <row r="61" spans="2:77">
      <c r="BU61" s="686"/>
      <c r="BV61" s="686"/>
      <c r="BW61" s="686"/>
    </row>
    <row r="62" spans="2:77">
      <c r="BU62" s="686"/>
      <c r="BV62" s="686"/>
      <c r="BW62" s="686"/>
    </row>
    <row r="63" spans="2:77">
      <c r="BU63" s="686"/>
      <c r="BV63" s="686"/>
      <c r="BW63" s="686"/>
    </row>
    <row r="64" spans="2:77">
      <c r="BU64" s="686"/>
      <c r="BV64" s="686"/>
      <c r="BW64" s="686"/>
    </row>
    <row r="65" spans="73:75">
      <c r="BU65" s="686"/>
      <c r="BV65" s="686"/>
      <c r="BW65" s="686"/>
    </row>
    <row r="66" spans="73:75">
      <c r="BU66" s="686"/>
      <c r="BV66" s="686"/>
      <c r="BW66" s="686"/>
    </row>
    <row r="67" spans="73:75">
      <c r="BU67" s="686"/>
      <c r="BV67" s="686"/>
      <c r="BW67" s="686"/>
    </row>
    <row r="68" spans="73:75">
      <c r="BU68" s="686"/>
      <c r="BV68" s="686"/>
      <c r="BW68" s="686"/>
    </row>
    <row r="69" spans="73:75">
      <c r="BU69" s="686"/>
      <c r="BV69" s="686"/>
      <c r="BW69" s="686"/>
    </row>
    <row r="70" spans="73:75">
      <c r="BU70" s="686"/>
      <c r="BV70" s="686"/>
      <c r="BW70" s="686"/>
    </row>
    <row r="71" spans="73:75">
      <c r="BU71" s="686"/>
      <c r="BV71" s="686"/>
      <c r="BW71" s="686"/>
    </row>
    <row r="72" spans="73:75">
      <c r="BU72" s="686"/>
      <c r="BV72" s="686"/>
      <c r="BW72" s="686"/>
    </row>
    <row r="73" spans="73:75">
      <c r="BU73" s="686"/>
      <c r="BV73" s="686"/>
      <c r="BW73" s="686"/>
    </row>
    <row r="74" spans="73:75">
      <c r="BU74" s="686"/>
      <c r="BV74" s="686"/>
      <c r="BW74" s="686"/>
    </row>
    <row r="75" spans="73:75">
      <c r="BU75" s="686"/>
      <c r="BV75" s="686"/>
      <c r="BW75" s="686"/>
    </row>
    <row r="76" spans="73:75">
      <c r="BU76" s="686"/>
      <c r="BV76" s="686"/>
      <c r="BW76" s="686"/>
    </row>
    <row r="77" spans="73:75">
      <c r="BU77" s="686"/>
      <c r="BV77" s="686"/>
      <c r="BW77" s="686"/>
    </row>
    <row r="78" spans="73:75">
      <c r="BU78" s="686"/>
      <c r="BV78" s="686"/>
      <c r="BW78" s="686"/>
    </row>
    <row r="79" spans="73:75">
      <c r="BU79" s="686"/>
      <c r="BV79" s="686"/>
      <c r="BW79" s="686"/>
    </row>
    <row r="80" spans="73:75">
      <c r="BU80" s="686"/>
      <c r="BV80" s="686"/>
      <c r="BW80" s="686"/>
    </row>
    <row r="81" spans="73:75">
      <c r="BU81" s="686"/>
      <c r="BV81" s="686"/>
      <c r="BW81" s="686"/>
    </row>
    <row r="82" spans="73:75">
      <c r="BU82" s="686"/>
      <c r="BV82" s="686"/>
      <c r="BW82" s="686"/>
    </row>
    <row r="83" spans="73:75">
      <c r="BU83" s="686"/>
      <c r="BV83" s="686"/>
      <c r="BW83" s="686"/>
    </row>
    <row r="84" spans="73:75">
      <c r="BU84" s="686"/>
      <c r="BV84" s="686"/>
      <c r="BW84" s="686"/>
    </row>
    <row r="85" spans="73:75">
      <c r="BU85" s="686"/>
      <c r="BV85" s="686"/>
      <c r="BW85" s="686"/>
    </row>
    <row r="86" spans="73:75">
      <c r="BU86" s="686"/>
      <c r="BV86" s="686"/>
      <c r="BW86" s="686"/>
    </row>
    <row r="87" spans="73:75">
      <c r="BU87" s="686"/>
      <c r="BV87" s="686"/>
      <c r="BW87" s="686"/>
    </row>
    <row r="88" spans="73:75">
      <c r="BU88" s="686"/>
      <c r="BV88" s="686"/>
      <c r="BW88" s="686"/>
    </row>
    <row r="89" spans="73:75">
      <c r="BU89" s="686"/>
      <c r="BV89" s="686"/>
      <c r="BW89" s="686"/>
    </row>
    <row r="90" spans="73:75">
      <c r="BU90" s="686"/>
      <c r="BV90" s="686"/>
      <c r="BW90" s="686"/>
    </row>
    <row r="91" spans="73:75">
      <c r="BU91" s="686"/>
      <c r="BV91" s="686"/>
      <c r="BW91" s="686"/>
    </row>
    <row r="92" spans="73:75">
      <c r="BU92" s="686"/>
      <c r="BV92" s="686"/>
      <c r="BW92" s="686"/>
    </row>
    <row r="93" spans="73:75">
      <c r="BU93" s="686"/>
      <c r="BV93" s="686"/>
      <c r="BW93" s="686"/>
    </row>
    <row r="94" spans="73:75">
      <c r="BU94" s="686"/>
      <c r="BV94" s="686"/>
      <c r="BW94" s="686"/>
    </row>
    <row r="95" spans="73:75">
      <c r="BU95" s="686"/>
      <c r="BV95" s="686"/>
      <c r="BW95" s="686"/>
    </row>
    <row r="96" spans="73:75">
      <c r="BU96" s="686"/>
      <c r="BV96" s="686"/>
      <c r="BW96" s="686"/>
    </row>
    <row r="97" spans="73:75">
      <c r="BU97" s="686"/>
      <c r="BV97" s="686"/>
      <c r="BW97" s="686"/>
    </row>
    <row r="98" spans="73:75">
      <c r="BU98" s="686"/>
      <c r="BV98" s="686"/>
      <c r="BW98" s="686"/>
    </row>
    <row r="99" spans="73:75">
      <c r="BU99" s="686"/>
      <c r="BV99" s="686"/>
      <c r="BW99" s="686"/>
    </row>
    <row r="100" spans="73:75">
      <c r="BU100" s="686"/>
      <c r="BV100" s="686"/>
      <c r="BW100" s="686"/>
    </row>
    <row r="101" spans="73:75">
      <c r="BU101" s="686"/>
      <c r="BV101" s="686"/>
      <c r="BW101" s="686"/>
    </row>
    <row r="102" spans="73:75">
      <c r="BU102" s="686"/>
      <c r="BV102" s="686"/>
      <c r="BW102" s="686"/>
    </row>
    <row r="103" spans="73:75">
      <c r="BU103" s="686"/>
      <c r="BV103" s="686"/>
      <c r="BW103" s="686"/>
    </row>
    <row r="104" spans="73:75">
      <c r="BU104" s="686"/>
      <c r="BV104" s="686"/>
      <c r="BW104" s="686"/>
    </row>
    <row r="105" spans="73:75">
      <c r="BU105" s="686"/>
      <c r="BV105" s="686"/>
      <c r="BW105" s="686"/>
    </row>
    <row r="106" spans="73:75">
      <c r="BU106" s="686"/>
      <c r="BV106" s="686"/>
      <c r="BW106" s="686"/>
    </row>
    <row r="107" spans="73:75">
      <c r="BU107" s="686"/>
      <c r="BV107" s="686"/>
      <c r="BW107" s="686"/>
    </row>
    <row r="108" spans="73:75">
      <c r="BU108" s="686"/>
      <c r="BV108" s="686"/>
      <c r="BW108" s="686"/>
    </row>
    <row r="109" spans="73:75">
      <c r="BU109" s="686"/>
      <c r="BV109" s="686"/>
      <c r="BW109" s="686"/>
    </row>
    <row r="110" spans="73:75">
      <c r="BU110" s="686"/>
      <c r="BV110" s="686"/>
      <c r="BW110" s="686"/>
    </row>
    <row r="111" spans="73:75">
      <c r="BU111" s="686"/>
      <c r="BV111" s="686"/>
      <c r="BW111" s="686"/>
    </row>
    <row r="112" spans="73:75">
      <c r="BU112" s="686"/>
      <c r="BV112" s="686"/>
      <c r="BW112" s="686"/>
    </row>
    <row r="113" spans="73:75">
      <c r="BU113" s="686"/>
      <c r="BV113" s="686"/>
      <c r="BW113" s="686"/>
    </row>
    <row r="114" spans="73:75">
      <c r="BU114" s="686"/>
      <c r="BV114" s="686"/>
      <c r="BW114" s="686"/>
    </row>
    <row r="115" spans="73:75">
      <c r="BU115" s="686"/>
      <c r="BV115" s="686"/>
      <c r="BW115" s="686"/>
    </row>
    <row r="116" spans="73:75">
      <c r="BU116" s="686"/>
      <c r="BV116" s="686"/>
      <c r="BW116" s="686"/>
    </row>
    <row r="117" spans="73:75">
      <c r="BU117" s="686"/>
      <c r="BV117" s="686"/>
      <c r="BW117" s="686"/>
    </row>
    <row r="118" spans="73:75">
      <c r="BU118" s="686"/>
      <c r="BV118" s="686"/>
      <c r="BW118" s="686"/>
    </row>
    <row r="119" spans="73:75">
      <c r="BU119" s="686"/>
      <c r="BV119" s="686"/>
      <c r="BW119" s="686"/>
    </row>
    <row r="120" spans="73:75">
      <c r="BU120" s="686"/>
      <c r="BV120" s="686"/>
      <c r="BW120" s="686"/>
    </row>
    <row r="121" spans="73:75">
      <c r="BU121" s="686"/>
      <c r="BV121" s="686"/>
      <c r="BW121" s="686"/>
    </row>
    <row r="122" spans="73:75">
      <c r="BU122" s="686"/>
      <c r="BV122" s="686"/>
      <c r="BW122" s="686"/>
    </row>
    <row r="123" spans="73:75">
      <c r="BU123" s="686"/>
      <c r="BV123" s="686"/>
      <c r="BW123" s="686"/>
    </row>
    <row r="124" spans="73:75">
      <c r="BU124" s="686"/>
      <c r="BV124" s="686"/>
      <c r="BW124" s="686"/>
    </row>
    <row r="125" spans="73:75">
      <c r="BU125" s="686"/>
      <c r="BV125" s="686"/>
      <c r="BW125" s="686"/>
    </row>
    <row r="126" spans="73:75">
      <c r="BU126" s="686"/>
      <c r="BV126" s="686"/>
      <c r="BW126" s="686"/>
    </row>
    <row r="127" spans="73:75">
      <c r="BU127" s="686"/>
      <c r="BV127" s="686"/>
      <c r="BW127" s="686"/>
    </row>
    <row r="128" spans="73:75">
      <c r="BU128" s="686"/>
      <c r="BV128" s="686"/>
      <c r="BW128" s="686"/>
    </row>
    <row r="129" spans="73:75">
      <c r="BU129" s="686"/>
      <c r="BV129" s="686"/>
      <c r="BW129" s="686"/>
    </row>
    <row r="130" spans="73:75">
      <c r="BU130" s="686"/>
      <c r="BV130" s="686"/>
      <c r="BW130" s="686"/>
    </row>
    <row r="131" spans="73:75">
      <c r="BU131" s="686"/>
      <c r="BV131" s="686"/>
      <c r="BW131" s="686"/>
    </row>
  </sheetData>
  <sheetProtection sheet="1" objects="1" scenarios="1" formatCells="0" insertRows="0" deleteRows="0"/>
  <mergeCells count="4">
    <mergeCell ref="B19:L19"/>
    <mergeCell ref="BO10:BQ10"/>
    <mergeCell ref="BT10:BY10"/>
    <mergeCell ref="B53:G53"/>
  </mergeCells>
  <phoneticPr fontId="29" type="noConversion"/>
  <pageMargins left="0.7" right="0.7" top="0.75" bottom="0.75" header="0.3" footer="0.3"/>
  <pageSetup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CC"/>
    <pageSetUpPr fitToPage="1"/>
  </sheetPr>
  <dimension ref="B1:C37"/>
  <sheetViews>
    <sheetView showGridLines="0" zoomScaleNormal="100" workbookViewId="0">
      <selection activeCell="B4" sqref="B4:C4"/>
    </sheetView>
  </sheetViews>
  <sheetFormatPr defaultRowHeight="12"/>
  <cols>
    <col min="1" max="1" width="2.42578125" style="44" customWidth="1"/>
    <col min="2" max="2" width="9.140625" style="44"/>
    <col min="3" max="3" width="112.85546875" style="44" customWidth="1"/>
    <col min="4" max="258" width="9.140625" style="44"/>
    <col min="259" max="259" width="112.7109375" style="44" customWidth="1"/>
    <col min="260" max="514" width="9.140625" style="44"/>
    <col min="515" max="515" width="112.7109375" style="44" customWidth="1"/>
    <col min="516" max="770" width="9.140625" style="44"/>
    <col min="771" max="771" width="112.7109375" style="44" customWidth="1"/>
    <col min="772" max="1026" width="9.140625" style="44"/>
    <col min="1027" max="1027" width="112.7109375" style="44" customWidth="1"/>
    <col min="1028" max="1282" width="9.140625" style="44"/>
    <col min="1283" max="1283" width="112.7109375" style="44" customWidth="1"/>
    <col min="1284" max="1538" width="9.140625" style="44"/>
    <col min="1539" max="1539" width="112.7109375" style="44" customWidth="1"/>
    <col min="1540" max="1794" width="9.140625" style="44"/>
    <col min="1795" max="1795" width="112.7109375" style="44" customWidth="1"/>
    <col min="1796" max="2050" width="9.140625" style="44"/>
    <col min="2051" max="2051" width="112.7109375" style="44" customWidth="1"/>
    <col min="2052" max="2306" width="9.140625" style="44"/>
    <col min="2307" max="2307" width="112.7109375" style="44" customWidth="1"/>
    <col min="2308" max="2562" width="9.140625" style="44"/>
    <col min="2563" max="2563" width="112.7109375" style="44" customWidth="1"/>
    <col min="2564" max="2818" width="9.140625" style="44"/>
    <col min="2819" max="2819" width="112.7109375" style="44" customWidth="1"/>
    <col min="2820" max="3074" width="9.140625" style="44"/>
    <col min="3075" max="3075" width="112.7109375" style="44" customWidth="1"/>
    <col min="3076" max="3330" width="9.140625" style="44"/>
    <col min="3331" max="3331" width="112.7109375" style="44" customWidth="1"/>
    <col min="3332" max="3586" width="9.140625" style="44"/>
    <col min="3587" max="3587" width="112.7109375" style="44" customWidth="1"/>
    <col min="3588" max="3842" width="9.140625" style="44"/>
    <col min="3843" max="3843" width="112.7109375" style="44" customWidth="1"/>
    <col min="3844" max="4098" width="9.140625" style="44"/>
    <col min="4099" max="4099" width="112.7109375" style="44" customWidth="1"/>
    <col min="4100" max="4354" width="9.140625" style="44"/>
    <col min="4355" max="4355" width="112.7109375" style="44" customWidth="1"/>
    <col min="4356" max="4610" width="9.140625" style="44"/>
    <col min="4611" max="4611" width="112.7109375" style="44" customWidth="1"/>
    <col min="4612" max="4866" width="9.140625" style="44"/>
    <col min="4867" max="4867" width="112.7109375" style="44" customWidth="1"/>
    <col min="4868" max="5122" width="9.140625" style="44"/>
    <col min="5123" max="5123" width="112.7109375" style="44" customWidth="1"/>
    <col min="5124" max="5378" width="9.140625" style="44"/>
    <col min="5379" max="5379" width="112.7109375" style="44" customWidth="1"/>
    <col min="5380" max="5634" width="9.140625" style="44"/>
    <col min="5635" max="5635" width="112.7109375" style="44" customWidth="1"/>
    <col min="5636" max="5890" width="9.140625" style="44"/>
    <col min="5891" max="5891" width="112.7109375" style="44" customWidth="1"/>
    <col min="5892" max="6146" width="9.140625" style="44"/>
    <col min="6147" max="6147" width="112.7109375" style="44" customWidth="1"/>
    <col min="6148" max="6402" width="9.140625" style="44"/>
    <col min="6403" max="6403" width="112.7109375" style="44" customWidth="1"/>
    <col min="6404" max="6658" width="9.140625" style="44"/>
    <col min="6659" max="6659" width="112.7109375" style="44" customWidth="1"/>
    <col min="6660" max="6914" width="9.140625" style="44"/>
    <col min="6915" max="6915" width="112.7109375" style="44" customWidth="1"/>
    <col min="6916" max="7170" width="9.140625" style="44"/>
    <col min="7171" max="7171" width="112.7109375" style="44" customWidth="1"/>
    <col min="7172" max="7426" width="9.140625" style="44"/>
    <col min="7427" max="7427" width="112.7109375" style="44" customWidth="1"/>
    <col min="7428" max="7682" width="9.140625" style="44"/>
    <col min="7683" max="7683" width="112.7109375" style="44" customWidth="1"/>
    <col min="7684" max="7938" width="9.140625" style="44"/>
    <col min="7939" max="7939" width="112.7109375" style="44" customWidth="1"/>
    <col min="7940" max="8194" width="9.140625" style="44"/>
    <col min="8195" max="8195" width="112.7109375" style="44" customWidth="1"/>
    <col min="8196" max="8450" width="9.140625" style="44"/>
    <col min="8451" max="8451" width="112.7109375" style="44" customWidth="1"/>
    <col min="8452" max="8706" width="9.140625" style="44"/>
    <col min="8707" max="8707" width="112.7109375" style="44" customWidth="1"/>
    <col min="8708" max="8962" width="9.140625" style="44"/>
    <col min="8963" max="8963" width="112.7109375" style="44" customWidth="1"/>
    <col min="8964" max="9218" width="9.140625" style="44"/>
    <col min="9219" max="9219" width="112.7109375" style="44" customWidth="1"/>
    <col min="9220" max="9474" width="9.140625" style="44"/>
    <col min="9475" max="9475" width="112.7109375" style="44" customWidth="1"/>
    <col min="9476" max="9730" width="9.140625" style="44"/>
    <col min="9731" max="9731" width="112.7109375" style="44" customWidth="1"/>
    <col min="9732" max="9986" width="9.140625" style="44"/>
    <col min="9987" max="9987" width="112.7109375" style="44" customWidth="1"/>
    <col min="9988" max="10242" width="9.140625" style="44"/>
    <col min="10243" max="10243" width="112.7109375" style="44" customWidth="1"/>
    <col min="10244" max="10498" width="9.140625" style="44"/>
    <col min="10499" max="10499" width="112.7109375" style="44" customWidth="1"/>
    <col min="10500" max="10754" width="9.140625" style="44"/>
    <col min="10755" max="10755" width="112.7109375" style="44" customWidth="1"/>
    <col min="10756" max="11010" width="9.140625" style="44"/>
    <col min="11011" max="11011" width="112.7109375" style="44" customWidth="1"/>
    <col min="11012" max="11266" width="9.140625" style="44"/>
    <col min="11267" max="11267" width="112.7109375" style="44" customWidth="1"/>
    <col min="11268" max="11522" width="9.140625" style="44"/>
    <col min="11523" max="11523" width="112.7109375" style="44" customWidth="1"/>
    <col min="11524" max="11778" width="9.140625" style="44"/>
    <col min="11779" max="11779" width="112.7109375" style="44" customWidth="1"/>
    <col min="11780" max="12034" width="9.140625" style="44"/>
    <col min="12035" max="12035" width="112.7109375" style="44" customWidth="1"/>
    <col min="12036" max="12290" width="9.140625" style="44"/>
    <col min="12291" max="12291" width="112.7109375" style="44" customWidth="1"/>
    <col min="12292" max="12546" width="9.140625" style="44"/>
    <col min="12547" max="12547" width="112.7109375" style="44" customWidth="1"/>
    <col min="12548" max="12802" width="9.140625" style="44"/>
    <col min="12803" max="12803" width="112.7109375" style="44" customWidth="1"/>
    <col min="12804" max="13058" width="9.140625" style="44"/>
    <col min="13059" max="13059" width="112.7109375" style="44" customWidth="1"/>
    <col min="13060" max="13314" width="9.140625" style="44"/>
    <col min="13315" max="13315" width="112.7109375" style="44" customWidth="1"/>
    <col min="13316" max="13570" width="9.140625" style="44"/>
    <col min="13571" max="13571" width="112.7109375" style="44" customWidth="1"/>
    <col min="13572" max="13826" width="9.140625" style="44"/>
    <col min="13827" max="13827" width="112.7109375" style="44" customWidth="1"/>
    <col min="13828" max="14082" width="9.140625" style="44"/>
    <col min="14083" max="14083" width="112.7109375" style="44" customWidth="1"/>
    <col min="14084" max="14338" width="9.140625" style="44"/>
    <col min="14339" max="14339" width="112.7109375" style="44" customWidth="1"/>
    <col min="14340" max="14594" width="9.140625" style="44"/>
    <col min="14595" max="14595" width="112.7109375" style="44" customWidth="1"/>
    <col min="14596" max="14850" width="9.140625" style="44"/>
    <col min="14851" max="14851" width="112.7109375" style="44" customWidth="1"/>
    <col min="14852" max="15106" width="9.140625" style="44"/>
    <col min="15107" max="15107" width="112.7109375" style="44" customWidth="1"/>
    <col min="15108" max="15362" width="9.140625" style="44"/>
    <col min="15363" max="15363" width="112.7109375" style="44" customWidth="1"/>
    <col min="15364" max="15618" width="9.140625" style="44"/>
    <col min="15619" max="15619" width="112.7109375" style="44" customWidth="1"/>
    <col min="15620" max="15874" width="9.140625" style="44"/>
    <col min="15875" max="15875" width="112.7109375" style="44" customWidth="1"/>
    <col min="15876" max="16130" width="9.140625" style="44"/>
    <col min="16131" max="16131" width="112.7109375" style="44" customWidth="1"/>
    <col min="16132" max="16384" width="9.140625" style="44"/>
  </cols>
  <sheetData>
    <row r="1" spans="2:3" ht="18.75">
      <c r="B1" s="121" t="s">
        <v>774</v>
      </c>
      <c r="C1" s="110"/>
    </row>
    <row r="2" spans="2:3" ht="18.75">
      <c r="B2" s="121" t="s">
        <v>1512</v>
      </c>
      <c r="C2" s="110"/>
    </row>
    <row r="3" spans="2:3" ht="12.75" thickBot="1">
      <c r="B3" s="111"/>
      <c r="C3" s="112"/>
    </row>
    <row r="4" spans="2:3">
      <c r="B4" s="1233" t="s">
        <v>1084</v>
      </c>
      <c r="C4" s="1234"/>
    </row>
    <row r="5" spans="2:3">
      <c r="B5" s="113"/>
      <c r="C5" s="114"/>
    </row>
    <row r="6" spans="2:3" ht="30.75" customHeight="1">
      <c r="B6" s="1603" t="s">
        <v>775</v>
      </c>
      <c r="C6" s="1604"/>
    </row>
    <row r="7" spans="2:3">
      <c r="B7" s="113"/>
      <c r="C7" s="114"/>
    </row>
    <row r="8" spans="2:3">
      <c r="B8" s="115" t="s">
        <v>776</v>
      </c>
      <c r="C8" s="116"/>
    </row>
    <row r="9" spans="2:3">
      <c r="B9" s="115"/>
      <c r="C9" s="117" t="s">
        <v>777</v>
      </c>
    </row>
    <row r="10" spans="2:3">
      <c r="B10" s="115"/>
      <c r="C10" s="116"/>
    </row>
    <row r="11" spans="2:3">
      <c r="B11" s="115" t="s">
        <v>778</v>
      </c>
      <c r="C11" s="116"/>
    </row>
    <row r="12" spans="2:3" ht="24">
      <c r="B12" s="115"/>
      <c r="C12" s="117" t="s">
        <v>779</v>
      </c>
    </row>
    <row r="13" spans="2:3">
      <c r="B13" s="115"/>
      <c r="C13" s="120"/>
    </row>
    <row r="14" spans="2:3">
      <c r="B14" s="115" t="s">
        <v>789</v>
      </c>
      <c r="C14" s="116"/>
    </row>
    <row r="15" spans="2:3" ht="36">
      <c r="B15" s="115"/>
      <c r="C15" s="117" t="s">
        <v>790</v>
      </c>
    </row>
    <row r="16" spans="2:3">
      <c r="B16" s="115"/>
      <c r="C16" s="116"/>
    </row>
    <row r="17" spans="2:3">
      <c r="B17" s="115" t="s">
        <v>45</v>
      </c>
      <c r="C17" s="116"/>
    </row>
    <row r="18" spans="2:3">
      <c r="B18" s="115"/>
      <c r="C18" s="117" t="s">
        <v>780</v>
      </c>
    </row>
    <row r="19" spans="2:3">
      <c r="B19" s="115"/>
      <c r="C19" s="120"/>
    </row>
    <row r="20" spans="2:3">
      <c r="B20" s="115" t="s">
        <v>781</v>
      </c>
      <c r="C20" s="116"/>
    </row>
    <row r="21" spans="2:3" ht="24">
      <c r="B21" s="115"/>
      <c r="C21" s="117" t="s">
        <v>782</v>
      </c>
    </row>
    <row r="22" spans="2:3">
      <c r="B22" s="115"/>
      <c r="C22" s="120"/>
    </row>
    <row r="23" spans="2:3">
      <c r="B23" s="115" t="s">
        <v>783</v>
      </c>
      <c r="C23" s="116"/>
    </row>
    <row r="24" spans="2:3" ht="60">
      <c r="B24" s="115"/>
      <c r="C24" s="117" t="s">
        <v>784</v>
      </c>
    </row>
    <row r="25" spans="2:3" ht="14.25" customHeight="1">
      <c r="B25" s="115"/>
      <c r="C25" s="120"/>
    </row>
    <row r="26" spans="2:3">
      <c r="B26" s="115" t="s">
        <v>600</v>
      </c>
      <c r="C26" s="116"/>
    </row>
    <row r="27" spans="2:3" ht="48">
      <c r="B27" s="115"/>
      <c r="C27" s="117" t="s">
        <v>1517</v>
      </c>
    </row>
    <row r="28" spans="2:3">
      <c r="B28" s="115"/>
      <c r="C28" s="120"/>
    </row>
    <row r="29" spans="2:3">
      <c r="B29" s="115" t="s">
        <v>745</v>
      </c>
      <c r="C29" s="116"/>
    </row>
    <row r="30" spans="2:3" ht="24">
      <c r="B30" s="115"/>
      <c r="C30" s="117" t="s">
        <v>785</v>
      </c>
    </row>
    <row r="31" spans="2:3">
      <c r="B31" s="115"/>
      <c r="C31" s="116"/>
    </row>
    <row r="32" spans="2:3">
      <c r="B32" s="115" t="s">
        <v>786</v>
      </c>
      <c r="C32" s="116"/>
    </row>
    <row r="33" spans="2:3">
      <c r="B33" s="115"/>
      <c r="C33" s="117" t="s">
        <v>1258</v>
      </c>
    </row>
    <row r="34" spans="2:3">
      <c r="B34" s="115"/>
      <c r="C34" s="116"/>
    </row>
    <row r="35" spans="2:3">
      <c r="B35" s="115" t="s">
        <v>787</v>
      </c>
      <c r="C35" s="116"/>
    </row>
    <row r="36" spans="2:3" ht="24">
      <c r="B36" s="115"/>
      <c r="C36" s="117" t="s">
        <v>788</v>
      </c>
    </row>
    <row r="37" spans="2:3" ht="9.75" customHeight="1" thickBot="1">
      <c r="B37" s="308"/>
      <c r="C37" s="309"/>
    </row>
  </sheetData>
  <sheetProtection sheet="1" objects="1" scenarios="1"/>
  <mergeCells count="2">
    <mergeCell ref="B4:C4"/>
    <mergeCell ref="B6:C6"/>
  </mergeCells>
  <pageMargins left="0.7" right="0.7" top="0.75" bottom="0.75" header="0.3" footer="0.3"/>
  <pageSetup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6" tint="0.39997558519241921"/>
  </sheetPr>
  <dimension ref="A1:M32"/>
  <sheetViews>
    <sheetView showGridLines="0" workbookViewId="0"/>
  </sheetViews>
  <sheetFormatPr defaultRowHeight="12.75"/>
  <cols>
    <col min="1" max="1" width="2" style="764" bestFit="1" customWidth="1"/>
    <col min="2" max="2" width="31.5703125" style="764" customWidth="1"/>
    <col min="3" max="16384" width="9.140625" style="764"/>
  </cols>
  <sheetData>
    <row r="1" spans="1:13" ht="18.75">
      <c r="B1" s="741" t="s">
        <v>791</v>
      </c>
    </row>
    <row r="2" spans="1:13" ht="16.5" customHeight="1">
      <c r="B2" s="685"/>
    </row>
    <row r="3" spans="1:13">
      <c r="A3" s="684"/>
      <c r="B3" s="674" t="s">
        <v>792</v>
      </c>
    </row>
    <row r="4" spans="1:13">
      <c r="A4" s="311">
        <v>1</v>
      </c>
      <c r="B4" s="772" t="s">
        <v>1492</v>
      </c>
      <c r="C4" s="765"/>
      <c r="D4" s="765"/>
      <c r="E4" s="765"/>
      <c r="F4" s="765"/>
      <c r="G4" s="765"/>
      <c r="H4" s="765"/>
      <c r="I4" s="765"/>
      <c r="J4" s="765"/>
      <c r="K4" s="765"/>
      <c r="L4" s="765"/>
      <c r="M4" s="766"/>
    </row>
    <row r="5" spans="1:13">
      <c r="A5" s="311">
        <v>2</v>
      </c>
      <c r="B5" s="772" t="s">
        <v>793</v>
      </c>
      <c r="C5" s="765"/>
      <c r="D5" s="765"/>
      <c r="E5" s="765"/>
      <c r="F5" s="765"/>
      <c r="G5" s="765"/>
      <c r="H5" s="765"/>
      <c r="I5" s="765"/>
      <c r="J5" s="765"/>
      <c r="K5" s="765"/>
      <c r="L5" s="765"/>
      <c r="M5" s="766"/>
    </row>
    <row r="6" spans="1:13">
      <c r="A6" s="311">
        <v>3</v>
      </c>
      <c r="B6" s="772" t="s">
        <v>794</v>
      </c>
      <c r="C6" s="765"/>
      <c r="D6" s="765"/>
      <c r="E6" s="765"/>
      <c r="F6" s="765"/>
      <c r="G6" s="765"/>
      <c r="H6" s="765"/>
      <c r="I6" s="765"/>
      <c r="J6" s="765"/>
      <c r="K6" s="765"/>
      <c r="L6" s="765"/>
    </row>
    <row r="7" spans="1:13" s="766" customFormat="1"/>
    <row r="8" spans="1:13">
      <c r="B8" s="773"/>
      <c r="C8" s="1607" t="s">
        <v>109</v>
      </c>
      <c r="D8" s="1606"/>
      <c r="E8" s="1607" t="s">
        <v>795</v>
      </c>
      <c r="F8" s="1606"/>
      <c r="G8" s="684"/>
      <c r="H8" s="684"/>
    </row>
    <row r="9" spans="1:13">
      <c r="B9" s="773"/>
      <c r="C9" s="773" t="s">
        <v>119</v>
      </c>
      <c r="D9" s="773" t="s">
        <v>120</v>
      </c>
      <c r="E9" s="773" t="s">
        <v>119</v>
      </c>
      <c r="F9" s="773" t="s">
        <v>120</v>
      </c>
      <c r="G9" s="684" t="s">
        <v>88</v>
      </c>
      <c r="H9" s="684"/>
    </row>
    <row r="10" spans="1:13">
      <c r="B10" s="774" t="s">
        <v>796</v>
      </c>
      <c r="C10" s="767"/>
      <c r="D10" s="767"/>
      <c r="E10" s="767"/>
      <c r="F10" s="767"/>
      <c r="G10" s="684"/>
      <c r="H10" s="684"/>
    </row>
    <row r="11" spans="1:13">
      <c r="B11" s="774" t="s">
        <v>797</v>
      </c>
      <c r="C11" s="1198">
        <v>0.56999999999999995</v>
      </c>
      <c r="D11" s="767"/>
      <c r="E11" s="1198">
        <v>0.56999999999999995</v>
      </c>
      <c r="F11" s="767"/>
      <c r="G11" s="684"/>
      <c r="H11" s="684"/>
    </row>
    <row r="12" spans="1:13">
      <c r="B12" s="775"/>
      <c r="C12" s="768"/>
      <c r="D12" s="768"/>
      <c r="E12" s="768"/>
      <c r="F12" s="768"/>
      <c r="G12" s="684"/>
      <c r="H12" s="684"/>
    </row>
    <row r="13" spans="1:13">
      <c r="B13" s="775" t="s">
        <v>798</v>
      </c>
      <c r="C13" s="776" t="str">
        <f>IF(C10="","",C10/0.87)</f>
        <v/>
      </c>
      <c r="D13" s="776" t="str">
        <f>IF(D10="","",D10/0.87)</f>
        <v/>
      </c>
      <c r="E13" s="776" t="str">
        <f>IF(E10="","",E10/0.87)</f>
        <v/>
      </c>
      <c r="F13" s="776" t="str">
        <f>IF(F10="","",F10/0.87)</f>
        <v/>
      </c>
      <c r="G13" s="684"/>
      <c r="H13" s="684"/>
    </row>
    <row r="14" spans="1:13">
      <c r="B14" s="775" t="s">
        <v>799</v>
      </c>
      <c r="C14" s="776">
        <f>IF(C11="","",1/(1/C11-0.17))</f>
        <v>0.63115934005093555</v>
      </c>
      <c r="D14" s="776" t="str">
        <f>IF(D11="","",1/(1/D11-0.17))</f>
        <v/>
      </c>
      <c r="E14" s="776">
        <f>IF(E11="","",1/(1/E11-0.17))</f>
        <v>0.63115934005093555</v>
      </c>
      <c r="F14" s="776" t="str">
        <f>IF(F11="","",1/(1/F11-0.17))</f>
        <v/>
      </c>
      <c r="G14" s="684"/>
      <c r="H14" s="684"/>
    </row>
    <row r="15" spans="1:13">
      <c r="B15" s="684"/>
      <c r="C15" s="684"/>
      <c r="D15" s="684"/>
      <c r="E15" s="684"/>
      <c r="F15" s="684"/>
      <c r="G15" s="684"/>
      <c r="H15" s="684"/>
    </row>
    <row r="16" spans="1:13">
      <c r="B16" s="777" t="s">
        <v>1491</v>
      </c>
      <c r="C16" s="311"/>
      <c r="D16" s="311"/>
      <c r="E16" s="311"/>
      <c r="F16" s="311"/>
      <c r="G16" s="311"/>
      <c r="H16" s="311"/>
    </row>
    <row r="17" spans="2:9">
      <c r="B17" s="1205" t="s">
        <v>800</v>
      </c>
      <c r="C17" s="1605" t="s">
        <v>801</v>
      </c>
      <c r="D17" s="1606"/>
      <c r="E17" s="1605" t="s">
        <v>802</v>
      </c>
      <c r="F17" s="1606"/>
      <c r="G17" s="1605" t="s">
        <v>803</v>
      </c>
      <c r="H17" s="1606"/>
    </row>
    <row r="18" spans="2:9">
      <c r="B18" s="1210" t="s">
        <v>1489</v>
      </c>
      <c r="C18" s="310" t="s">
        <v>804</v>
      </c>
      <c r="D18" s="310" t="s">
        <v>232</v>
      </c>
      <c r="E18" s="310" t="s">
        <v>804</v>
      </c>
      <c r="F18" s="310" t="s">
        <v>232</v>
      </c>
      <c r="G18" s="310" t="s">
        <v>804</v>
      </c>
      <c r="H18" s="310" t="s">
        <v>232</v>
      </c>
    </row>
    <row r="19" spans="2:9">
      <c r="B19" s="1206" t="s">
        <v>1488</v>
      </c>
      <c r="C19" s="1209">
        <v>0.56999999999999995</v>
      </c>
      <c r="D19" s="1207">
        <v>0.39</v>
      </c>
      <c r="E19" s="1209">
        <v>0.56999999999999995</v>
      </c>
      <c r="F19" s="1207">
        <v>0.49</v>
      </c>
      <c r="G19" s="1209">
        <v>0.56999999999999995</v>
      </c>
      <c r="H19" s="1207">
        <v>0.49</v>
      </c>
    </row>
    <row r="20" spans="2:9">
      <c r="B20" s="1208" t="s">
        <v>1490</v>
      </c>
      <c r="C20" s="1209">
        <v>0.56999999999999995</v>
      </c>
      <c r="D20" s="1207">
        <v>0.39</v>
      </c>
      <c r="E20" s="1209">
        <v>0.56999999999999995</v>
      </c>
      <c r="F20" s="1207">
        <v>0.39</v>
      </c>
      <c r="G20" s="1209">
        <v>0.56999999999999995</v>
      </c>
      <c r="H20" s="1207">
        <v>0.39</v>
      </c>
      <c r="I20" s="770"/>
    </row>
    <row r="21" spans="2:9">
      <c r="B21" s="684"/>
      <c r="C21" s="769"/>
      <c r="D21" s="769"/>
      <c r="E21" s="769"/>
      <c r="F21" s="769"/>
      <c r="G21" s="769"/>
      <c r="H21" s="769"/>
      <c r="I21" s="770"/>
    </row>
    <row r="22" spans="2:9">
      <c r="B22" s="1205" t="s">
        <v>805</v>
      </c>
      <c r="C22" s="1605" t="s">
        <v>801</v>
      </c>
      <c r="D22" s="1606"/>
      <c r="E22" s="1605" t="s">
        <v>802</v>
      </c>
      <c r="F22" s="1606"/>
      <c r="G22" s="1605" t="s">
        <v>803</v>
      </c>
      <c r="H22" s="1606"/>
    </row>
    <row r="23" spans="2:9">
      <c r="B23" s="1210" t="s">
        <v>1489</v>
      </c>
      <c r="C23" s="310" t="s">
        <v>804</v>
      </c>
      <c r="D23" s="310" t="s">
        <v>232</v>
      </c>
      <c r="E23" s="310" t="s">
        <v>804</v>
      </c>
      <c r="F23" s="310" t="s">
        <v>232</v>
      </c>
      <c r="G23" s="310" t="s">
        <v>804</v>
      </c>
      <c r="H23" s="310" t="s">
        <v>232</v>
      </c>
    </row>
    <row r="24" spans="2:9">
      <c r="B24" s="1206" t="s">
        <v>1488</v>
      </c>
      <c r="C24" s="1209">
        <v>0.56999999999999995</v>
      </c>
      <c r="D24" s="1207">
        <v>0.39</v>
      </c>
      <c r="E24" s="1209">
        <v>0.56999999999999995</v>
      </c>
      <c r="F24" s="1207">
        <v>0.49</v>
      </c>
      <c r="G24" s="1209">
        <v>0.56999999999999995</v>
      </c>
      <c r="H24" s="1207">
        <v>0.49</v>
      </c>
    </row>
    <row r="25" spans="2:9">
      <c r="B25" s="1208" t="s">
        <v>1490</v>
      </c>
      <c r="C25" s="1209">
        <v>0.56999999999999995</v>
      </c>
      <c r="D25" s="1207">
        <v>0.39</v>
      </c>
      <c r="E25" s="1209">
        <v>0.56999999999999995</v>
      </c>
      <c r="F25" s="1207">
        <v>0.39</v>
      </c>
      <c r="G25" s="1209">
        <v>0.56999999999999995</v>
      </c>
      <c r="H25" s="1207">
        <v>0.39</v>
      </c>
    </row>
    <row r="26" spans="2:9">
      <c r="B26" s="771"/>
      <c r="C26" s="771"/>
      <c r="D26" s="771"/>
      <c r="E26" s="771"/>
      <c r="F26" s="771"/>
      <c r="G26" s="771"/>
    </row>
    <row r="27" spans="2:9">
      <c r="B27" s="1239" t="s">
        <v>1135</v>
      </c>
      <c r="C27" s="1240"/>
      <c r="D27" s="1240"/>
      <c r="E27" s="1240"/>
      <c r="F27" s="1240"/>
      <c r="G27" s="1241"/>
    </row>
    <row r="28" spans="2:9">
      <c r="B28" s="423"/>
      <c r="C28" s="424"/>
      <c r="D28" s="424"/>
      <c r="E28" s="424"/>
      <c r="F28" s="424"/>
      <c r="G28" s="425"/>
    </row>
    <row r="29" spans="2:9">
      <c r="B29" s="426"/>
      <c r="C29" s="427"/>
      <c r="D29" s="427"/>
      <c r="E29" s="427"/>
      <c r="F29" s="427"/>
      <c r="G29" s="428"/>
    </row>
    <row r="30" spans="2:9">
      <c r="B30" s="429"/>
      <c r="C30" s="427"/>
      <c r="D30" s="427"/>
      <c r="E30" s="427"/>
      <c r="F30" s="427"/>
      <c r="G30" s="428"/>
    </row>
    <row r="31" spans="2:9">
      <c r="B31" s="429"/>
      <c r="C31" s="427"/>
      <c r="D31" s="427"/>
      <c r="E31" s="427"/>
      <c r="F31" s="427"/>
      <c r="G31" s="428"/>
    </row>
    <row r="32" spans="2:9">
      <c r="B32" s="430"/>
      <c r="C32" s="431"/>
      <c r="D32" s="431"/>
      <c r="E32" s="431"/>
      <c r="F32" s="431"/>
      <c r="G32" s="432"/>
    </row>
  </sheetData>
  <sheetProtection sheet="1" objects="1" scenarios="1" formatCells="0" insertColumns="0" insertRows="0" deleteColumns="0" deleteRows="0"/>
  <mergeCells count="9">
    <mergeCell ref="B27:G27"/>
    <mergeCell ref="C22:D22"/>
    <mergeCell ref="E22:F22"/>
    <mergeCell ref="G22:H22"/>
    <mergeCell ref="C8:D8"/>
    <mergeCell ref="E8:F8"/>
    <mergeCell ref="C17:D17"/>
    <mergeCell ref="E17:F17"/>
    <mergeCell ref="G17:H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6" tint="0.39997558519241921"/>
  </sheetPr>
  <dimension ref="A1:AA71"/>
  <sheetViews>
    <sheetView showGridLines="0" workbookViewId="0">
      <selection activeCell="A8" sqref="A8"/>
    </sheetView>
  </sheetViews>
  <sheetFormatPr defaultRowHeight="12.75"/>
  <cols>
    <col min="1" max="1" width="2" style="411" bestFit="1" customWidth="1"/>
    <col min="2" max="2" width="62" style="411" bestFit="1" customWidth="1"/>
    <col min="3" max="3" width="16.140625" style="411" customWidth="1"/>
    <col min="4" max="4" width="10.85546875" style="411" customWidth="1"/>
    <col min="5" max="5" width="11.85546875" style="411" customWidth="1"/>
    <col min="6" max="6" width="11.85546875" style="671" customWidth="1"/>
    <col min="7" max="7" width="20.28515625" style="411" bestFit="1" customWidth="1"/>
    <col min="8" max="8" width="13.85546875" style="411" customWidth="1"/>
    <col min="9" max="9" width="7.28515625" style="411" customWidth="1"/>
    <col min="10" max="10" width="10.42578125" style="411" customWidth="1"/>
    <col min="11" max="11" width="4.28515625" style="411" customWidth="1"/>
    <col min="12" max="15" width="9.140625" style="411"/>
    <col min="16" max="16" width="10.5703125" style="411" customWidth="1"/>
    <col min="17" max="26" width="9.140625" style="411"/>
    <col min="27" max="27" width="0" style="411" hidden="1" customWidth="1"/>
    <col min="28" max="16384" width="9.140625" style="411"/>
  </cols>
  <sheetData>
    <row r="1" spans="1:27" ht="18.75">
      <c r="B1" s="436" t="s">
        <v>952</v>
      </c>
    </row>
    <row r="3" spans="1:27">
      <c r="B3" s="312" t="s">
        <v>792</v>
      </c>
    </row>
    <row r="4" spans="1:27">
      <c r="A4" s="312">
        <v>1</v>
      </c>
      <c r="B4" s="312" t="s">
        <v>1392</v>
      </c>
      <c r="AA4" s="411" t="s">
        <v>953</v>
      </c>
    </row>
    <row r="5" spans="1:27">
      <c r="A5" s="312">
        <v>2</v>
      </c>
      <c r="B5" s="316" t="s">
        <v>954</v>
      </c>
      <c r="AA5" s="411" t="s">
        <v>955</v>
      </c>
    </row>
    <row r="6" spans="1:27">
      <c r="A6" s="312">
        <v>3</v>
      </c>
      <c r="B6" s="312" t="s">
        <v>1115</v>
      </c>
      <c r="C6" s="826"/>
      <c r="D6" s="826"/>
      <c r="J6" s="827"/>
      <c r="K6" s="827"/>
      <c r="L6" s="827"/>
      <c r="M6" s="827"/>
      <c r="N6" s="827"/>
      <c r="AA6" s="411" t="s">
        <v>956</v>
      </c>
    </row>
    <row r="7" spans="1:27">
      <c r="A7" s="312">
        <v>4</v>
      </c>
      <c r="B7" s="847" t="s">
        <v>1116</v>
      </c>
      <c r="C7" s="829"/>
      <c r="D7" s="829"/>
    </row>
    <row r="8" spans="1:27" ht="12" customHeight="1">
      <c r="B8" s="826"/>
      <c r="C8" s="826"/>
      <c r="D8" s="826"/>
      <c r="G8" s="404" t="s">
        <v>957</v>
      </c>
      <c r="H8" s="69"/>
      <c r="I8" s="312" t="s">
        <v>958</v>
      </c>
    </row>
    <row r="9" spans="1:27">
      <c r="B9" s="404"/>
      <c r="C9" s="849" t="s">
        <v>120</v>
      </c>
      <c r="D9" s="849" t="s">
        <v>119</v>
      </c>
      <c r="G9" s="404" t="s">
        <v>959</v>
      </c>
      <c r="H9" s="438">
        <f>IF(H8="Low",12,IF(H8="Medium",25,44))</f>
        <v>44</v>
      </c>
      <c r="I9" s="312" t="s">
        <v>960</v>
      </c>
      <c r="L9" s="830"/>
    </row>
    <row r="10" spans="1:27">
      <c r="B10" s="438" t="s">
        <v>1187</v>
      </c>
      <c r="C10" s="850" t="e">
        <f>($H$11*$H$27+$H$12*$H$28)/($H$27+$H$28)</f>
        <v>#DIV/0!</v>
      </c>
      <c r="D10" s="438" t="e">
        <f>(H27*'Water Savings'!D20+'DHW Demand'!H28*'Water Savings'!D19)/('DHW Demand'!H27+'DHW Demand'!H28)</f>
        <v>#DIV/0!</v>
      </c>
      <c r="G10" s="404" t="s">
        <v>961</v>
      </c>
      <c r="H10" s="338"/>
      <c r="I10" s="312" t="s">
        <v>1394</v>
      </c>
      <c r="J10" s="338">
        <v>80</v>
      </c>
      <c r="K10" s="411" t="s">
        <v>1393</v>
      </c>
    </row>
    <row r="11" spans="1:27">
      <c r="B11" s="848" t="s">
        <v>1186</v>
      </c>
      <c r="C11" s="851">
        <f>H10</f>
        <v>0</v>
      </c>
      <c r="D11" s="856">
        <f>'Water Savings'!D18</f>
        <v>2.5</v>
      </c>
      <c r="G11" s="404" t="s">
        <v>962</v>
      </c>
      <c r="H11" s="338"/>
      <c r="I11" s="312" t="s">
        <v>1394</v>
      </c>
      <c r="J11" s="338">
        <v>80</v>
      </c>
      <c r="K11" s="411" t="s">
        <v>1393</v>
      </c>
    </row>
    <row r="12" spans="1:27">
      <c r="B12" s="439" t="s">
        <v>963</v>
      </c>
      <c r="C12" s="852" t="e">
        <f>D12*(0.36+0.54*C11/2.5+0.1*C10/2.5)</f>
        <v>#DIV/0!</v>
      </c>
      <c r="D12" s="857">
        <f>H9*H25</f>
        <v>0</v>
      </c>
      <c r="E12" s="832"/>
      <c r="G12" s="404" t="s">
        <v>964</v>
      </c>
      <c r="H12" s="338"/>
      <c r="I12" s="312" t="s">
        <v>1394</v>
      </c>
      <c r="J12" s="338">
        <v>80</v>
      </c>
      <c r="K12" s="411" t="s">
        <v>1393</v>
      </c>
    </row>
    <row r="13" spans="1:27">
      <c r="B13" s="439" t="s">
        <v>965</v>
      </c>
      <c r="C13" s="852" t="e">
        <f>$C$12+$K$16+K14*H22</f>
        <v>#DIV/0!</v>
      </c>
      <c r="D13" s="857">
        <f>$D$12+$K$15+K13*H22</f>
        <v>0</v>
      </c>
      <c r="E13" s="832"/>
      <c r="G13" s="404" t="s">
        <v>966</v>
      </c>
      <c r="H13" s="438">
        <f>IF(H20="Y",1290,0)</f>
        <v>0</v>
      </c>
      <c r="I13" s="312" t="s">
        <v>967</v>
      </c>
      <c r="K13" s="861">
        <f>H13/365</f>
        <v>0</v>
      </c>
      <c r="L13" s="312" t="s">
        <v>968</v>
      </c>
    </row>
    <row r="14" spans="1:27">
      <c r="B14" s="439" t="s">
        <v>969</v>
      </c>
      <c r="C14" s="852" t="e">
        <f>C13/$B$63/60</f>
        <v>#DIV/0!</v>
      </c>
      <c r="D14" s="858">
        <f>D13/$B$63/60</f>
        <v>0</v>
      </c>
      <c r="E14" s="859" t="s">
        <v>1111</v>
      </c>
      <c r="G14" s="404" t="s">
        <v>970</v>
      </c>
      <c r="H14" s="438">
        <f>IF(H20="N",0,IF(H21="Y",860,1290))</f>
        <v>1290</v>
      </c>
      <c r="I14" s="312" t="s">
        <v>967</v>
      </c>
      <c r="K14" s="861">
        <f>H14/365</f>
        <v>3.5342465753424657</v>
      </c>
      <c r="L14" s="312" t="s">
        <v>968</v>
      </c>
      <c r="O14" s="832"/>
    </row>
    <row r="15" spans="1:27">
      <c r="B15" s="438" t="s">
        <v>1108</v>
      </c>
      <c r="C15" s="853" t="e">
        <f>C12/B63/60</f>
        <v>#DIV/0!</v>
      </c>
      <c r="D15" s="853">
        <f>D12/B63/60</f>
        <v>0</v>
      </c>
      <c r="E15" s="853" t="e">
        <f>D15-C15</f>
        <v>#DIV/0!</v>
      </c>
      <c r="G15" s="404" t="s">
        <v>971</v>
      </c>
      <c r="H15" s="860">
        <f>IF($H$31=0,0,IF($H$33="Common",0.2*30943,0.2*12768))</f>
        <v>0</v>
      </c>
      <c r="I15" s="312" t="s">
        <v>972</v>
      </c>
      <c r="K15" s="861">
        <f>H15*H31/365</f>
        <v>0</v>
      </c>
      <c r="L15" s="312" t="s">
        <v>973</v>
      </c>
    </row>
    <row r="16" spans="1:27">
      <c r="B16" s="438" t="s">
        <v>1109</v>
      </c>
      <c r="C16" s="853">
        <f>K16/B63/60</f>
        <v>0</v>
      </c>
      <c r="D16" s="853">
        <f>K15/B63/60</f>
        <v>0</v>
      </c>
      <c r="E16" s="853">
        <f t="shared" ref="E16:E17" si="0">D16-C16</f>
        <v>0</v>
      </c>
      <c r="G16" s="404" t="s">
        <v>974</v>
      </c>
      <c r="H16" s="860">
        <f>IF($H$31=0,0,IF($H$32="N", $H$15, IF($H$33="Common",0.2*14032,0.2*5790)))</f>
        <v>0</v>
      </c>
      <c r="I16" s="312" t="s">
        <v>972</v>
      </c>
      <c r="K16" s="861">
        <f>H16*H31/365</f>
        <v>0</v>
      </c>
      <c r="L16" s="312" t="s">
        <v>973</v>
      </c>
    </row>
    <row r="17" spans="2:13">
      <c r="B17" s="438" t="s">
        <v>1110</v>
      </c>
      <c r="C17" s="853">
        <f>(K14*H22)/$B$63/60</f>
        <v>0</v>
      </c>
      <c r="D17" s="629">
        <f>(K13*H22)/$B$63/60</f>
        <v>0</v>
      </c>
      <c r="E17" s="853">
        <f t="shared" si="0"/>
        <v>0</v>
      </c>
    </row>
    <row r="18" spans="2:13">
      <c r="B18" s="438"/>
      <c r="C18" s="853"/>
      <c r="D18" s="833"/>
      <c r="E18" s="834"/>
    </row>
    <row r="19" spans="2:13">
      <c r="B19" s="438" t="str">
        <f>IF(AND(H21="Y",H32="Y"),"Is the parametric run for clothes washers modeled before the dishwashers?","")</f>
        <v/>
      </c>
      <c r="C19" s="854" t="s">
        <v>978</v>
      </c>
      <c r="D19" s="833"/>
      <c r="E19" s="834"/>
      <c r="H19" s="315" t="s">
        <v>977</v>
      </c>
    </row>
    <row r="20" spans="2:13">
      <c r="B20" s="438" t="str">
        <f>IF(H32="Y","GPM for Clothes Washers parametric run","")</f>
        <v/>
      </c>
      <c r="C20" s="855">
        <f>IF(AND(H21="Y",H32="Y"),IF(C19="Y",(D14-E16),(D14-E17-E16)),(D14-E16))</f>
        <v>0</v>
      </c>
      <c r="D20" s="834"/>
      <c r="E20" s="834"/>
      <c r="H20" s="69"/>
      <c r="I20" s="312" t="s">
        <v>979</v>
      </c>
    </row>
    <row r="21" spans="2:13">
      <c r="B21" s="438" t="str">
        <f>IF(H21="Y","GPM for Dishwashers parametric run","")</f>
        <v/>
      </c>
      <c r="C21" s="855">
        <f>IF(AND(H21="Y",H32="Y"),IF(C19="Y",(D14-E16-E17),(D14-E17)),(D14-E17))</f>
        <v>0</v>
      </c>
      <c r="D21" s="834"/>
      <c r="E21" s="835"/>
      <c r="H21" s="69"/>
      <c r="I21" s="312" t="s">
        <v>980</v>
      </c>
    </row>
    <row r="22" spans="2:13">
      <c r="B22" s="438" t="s">
        <v>1119</v>
      </c>
      <c r="C22" s="855" t="e">
        <f>MIN(C20:C21)-E15</f>
        <v>#DIV/0!</v>
      </c>
      <c r="D22" s="834"/>
      <c r="E22" s="835"/>
      <c r="H22" s="69"/>
      <c r="I22" s="312" t="s">
        <v>826</v>
      </c>
    </row>
    <row r="23" spans="2:13" ht="13.5" thickBot="1">
      <c r="B23" s="416"/>
      <c r="C23" s="416"/>
      <c r="D23" s="416"/>
      <c r="H23" s="827"/>
      <c r="L23" s="836"/>
    </row>
    <row r="24" spans="2:13">
      <c r="B24" s="866" t="s">
        <v>1122</v>
      </c>
      <c r="C24" s="346"/>
      <c r="D24" s="346"/>
      <c r="E24" s="867"/>
      <c r="H24" s="315" t="s">
        <v>981</v>
      </c>
    </row>
    <row r="25" spans="2:13">
      <c r="B25" s="122" t="s">
        <v>1120</v>
      </c>
      <c r="C25" s="321"/>
      <c r="D25" s="321"/>
      <c r="E25" s="343"/>
      <c r="H25" s="862">
        <f>'Basic Info'!C4+'Basic Info'!C5+2*'Basic Info'!C6+3*'Basic Info'!C7+4*'Basic Info'!C8</f>
        <v>0</v>
      </c>
      <c r="I25" s="312" t="s">
        <v>982</v>
      </c>
    </row>
    <row r="26" spans="2:13" ht="12.75" customHeight="1">
      <c r="B26" s="1608" t="s">
        <v>1121</v>
      </c>
      <c r="C26" s="1609"/>
      <c r="D26" s="1609"/>
      <c r="E26" s="1610"/>
      <c r="H26" s="863">
        <f>SUM('Basic Info'!C4:C8)</f>
        <v>0</v>
      </c>
      <c r="I26" s="312" t="s">
        <v>42</v>
      </c>
    </row>
    <row r="27" spans="2:13">
      <c r="B27" s="1608"/>
      <c r="C27" s="1609"/>
      <c r="D27" s="1609"/>
      <c r="E27" s="1610"/>
      <c r="F27" s="841"/>
      <c r="G27" s="416"/>
      <c r="H27" s="69"/>
      <c r="I27" s="312" t="s">
        <v>983</v>
      </c>
      <c r="L27" s="69"/>
      <c r="M27" s="312" t="s">
        <v>984</v>
      </c>
    </row>
    <row r="28" spans="2:13">
      <c r="B28" s="868" t="s">
        <v>1113</v>
      </c>
      <c r="C28" s="321"/>
      <c r="D28" s="321"/>
      <c r="E28" s="343"/>
      <c r="F28" s="841"/>
      <c r="G28" s="416"/>
      <c r="H28" s="69"/>
      <c r="I28" s="312" t="s">
        <v>985</v>
      </c>
      <c r="L28" s="69"/>
      <c r="M28" s="312" t="s">
        <v>986</v>
      </c>
    </row>
    <row r="29" spans="2:13">
      <c r="B29" s="839"/>
      <c r="C29" s="416"/>
      <c r="D29" s="416"/>
      <c r="E29" s="840"/>
      <c r="H29" s="827"/>
    </row>
    <row r="30" spans="2:13">
      <c r="B30" s="626"/>
      <c r="C30" s="849" t="s">
        <v>1112</v>
      </c>
      <c r="D30" s="849" t="s">
        <v>43</v>
      </c>
      <c r="E30" s="840"/>
      <c r="H30" s="315" t="s">
        <v>987</v>
      </c>
    </row>
    <row r="31" spans="2:13">
      <c r="B31" s="637" t="str">
        <f>IF(H32="Y","GPM for Clothes Washers parametric run","")</f>
        <v/>
      </c>
      <c r="C31" s="324" t="s">
        <v>1114</v>
      </c>
      <c r="D31" s="855">
        <f>C20</f>
        <v>0</v>
      </c>
      <c r="E31" s="840"/>
      <c r="H31" s="69"/>
      <c r="I31" s="312" t="s">
        <v>988</v>
      </c>
    </row>
    <row r="32" spans="2:13">
      <c r="B32" s="637" t="str">
        <f>IF(H21="Y","GPM for Dishwashers parametric run","")</f>
        <v/>
      </c>
      <c r="C32" s="324" t="s">
        <v>1114</v>
      </c>
      <c r="D32" s="855">
        <f>C21</f>
        <v>0</v>
      </c>
      <c r="E32" s="840"/>
      <c r="H32" s="69"/>
      <c r="I32" s="312" t="s">
        <v>989</v>
      </c>
    </row>
    <row r="33" spans="2:9">
      <c r="B33" s="637" t="s">
        <v>1118</v>
      </c>
      <c r="C33" s="864">
        <f>D33*65*8.33*60*1*0.000001</f>
        <v>0</v>
      </c>
      <c r="D33" s="873">
        <f>MIN(D31:D32)</f>
        <v>0</v>
      </c>
      <c r="E33" s="840"/>
      <c r="H33" s="69"/>
      <c r="I33" s="333" t="s">
        <v>990</v>
      </c>
    </row>
    <row r="34" spans="2:9">
      <c r="B34" s="637" t="s">
        <v>1117</v>
      </c>
      <c r="C34" s="864" t="e">
        <f>D34*65*8.33*60*1*0.000001</f>
        <v>#DIV/0!</v>
      </c>
      <c r="D34" s="873" t="e">
        <f>D33-E15</f>
        <v>#DIV/0!</v>
      </c>
      <c r="E34" s="840"/>
      <c r="H34" s="827"/>
    </row>
    <row r="35" spans="2:9" ht="13.5" thickBot="1">
      <c r="B35" s="843"/>
      <c r="C35" s="844"/>
      <c r="D35" s="844"/>
      <c r="E35" s="845"/>
      <c r="H35" s="315" t="s">
        <v>991</v>
      </c>
    </row>
    <row r="36" spans="2:9">
      <c r="B36" s="416"/>
      <c r="C36" s="416"/>
      <c r="D36" s="416"/>
      <c r="H36" s="69"/>
      <c r="I36" s="312" t="s">
        <v>992</v>
      </c>
    </row>
    <row r="37" spans="2:9">
      <c r="H37" s="69"/>
      <c r="I37" s="312" t="s">
        <v>993</v>
      </c>
    </row>
    <row r="38" spans="2:9">
      <c r="B38" s="404" t="s">
        <v>975</v>
      </c>
      <c r="C38" s="404" t="s">
        <v>976</v>
      </c>
      <c r="D38" s="869" t="s">
        <v>120</v>
      </c>
      <c r="E38" s="870" t="s">
        <v>119</v>
      </c>
      <c r="H38" s="862">
        <v>12.5</v>
      </c>
      <c r="I38" s="312" t="s">
        <v>994</v>
      </c>
    </row>
    <row r="39" spans="2:9">
      <c r="B39" s="338">
        <v>0.05</v>
      </c>
      <c r="C39" s="438">
        <v>0</v>
      </c>
      <c r="D39" s="871" t="e">
        <f>B39*$C$14*60</f>
        <v>#DIV/0!</v>
      </c>
      <c r="E39" s="871">
        <f>B39*$D$14*60</f>
        <v>0</v>
      </c>
      <c r="H39" s="407" t="e">
        <f>2*(22/7)*H37^2+(22/7)*2*H37*H36*0.13368/((22/7)*H37^2)</f>
        <v>#DIV/0!</v>
      </c>
      <c r="I39" s="312" t="s">
        <v>995</v>
      </c>
    </row>
    <row r="40" spans="2:9">
      <c r="B40" s="338">
        <v>0.05</v>
      </c>
      <c r="C40" s="438">
        <f>C39+1</f>
        <v>1</v>
      </c>
      <c r="D40" s="871" t="e">
        <f t="shared" ref="D40:D62" si="1">B40*$C$14*60</f>
        <v>#DIV/0!</v>
      </c>
      <c r="E40" s="871">
        <f t="shared" ref="E40:E62" si="2">B40*$D$14*60</f>
        <v>0</v>
      </c>
      <c r="H40" s="865" t="e">
        <f>H39/H38</f>
        <v>#DIV/0!</v>
      </c>
      <c r="I40" s="312" t="s">
        <v>996</v>
      </c>
    </row>
    <row r="41" spans="2:9">
      <c r="B41" s="338">
        <v>0.05</v>
      </c>
      <c r="C41" s="438">
        <f t="shared" ref="C41:C61" si="3">C40+1</f>
        <v>2</v>
      </c>
      <c r="D41" s="871" t="e">
        <f t="shared" si="1"/>
        <v>#DIV/0!</v>
      </c>
      <c r="E41" s="871">
        <f t="shared" si="2"/>
        <v>0</v>
      </c>
      <c r="H41" s="846"/>
      <c r="I41" s="312" t="s">
        <v>377</v>
      </c>
    </row>
    <row r="42" spans="2:9">
      <c r="B42" s="338">
        <v>0.05</v>
      </c>
      <c r="C42" s="438">
        <f t="shared" si="3"/>
        <v>3</v>
      </c>
      <c r="D42" s="871" t="e">
        <f t="shared" si="1"/>
        <v>#DIV/0!</v>
      </c>
      <c r="E42" s="871">
        <f t="shared" si="2"/>
        <v>0</v>
      </c>
      <c r="H42" s="846"/>
      <c r="I42" s="312" t="s">
        <v>997</v>
      </c>
    </row>
    <row r="43" spans="2:9">
      <c r="B43" s="338">
        <v>0.05</v>
      </c>
      <c r="C43" s="438">
        <f t="shared" si="3"/>
        <v>4</v>
      </c>
      <c r="D43" s="871" t="e">
        <f t="shared" si="1"/>
        <v>#DIV/0!</v>
      </c>
      <c r="E43" s="871">
        <f t="shared" si="2"/>
        <v>0</v>
      </c>
      <c r="H43" s="864" t="e">
        <f>1/(H42)</f>
        <v>#DIV/0!</v>
      </c>
      <c r="I43" s="312" t="s">
        <v>998</v>
      </c>
    </row>
    <row r="44" spans="2:9">
      <c r="B44" s="338">
        <v>0.05</v>
      </c>
      <c r="C44" s="438">
        <f t="shared" si="3"/>
        <v>5</v>
      </c>
      <c r="D44" s="871" t="e">
        <f t="shared" si="1"/>
        <v>#DIV/0!</v>
      </c>
      <c r="E44" s="871">
        <f t="shared" si="2"/>
        <v>0</v>
      </c>
      <c r="H44" s="864" t="e">
        <f>1/IF(H41="Electric", 0.93-0.00132*H36, IF(H41="Gas", 0.62-0.0019*H36,"" ))</f>
        <v>#VALUE!</v>
      </c>
      <c r="I44" s="312" t="s">
        <v>999</v>
      </c>
    </row>
    <row r="45" spans="2:9">
      <c r="B45" s="338">
        <v>0.3</v>
      </c>
      <c r="C45" s="438">
        <f t="shared" si="3"/>
        <v>6</v>
      </c>
      <c r="D45" s="871" t="e">
        <f t="shared" si="1"/>
        <v>#DIV/0!</v>
      </c>
      <c r="E45" s="871">
        <f t="shared" si="2"/>
        <v>0</v>
      </c>
    </row>
    <row r="46" spans="2:9">
      <c r="B46" s="338">
        <v>0.5</v>
      </c>
      <c r="C46" s="438">
        <f t="shared" si="3"/>
        <v>7</v>
      </c>
      <c r="D46" s="871" t="e">
        <f t="shared" si="1"/>
        <v>#DIV/0!</v>
      </c>
      <c r="E46" s="871">
        <f t="shared" si="2"/>
        <v>0</v>
      </c>
    </row>
    <row r="47" spans="2:9">
      <c r="B47" s="338">
        <v>0.4</v>
      </c>
      <c r="C47" s="438">
        <f t="shared" si="3"/>
        <v>8</v>
      </c>
      <c r="D47" s="871" t="e">
        <f t="shared" si="1"/>
        <v>#DIV/0!</v>
      </c>
      <c r="E47" s="871">
        <f t="shared" si="2"/>
        <v>0</v>
      </c>
    </row>
    <row r="48" spans="2:9">
      <c r="B48" s="338">
        <v>0.3</v>
      </c>
      <c r="C48" s="438">
        <f t="shared" si="3"/>
        <v>9</v>
      </c>
      <c r="D48" s="871" t="e">
        <f t="shared" si="1"/>
        <v>#DIV/0!</v>
      </c>
      <c r="E48" s="871">
        <f t="shared" si="2"/>
        <v>0</v>
      </c>
    </row>
    <row r="49" spans="2:5">
      <c r="B49" s="338">
        <v>0.3</v>
      </c>
      <c r="C49" s="438">
        <f t="shared" si="3"/>
        <v>10</v>
      </c>
      <c r="D49" s="871" t="e">
        <f t="shared" si="1"/>
        <v>#DIV/0!</v>
      </c>
      <c r="E49" s="871">
        <f t="shared" si="2"/>
        <v>0</v>
      </c>
    </row>
    <row r="50" spans="2:5">
      <c r="B50" s="338">
        <v>0.35</v>
      </c>
      <c r="C50" s="438">
        <f t="shared" si="3"/>
        <v>11</v>
      </c>
      <c r="D50" s="871" t="e">
        <f t="shared" si="1"/>
        <v>#DIV/0!</v>
      </c>
      <c r="E50" s="871">
        <f t="shared" si="2"/>
        <v>0</v>
      </c>
    </row>
    <row r="51" spans="2:5">
      <c r="B51" s="338">
        <v>0.4</v>
      </c>
      <c r="C51" s="438">
        <f t="shared" si="3"/>
        <v>12</v>
      </c>
      <c r="D51" s="871" t="e">
        <f t="shared" si="1"/>
        <v>#DIV/0!</v>
      </c>
      <c r="E51" s="871">
        <f t="shared" si="2"/>
        <v>0</v>
      </c>
    </row>
    <row r="52" spans="2:5">
      <c r="B52" s="338">
        <v>0.35</v>
      </c>
      <c r="C52" s="438">
        <f t="shared" si="3"/>
        <v>13</v>
      </c>
      <c r="D52" s="871" t="e">
        <f t="shared" si="1"/>
        <v>#DIV/0!</v>
      </c>
      <c r="E52" s="871">
        <f t="shared" si="2"/>
        <v>0</v>
      </c>
    </row>
    <row r="53" spans="2:5">
      <c r="B53" s="338">
        <v>0.35</v>
      </c>
      <c r="C53" s="438">
        <f t="shared" si="3"/>
        <v>14</v>
      </c>
      <c r="D53" s="871" t="e">
        <f t="shared" si="1"/>
        <v>#DIV/0!</v>
      </c>
      <c r="E53" s="871">
        <f t="shared" si="2"/>
        <v>0</v>
      </c>
    </row>
    <row r="54" spans="2:5">
      <c r="B54" s="338">
        <v>0.3</v>
      </c>
      <c r="C54" s="438">
        <f t="shared" si="3"/>
        <v>15</v>
      </c>
      <c r="D54" s="871" t="e">
        <f t="shared" si="1"/>
        <v>#DIV/0!</v>
      </c>
      <c r="E54" s="871">
        <f t="shared" si="2"/>
        <v>0</v>
      </c>
    </row>
    <row r="55" spans="2:5">
      <c r="B55" s="338">
        <v>0.3</v>
      </c>
      <c r="C55" s="438">
        <f t="shared" si="3"/>
        <v>16</v>
      </c>
      <c r="D55" s="871" t="e">
        <f t="shared" si="1"/>
        <v>#DIV/0!</v>
      </c>
      <c r="E55" s="871">
        <f t="shared" si="2"/>
        <v>0</v>
      </c>
    </row>
    <row r="56" spans="2:5">
      <c r="B56" s="338">
        <v>0.5</v>
      </c>
      <c r="C56" s="438">
        <f t="shared" si="3"/>
        <v>17</v>
      </c>
      <c r="D56" s="871" t="e">
        <f t="shared" si="1"/>
        <v>#DIV/0!</v>
      </c>
      <c r="E56" s="871">
        <f t="shared" si="2"/>
        <v>0</v>
      </c>
    </row>
    <row r="57" spans="2:5">
      <c r="B57" s="338">
        <v>0.5</v>
      </c>
      <c r="C57" s="438">
        <f t="shared" si="3"/>
        <v>18</v>
      </c>
      <c r="D57" s="871" t="e">
        <f t="shared" si="1"/>
        <v>#DIV/0!</v>
      </c>
      <c r="E57" s="871">
        <f t="shared" si="2"/>
        <v>0</v>
      </c>
    </row>
    <row r="58" spans="2:5">
      <c r="B58" s="338">
        <v>0.4</v>
      </c>
      <c r="C58" s="438">
        <f t="shared" si="3"/>
        <v>19</v>
      </c>
      <c r="D58" s="871" t="e">
        <f t="shared" si="1"/>
        <v>#DIV/0!</v>
      </c>
      <c r="E58" s="871">
        <f t="shared" si="2"/>
        <v>0</v>
      </c>
    </row>
    <row r="59" spans="2:5">
      <c r="B59" s="338">
        <v>0.35</v>
      </c>
      <c r="C59" s="438">
        <f t="shared" si="3"/>
        <v>20</v>
      </c>
      <c r="D59" s="871" t="e">
        <f t="shared" si="1"/>
        <v>#DIV/0!</v>
      </c>
      <c r="E59" s="871">
        <f t="shared" si="2"/>
        <v>0</v>
      </c>
    </row>
    <row r="60" spans="2:5">
      <c r="B60" s="338">
        <v>0.45</v>
      </c>
      <c r="C60" s="438">
        <f t="shared" si="3"/>
        <v>21</v>
      </c>
      <c r="D60" s="871" t="e">
        <f t="shared" si="1"/>
        <v>#DIV/0!</v>
      </c>
      <c r="E60" s="871">
        <f t="shared" si="2"/>
        <v>0</v>
      </c>
    </row>
    <row r="61" spans="2:5">
      <c r="B61" s="338">
        <v>0.3</v>
      </c>
      <c r="C61" s="438">
        <f t="shared" si="3"/>
        <v>22</v>
      </c>
      <c r="D61" s="871" t="e">
        <f t="shared" si="1"/>
        <v>#DIV/0!</v>
      </c>
      <c r="E61" s="871">
        <f t="shared" si="2"/>
        <v>0</v>
      </c>
    </row>
    <row r="62" spans="2:5">
      <c r="B62" s="338">
        <v>0.05</v>
      </c>
      <c r="C62" s="438">
        <f>C61+1</f>
        <v>23</v>
      </c>
      <c r="D62" s="871" t="e">
        <f t="shared" si="1"/>
        <v>#DIV/0!</v>
      </c>
      <c r="E62" s="871">
        <f t="shared" si="2"/>
        <v>0</v>
      </c>
    </row>
    <row r="63" spans="2:5">
      <c r="B63" s="312">
        <f>SUM(B39:B62)</f>
        <v>6.7</v>
      </c>
      <c r="D63" s="872" t="e">
        <f>SUM(D39:D62)</f>
        <v>#DIV/0!</v>
      </c>
      <c r="E63" s="872">
        <f>SUM(E39:E62)</f>
        <v>0</v>
      </c>
    </row>
    <row r="64" spans="2:5">
      <c r="D64" s="827"/>
    </row>
    <row r="66" spans="2:7" ht="12">
      <c r="B66" s="1611" t="s">
        <v>1135</v>
      </c>
      <c r="C66" s="1612"/>
      <c r="D66" s="1612"/>
      <c r="E66" s="1612"/>
      <c r="F66" s="1612"/>
      <c r="G66" s="1613"/>
    </row>
    <row r="67" spans="2:7" ht="12">
      <c r="B67" s="423"/>
      <c r="C67" s="424"/>
      <c r="D67" s="424"/>
      <c r="E67" s="424"/>
      <c r="F67" s="424"/>
      <c r="G67" s="425"/>
    </row>
    <row r="68" spans="2:7" ht="12">
      <c r="B68" s="426"/>
      <c r="C68" s="427"/>
      <c r="D68" s="427"/>
      <c r="E68" s="427"/>
      <c r="F68" s="427"/>
      <c r="G68" s="428"/>
    </row>
    <row r="69" spans="2:7" ht="12">
      <c r="B69" s="429"/>
      <c r="C69" s="427"/>
      <c r="D69" s="427"/>
      <c r="E69" s="427"/>
      <c r="F69" s="427"/>
      <c r="G69" s="428"/>
    </row>
    <row r="70" spans="2:7" ht="12">
      <c r="B70" s="429"/>
      <c r="C70" s="427"/>
      <c r="D70" s="427"/>
      <c r="E70" s="427"/>
      <c r="F70" s="427"/>
      <c r="G70" s="428"/>
    </row>
    <row r="71" spans="2:7" ht="12">
      <c r="B71" s="430"/>
      <c r="C71" s="431"/>
      <c r="D71" s="431"/>
      <c r="E71" s="431"/>
      <c r="F71" s="431"/>
      <c r="G71" s="432"/>
    </row>
  </sheetData>
  <sheetProtection sheet="1" objects="1" scenarios="1" formatCells="0"/>
  <mergeCells count="2">
    <mergeCell ref="B26:E27"/>
    <mergeCell ref="B66:G66"/>
  </mergeCells>
  <conditionalFormatting sqref="C31:D31">
    <cfRule type="expression" dxfId="19" priority="5">
      <formula>$B$31=""</formula>
    </cfRule>
  </conditionalFormatting>
  <conditionalFormatting sqref="C32:D32">
    <cfRule type="expression" dxfId="18" priority="4">
      <formula>$B$32=""</formula>
    </cfRule>
  </conditionalFormatting>
  <conditionalFormatting sqref="C19">
    <cfRule type="expression" dxfId="17" priority="3">
      <formula>$B$19=""</formula>
    </cfRule>
  </conditionalFormatting>
  <conditionalFormatting sqref="C20">
    <cfRule type="expression" dxfId="16" priority="2">
      <formula>$B$20=""</formula>
    </cfRule>
  </conditionalFormatting>
  <conditionalFormatting sqref="C21">
    <cfRule type="expression" dxfId="15" priority="1">
      <formula>$B$21=""</formula>
    </cfRule>
  </conditionalFormatting>
  <dataValidations count="6">
    <dataValidation type="list" allowBlank="1" showInputMessage="1" showErrorMessage="1" sqref="H41">
      <formula1>"Electric, Gas"</formula1>
    </dataValidation>
    <dataValidation type="list" allowBlank="1" showInputMessage="1" showErrorMessage="1" sqref="H20:H21 C19">
      <formula1>"Y,N"</formula1>
    </dataValidation>
    <dataValidation type="list" allowBlank="1" showInputMessage="1" showErrorMessage="1" sqref="H32">
      <formula1>"Y,N, NA"</formula1>
    </dataValidation>
    <dataValidation type="list" allowBlank="1" showInputMessage="1" showErrorMessage="1" sqref="H33">
      <formula1>"Common,In-Unit"</formula1>
    </dataValidation>
    <dataValidation type="list" allowBlank="1" showInputMessage="1" showErrorMessage="1" sqref="H8">
      <formula1>$AA$4:$AA$6</formula1>
    </dataValidation>
    <dataValidation type="list" allowBlank="1" showInputMessage="1" showErrorMessage="1" sqref="J10:J12">
      <formula1>"80,60"</formula1>
    </dataValidation>
  </dataValidation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tint="0.39997558519241921"/>
  </sheetPr>
  <dimension ref="A1:J46"/>
  <sheetViews>
    <sheetView showGridLines="0" workbookViewId="0">
      <selection activeCell="B5" sqref="B5:E5"/>
    </sheetView>
  </sheetViews>
  <sheetFormatPr defaultRowHeight="15"/>
  <cols>
    <col min="1" max="1" width="6.140625" style="778" customWidth="1"/>
    <col min="2" max="2" width="31.5703125" style="778" bestFit="1" customWidth="1"/>
    <col min="3" max="3" width="44.5703125" style="778" customWidth="1"/>
    <col min="4" max="4" width="38.140625" style="778" customWidth="1"/>
    <col min="5" max="5" width="34.85546875" style="778" customWidth="1"/>
    <col min="6" max="6" width="33" style="778" bestFit="1" customWidth="1"/>
    <col min="7" max="16384" width="9.140625" style="778"/>
  </cols>
  <sheetData>
    <row r="1" spans="1:10" ht="18.75">
      <c r="B1" s="741" t="s">
        <v>1065</v>
      </c>
    </row>
    <row r="2" spans="1:10" ht="18.75">
      <c r="B2" s="685"/>
    </row>
    <row r="3" spans="1:10">
      <c r="A3" s="779"/>
      <c r="B3" s="796" t="s">
        <v>121</v>
      </c>
      <c r="C3" s="797"/>
      <c r="D3" s="797"/>
      <c r="E3" s="797"/>
    </row>
    <row r="4" spans="1:10" s="780" customFormat="1" ht="12" customHeight="1">
      <c r="A4" s="799">
        <v>1</v>
      </c>
      <c r="B4" s="798" t="s">
        <v>1395</v>
      </c>
      <c r="C4" s="797"/>
      <c r="D4" s="797"/>
      <c r="E4" s="797"/>
    </row>
    <row r="5" spans="1:10" s="780" customFormat="1" ht="12" customHeight="1">
      <c r="A5" s="799">
        <v>2</v>
      </c>
      <c r="B5" s="1614" t="s">
        <v>1066</v>
      </c>
      <c r="C5" s="1614"/>
      <c r="D5" s="1614"/>
      <c r="E5" s="1614"/>
    </row>
    <row r="6" spans="1:10" s="782" customFormat="1" ht="12" customHeight="1">
      <c r="A6" s="799">
        <v>3</v>
      </c>
      <c r="B6" s="1615" t="s">
        <v>1397</v>
      </c>
      <c r="C6" s="1615"/>
      <c r="D6" s="1615"/>
      <c r="E6" s="1615"/>
      <c r="F6" s="781"/>
      <c r="G6" s="781"/>
      <c r="H6" s="781"/>
      <c r="I6" s="781"/>
      <c r="J6" s="781"/>
    </row>
    <row r="7" spans="1:10" s="782" customFormat="1" ht="37.5" customHeight="1">
      <c r="A7" s="800">
        <v>5</v>
      </c>
      <c r="B7" s="1615" t="s">
        <v>1067</v>
      </c>
      <c r="C7" s="1615"/>
      <c r="D7" s="1615"/>
      <c r="E7" s="1615"/>
      <c r="F7" s="781"/>
      <c r="G7" s="781"/>
      <c r="H7" s="781"/>
      <c r="I7" s="781"/>
      <c r="J7" s="781"/>
    </row>
    <row r="8" spans="1:10" s="782" customFormat="1" ht="12" customHeight="1">
      <c r="A8" s="800">
        <v>6</v>
      </c>
      <c r="B8" s="1615" t="s">
        <v>1068</v>
      </c>
      <c r="C8" s="1615"/>
      <c r="D8" s="1615"/>
      <c r="E8" s="1615"/>
      <c r="F8" s="781"/>
      <c r="G8" s="781"/>
      <c r="H8" s="781"/>
      <c r="I8" s="781"/>
      <c r="J8" s="781"/>
    </row>
    <row r="9" spans="1:10" s="782" customFormat="1" ht="11.25" customHeight="1">
      <c r="A9" s="783"/>
      <c r="B9" s="784"/>
      <c r="C9" s="784"/>
      <c r="D9" s="784"/>
      <c r="E9" s="784"/>
      <c r="F9" s="781"/>
      <c r="G9" s="781"/>
      <c r="H9" s="781"/>
      <c r="I9" s="781"/>
      <c r="J9" s="781"/>
    </row>
    <row r="10" spans="1:10" ht="17.25" customHeight="1">
      <c r="B10" s="801" t="s">
        <v>1069</v>
      </c>
      <c r="C10" s="802">
        <f>IF('Basic Info'!C35&lt;12000,0.007,0.003)</f>
        <v>7.0000000000000001E-3</v>
      </c>
      <c r="D10" s="1097"/>
      <c r="E10" s="785"/>
      <c r="F10" s="786"/>
      <c r="G10" s="786"/>
      <c r="H10" s="786"/>
      <c r="I10" s="786"/>
      <c r="J10" s="786"/>
    </row>
    <row r="11" spans="1:10">
      <c r="B11" s="801" t="s">
        <v>1070</v>
      </c>
      <c r="C11" s="803">
        <f>2*'Basic Info'!C4+2*'Basic Info'!C5+3*'Basic Info'!C6+4*'Basic Info'!C7+5*'Basic Info'!C8</f>
        <v>0</v>
      </c>
      <c r="D11" s="787"/>
      <c r="E11" s="788"/>
      <c r="F11" s="789"/>
    </row>
    <row r="12" spans="1:10">
      <c r="B12" s="801" t="s">
        <v>1071</v>
      </c>
      <c r="C12" s="803">
        <f>IF('DHW Demand'!H20="Y", 430*'DHW Demand'!H22, 0)</f>
        <v>0</v>
      </c>
      <c r="D12" s="787"/>
      <c r="E12" s="790"/>
      <c r="F12" s="791"/>
    </row>
    <row r="13" spans="1:10">
      <c r="B13" s="801" t="s">
        <v>1072</v>
      </c>
      <c r="C13" s="803">
        <f>('DHW Demand'!H15-'DHW Demand'!H16)*'DHW Demand'!H31</f>
        <v>0</v>
      </c>
      <c r="D13" s="787"/>
      <c r="E13" s="790"/>
      <c r="F13" s="791"/>
    </row>
    <row r="14" spans="1:10">
      <c r="B14" s="787"/>
      <c r="C14" s="787"/>
      <c r="D14" s="787"/>
      <c r="E14" s="792"/>
      <c r="F14" s="791"/>
    </row>
    <row r="15" spans="1:10">
      <c r="B15" s="804" t="s">
        <v>1073</v>
      </c>
      <c r="C15" s="814" t="s">
        <v>1396</v>
      </c>
      <c r="D15" s="808" t="s">
        <v>1074</v>
      </c>
      <c r="E15" s="809" t="s">
        <v>1075</v>
      </c>
      <c r="F15" s="789"/>
    </row>
    <row r="16" spans="1:10" ht="15.75" thickBot="1">
      <c r="B16" s="805" t="s">
        <v>135</v>
      </c>
      <c r="C16" s="1094"/>
      <c r="D16" s="810">
        <v>1.6</v>
      </c>
      <c r="E16" s="811">
        <f>IF(C17="&lt;Enter '0' if no urinals&gt;",'Drop Down'!B17*($C$11*'Drop Down'!E27)*365,'Drop Down'!B17*($C$11*'Drop Down'!E27-C17)*365)</f>
        <v>0</v>
      </c>
      <c r="F16" s="789"/>
    </row>
    <row r="17" spans="1:5" ht="15.75" thickBot="1">
      <c r="B17" s="806" t="s">
        <v>136</v>
      </c>
      <c r="C17" s="1096"/>
      <c r="D17" s="812">
        <v>1</v>
      </c>
      <c r="E17" s="811">
        <f>IF(C17="&lt;Enter '0' if no urinals&gt;",0,C17*'Drop Down'!B18*365)</f>
        <v>0</v>
      </c>
    </row>
    <row r="18" spans="1:5">
      <c r="B18" s="805" t="s">
        <v>90</v>
      </c>
      <c r="C18" s="1095"/>
      <c r="D18" s="810">
        <f>IF(A26=80,2.5,2.2)</f>
        <v>2.5</v>
      </c>
      <c r="E18" s="811">
        <f>$C$11*D18*'Drop Down'!E30*(IF('DHW Demand'!H8="Low",'Drop Down'!B30,IF('DHW Demand'!H8="Medium",'Drop Down'!C30,IF('DHW Demand'!H8="High",'Drop Down'!D30))))*365/60</f>
        <v>0</v>
      </c>
    </row>
    <row r="19" spans="1:5">
      <c r="B19" s="805" t="s">
        <v>91</v>
      </c>
      <c r="C19" s="1093"/>
      <c r="D19" s="810">
        <f>IF(A27=80,2.5,2.2)</f>
        <v>2.5</v>
      </c>
      <c r="E19" s="811">
        <f>$C$11*D19*'Drop Down'!E31*(IF('DHW Demand'!H9="Low",'Drop Down'!B31,IF('DHW Demand'!H9="Medium",'Drop Down'!C31,IF('DHW Demand'!H9="High",'Drop Down'!D31))))*365/60</f>
        <v>0</v>
      </c>
    </row>
    <row r="20" spans="1:5">
      <c r="B20" s="805" t="s">
        <v>92</v>
      </c>
      <c r="C20" s="1093"/>
      <c r="D20" s="810">
        <f>IF(A28=80,2.5,2.2)</f>
        <v>2.5</v>
      </c>
      <c r="E20" s="811">
        <f>$C$11*D20*'Drop Down'!E32*(IF('DHW Demand'!H10="Low",'Drop Down'!B32,IF('DHW Demand'!H10="Medium",'Drop Down'!C32,IF('DHW Demand'!H10="High",'Drop Down'!D32))))*365/60</f>
        <v>0</v>
      </c>
    </row>
    <row r="21" spans="1:5">
      <c r="B21" s="807" t="s">
        <v>141</v>
      </c>
      <c r="C21" s="787"/>
      <c r="D21" s="787"/>
      <c r="E21" s="813">
        <f>SUM(E16:E20)</f>
        <v>0</v>
      </c>
    </row>
    <row r="22" spans="1:5">
      <c r="B22" s="794"/>
      <c r="C22" s="787"/>
      <c r="D22" s="787"/>
      <c r="E22" s="787"/>
    </row>
    <row r="23" spans="1:5">
      <c r="A23" s="804" t="s">
        <v>1185</v>
      </c>
      <c r="B23" s="804" t="s">
        <v>1076</v>
      </c>
      <c r="C23" s="816" t="s">
        <v>1077</v>
      </c>
      <c r="D23" s="816" t="s">
        <v>1078</v>
      </c>
      <c r="E23" s="814" t="s">
        <v>1079</v>
      </c>
    </row>
    <row r="24" spans="1:5">
      <c r="A24" s="819"/>
      <c r="B24" s="806" t="s">
        <v>135</v>
      </c>
      <c r="C24" s="793"/>
      <c r="D24" s="793"/>
      <c r="E24" s="811">
        <f>IF(C17="&lt;Enter '0' if no urinals&gt;",(C24*($C$11*'Drop Down'!E27)*365)-D24,(C24*($C$11*'Drop Down'!E27-C17)*365)-D24)</f>
        <v>0</v>
      </c>
    </row>
    <row r="25" spans="1:5">
      <c r="A25" s="819"/>
      <c r="B25" s="806" t="s">
        <v>136</v>
      </c>
      <c r="C25" s="793"/>
      <c r="D25" s="793"/>
      <c r="E25" s="811">
        <f>IF(C17="&lt;Enter '0' if no urinals&gt;",0,(C25*C17*365)-D25)</f>
        <v>0</v>
      </c>
    </row>
    <row r="26" spans="1:5">
      <c r="A26" s="1092">
        <f>'DHW Demand'!J10</f>
        <v>80</v>
      </c>
      <c r="B26" s="817" t="s">
        <v>90</v>
      </c>
      <c r="C26" s="815">
        <f>'DHW Demand'!H10</f>
        <v>0</v>
      </c>
      <c r="D26" s="793"/>
      <c r="E26" s="811">
        <f>$C$11*C26*'Drop Down'!E30*(IF('DHW Demand'!H8="Low",'Drop Down'!B30,IF('DHW Demand'!H8="Medium",'Drop Down'!C30,IF('DHW Demand'!H8="High",'Drop Down'!D30))))*365/60-D26</f>
        <v>0</v>
      </c>
    </row>
    <row r="27" spans="1:5">
      <c r="A27" s="1092">
        <f>'DHW Demand'!J12</f>
        <v>80</v>
      </c>
      <c r="B27" s="817" t="s">
        <v>91</v>
      </c>
      <c r="C27" s="815">
        <f>'DHW Demand'!H12</f>
        <v>0</v>
      </c>
      <c r="D27" s="793"/>
      <c r="E27" s="811">
        <f>$C$11*C27*'Drop Down'!E31*(IF('DHW Demand'!H9="Low",'Drop Down'!B31,IF('DHW Demand'!H9="Medium",'Drop Down'!C31,IF('DHW Demand'!H9="High",'Drop Down'!D31))))*365/60-D27</f>
        <v>0</v>
      </c>
    </row>
    <row r="28" spans="1:5">
      <c r="A28" s="1092">
        <f>'DHW Demand'!J11</f>
        <v>80</v>
      </c>
      <c r="B28" s="817" t="s">
        <v>92</v>
      </c>
      <c r="C28" s="815">
        <f>'DHW Demand'!H11</f>
        <v>0</v>
      </c>
      <c r="D28" s="793"/>
      <c r="E28" s="811">
        <f>$C$11*C28*'Drop Down'!E32*(IF('DHW Demand'!H10="Low",'Drop Down'!B32,IF('DHW Demand'!H10="Medium",'Drop Down'!C32,IF('DHW Demand'!H10="High",'Drop Down'!D32))))*365/60-D28</f>
        <v>0</v>
      </c>
    </row>
    <row r="29" spans="1:5">
      <c r="B29" s="818" t="s">
        <v>141</v>
      </c>
      <c r="C29" s="787"/>
      <c r="D29" s="787"/>
      <c r="E29" s="813">
        <f>SUM(E24:E28)</f>
        <v>0</v>
      </c>
    </row>
    <row r="30" spans="1:5">
      <c r="B30" s="787"/>
      <c r="C30" s="787"/>
      <c r="D30" s="787"/>
      <c r="E30" s="787"/>
    </row>
    <row r="31" spans="1:5">
      <c r="B31" s="804" t="s">
        <v>1080</v>
      </c>
      <c r="C31" s="814" t="s">
        <v>1081</v>
      </c>
      <c r="D31" s="814" t="s">
        <v>1082</v>
      </c>
      <c r="E31" s="787"/>
    </row>
    <row r="32" spans="1:5">
      <c r="B32" s="820" t="s">
        <v>135</v>
      </c>
      <c r="C32" s="821">
        <f>E16-E24</f>
        <v>0</v>
      </c>
      <c r="D32" s="822">
        <f t="shared" ref="D32:D38" si="0">C32*$C$10</f>
        <v>0</v>
      </c>
      <c r="E32" s="787"/>
    </row>
    <row r="33" spans="2:7">
      <c r="B33" s="820" t="s">
        <v>136</v>
      </c>
      <c r="C33" s="821">
        <f>E17-E25</f>
        <v>0</v>
      </c>
      <c r="D33" s="822">
        <f t="shared" si="0"/>
        <v>0</v>
      </c>
      <c r="E33" s="787"/>
    </row>
    <row r="34" spans="2:7">
      <c r="B34" s="820" t="s">
        <v>90</v>
      </c>
      <c r="C34" s="821">
        <f>E18-E26</f>
        <v>0</v>
      </c>
      <c r="D34" s="822">
        <f t="shared" si="0"/>
        <v>0</v>
      </c>
      <c r="E34" s="787"/>
    </row>
    <row r="35" spans="2:7">
      <c r="B35" s="820" t="s">
        <v>91</v>
      </c>
      <c r="C35" s="821">
        <f>E19-E27</f>
        <v>0</v>
      </c>
      <c r="D35" s="822">
        <f t="shared" si="0"/>
        <v>0</v>
      </c>
      <c r="E35" s="787"/>
    </row>
    <row r="36" spans="2:7">
      <c r="B36" s="820" t="s">
        <v>92</v>
      </c>
      <c r="C36" s="821">
        <f>E20-E28</f>
        <v>0</v>
      </c>
      <c r="D36" s="822">
        <f t="shared" si="0"/>
        <v>0</v>
      </c>
      <c r="E36" s="787"/>
    </row>
    <row r="37" spans="2:7">
      <c r="B37" s="818" t="s">
        <v>1399</v>
      </c>
      <c r="C37" s="813">
        <f>SUM(C32:C36)</f>
        <v>0</v>
      </c>
      <c r="D37" s="824">
        <f t="shared" si="0"/>
        <v>0</v>
      </c>
      <c r="E37" s="787"/>
    </row>
    <row r="38" spans="2:7">
      <c r="B38" s="818" t="s">
        <v>1398</v>
      </c>
      <c r="C38" s="823">
        <f>SUM(C32:C36,C12:C13)</f>
        <v>0</v>
      </c>
      <c r="D38" s="824">
        <f t="shared" si="0"/>
        <v>0</v>
      </c>
      <c r="E38" s="787"/>
    </row>
    <row r="39" spans="2:7">
      <c r="B39" s="795"/>
      <c r="C39" s="787"/>
      <c r="D39" s="787"/>
      <c r="E39" s="787"/>
    </row>
    <row r="40" spans="2:7">
      <c r="B40" s="787"/>
      <c r="C40" s="787"/>
      <c r="D40" s="787"/>
      <c r="E40" s="787"/>
    </row>
    <row r="41" spans="2:7">
      <c r="B41" s="1239" t="s">
        <v>1135</v>
      </c>
      <c r="C41" s="1240"/>
      <c r="D41" s="1240"/>
      <c r="E41" s="1240"/>
      <c r="F41" s="1240"/>
      <c r="G41" s="1241"/>
    </row>
    <row r="42" spans="2:7">
      <c r="B42" s="423"/>
      <c r="C42" s="424"/>
      <c r="D42" s="424"/>
      <c r="E42" s="424"/>
      <c r="F42" s="424"/>
      <c r="G42" s="425"/>
    </row>
    <row r="43" spans="2:7">
      <c r="B43" s="426"/>
      <c r="C43" s="427"/>
      <c r="D43" s="427"/>
      <c r="E43" s="427"/>
      <c r="F43" s="427"/>
      <c r="G43" s="428"/>
    </row>
    <row r="44" spans="2:7">
      <c r="B44" s="429"/>
      <c r="C44" s="427"/>
      <c r="D44" s="427"/>
      <c r="E44" s="427"/>
      <c r="F44" s="427"/>
      <c r="G44" s="428"/>
    </row>
    <row r="45" spans="2:7">
      <c r="B45" s="429"/>
      <c r="C45" s="427"/>
      <c r="D45" s="427"/>
      <c r="E45" s="427"/>
      <c r="F45" s="427"/>
      <c r="G45" s="428"/>
    </row>
    <row r="46" spans="2:7">
      <c r="B46" s="430"/>
      <c r="C46" s="431"/>
      <c r="D46" s="431"/>
      <c r="E46" s="431"/>
      <c r="F46" s="431"/>
      <c r="G46" s="432"/>
    </row>
  </sheetData>
  <sheetProtection sheet="1" objects="1" scenarios="1" formatCells="0"/>
  <dataConsolidate/>
  <mergeCells count="5">
    <mergeCell ref="B41:G41"/>
    <mergeCell ref="B5:E5"/>
    <mergeCell ref="B6:E6"/>
    <mergeCell ref="B7:E7"/>
    <mergeCell ref="B8:E8"/>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tint="0.39997558519241921"/>
  </sheetPr>
  <dimension ref="A1:W70"/>
  <sheetViews>
    <sheetView showGridLines="0" zoomScaleNormal="100" workbookViewId="0">
      <selection activeCell="B1" sqref="B1"/>
    </sheetView>
  </sheetViews>
  <sheetFormatPr defaultRowHeight="12"/>
  <cols>
    <col min="1" max="1" width="2" style="411" bestFit="1" customWidth="1"/>
    <col min="2" max="2" width="41.5703125" style="411" customWidth="1"/>
    <col min="3" max="3" width="28.5703125" style="411" customWidth="1"/>
    <col min="4" max="4" width="28.42578125" style="411" customWidth="1"/>
    <col min="5" max="5" width="25" style="411" customWidth="1"/>
    <col min="6" max="6" width="11.28515625" style="411" customWidth="1"/>
    <col min="7" max="7" width="11" style="411" customWidth="1"/>
    <col min="8" max="8" width="19.7109375" style="411" customWidth="1"/>
    <col min="9" max="9" width="4.28515625" style="329" customWidth="1"/>
    <col min="10" max="10" width="20.7109375" style="411" bestFit="1" customWidth="1"/>
    <col min="11" max="11" width="13" style="411" customWidth="1"/>
    <col min="12" max="12" width="20.85546875" style="411" bestFit="1" customWidth="1"/>
    <col min="13" max="14" width="9.140625" style="411" hidden="1" customWidth="1"/>
    <col min="15" max="21" width="9.140625" style="411"/>
    <col min="22" max="23" width="0" style="411" hidden="1" customWidth="1"/>
    <col min="24" max="16384" width="9.140625" style="411"/>
  </cols>
  <sheetData>
    <row r="1" spans="1:23" ht="18.75">
      <c r="B1" s="436" t="s">
        <v>806</v>
      </c>
    </row>
    <row r="2" spans="1:23">
      <c r="B2" s="312"/>
    </row>
    <row r="3" spans="1:23">
      <c r="B3" s="312" t="s">
        <v>792</v>
      </c>
    </row>
    <row r="4" spans="1:23">
      <c r="A4" s="312">
        <v>1</v>
      </c>
      <c r="B4" s="312" t="s">
        <v>1083</v>
      </c>
    </row>
    <row r="5" spans="1:23">
      <c r="A5" s="312">
        <v>2</v>
      </c>
      <c r="B5" s="316" t="s">
        <v>186</v>
      </c>
      <c r="C5" s="842"/>
      <c r="D5" s="842"/>
    </row>
    <row r="6" spans="1:23">
      <c r="A6" s="312">
        <v>3</v>
      </c>
      <c r="B6" s="847" t="s">
        <v>807</v>
      </c>
      <c r="C6" s="828"/>
      <c r="D6" s="842"/>
    </row>
    <row r="8" spans="1:23">
      <c r="B8" s="886"/>
      <c r="C8" s="886" t="s">
        <v>120</v>
      </c>
      <c r="D8" s="886" t="s">
        <v>119</v>
      </c>
      <c r="E8" s="886" t="s">
        <v>808</v>
      </c>
      <c r="F8" s="886" t="s">
        <v>809</v>
      </c>
      <c r="G8" s="886" t="s">
        <v>810</v>
      </c>
      <c r="H8" s="886" t="s">
        <v>811</v>
      </c>
    </row>
    <row r="9" spans="1:23">
      <c r="B9" s="887" t="s">
        <v>812</v>
      </c>
      <c r="C9" s="888">
        <v>423</v>
      </c>
      <c r="D9" s="889">
        <v>529</v>
      </c>
      <c r="E9" s="831"/>
      <c r="F9" s="901" t="s">
        <v>813</v>
      </c>
      <c r="G9" s="901" t="s">
        <v>813</v>
      </c>
      <c r="H9" s="412"/>
      <c r="K9" s="842"/>
      <c r="V9" s="411" t="s">
        <v>175</v>
      </c>
      <c r="W9" s="411" t="s">
        <v>814</v>
      </c>
    </row>
    <row r="10" spans="1:23">
      <c r="B10" s="890" t="s">
        <v>815</v>
      </c>
      <c r="C10" s="891">
        <f>C9*'DHW Demand'!$H$26</f>
        <v>0</v>
      </c>
      <c r="D10" s="892">
        <f>D9*'DHW Demand'!$H$26</f>
        <v>0</v>
      </c>
      <c r="E10" s="412"/>
      <c r="F10" s="439"/>
      <c r="G10" s="439"/>
      <c r="H10" s="412"/>
      <c r="V10" s="411" t="s">
        <v>182</v>
      </c>
      <c r="W10" s="411" t="s">
        <v>816</v>
      </c>
    </row>
    <row r="11" spans="1:23" s="842" customFormat="1">
      <c r="B11" s="893" t="s">
        <v>817</v>
      </c>
      <c r="C11" s="894" t="e">
        <f>C10*1000/('Basic Info'!$C$12)/365/$D$62</f>
        <v>#DIV/0!</v>
      </c>
      <c r="D11" s="894" t="e">
        <f>D10*1000/('Basic Info'!$C$12)/365/$D$62</f>
        <v>#DIV/0!</v>
      </c>
      <c r="E11" s="874" t="s">
        <v>818</v>
      </c>
      <c r="F11" s="865">
        <v>1</v>
      </c>
      <c r="G11" s="865">
        <v>0</v>
      </c>
      <c r="H11" s="874" t="s">
        <v>819</v>
      </c>
      <c r="I11" s="329"/>
      <c r="M11" s="875" t="s">
        <v>820</v>
      </c>
    </row>
    <row r="12" spans="1:23" ht="18.75" customHeight="1">
      <c r="B12" s="890" t="s">
        <v>821</v>
      </c>
      <c r="C12" s="890">
        <f>IF(J12="Electric", 604, IF(J12="Gas", "Enter as Internal Energy Source", 0))</f>
        <v>604</v>
      </c>
      <c r="D12" s="890">
        <f>IF(J12="Electric", 604, IF(J12="Gas", "Enter as Internal Energy Source", 0))</f>
        <v>604</v>
      </c>
      <c r="E12" s="417"/>
      <c r="F12" s="902"/>
      <c r="G12" s="902"/>
      <c r="H12" s="412"/>
      <c r="I12" s="876"/>
      <c r="J12" s="338" t="s">
        <v>175</v>
      </c>
      <c r="K12" s="903" t="s">
        <v>822</v>
      </c>
      <c r="M12" s="878">
        <f>IF(J12="Gas", 45, 0)</f>
        <v>0</v>
      </c>
      <c r="N12" s="411" t="s">
        <v>174</v>
      </c>
    </row>
    <row r="13" spans="1:23">
      <c r="B13" s="895" t="s">
        <v>823</v>
      </c>
      <c r="C13" s="438">
        <f>IF(J12="Electric",C12*'DHW Demand'!$H$26,IF(J12="Gas","2126 BTUH per Apt",0))</f>
        <v>0</v>
      </c>
      <c r="D13" s="438">
        <f>IF(J12="Electric",D12*'DHW Demand'!$H$26,IF(J12="Gas","2126 BTUH per Apt",0))</f>
        <v>0</v>
      </c>
      <c r="E13" s="417"/>
      <c r="F13" s="902"/>
      <c r="G13" s="902"/>
      <c r="H13" s="412"/>
    </row>
    <row r="14" spans="1:23" s="842" customFormat="1">
      <c r="B14" s="893" t="s">
        <v>824</v>
      </c>
      <c r="C14" s="894" t="e">
        <f>IF(J12="Gas", 0, C13*1000/('Basic Info'!$C$12)/365/$D$62)</f>
        <v>#DIV/0!</v>
      </c>
      <c r="D14" s="894" t="e">
        <f>IF(J12="Gas", 0, D13*1000/('Basic Info'!$C$12)/365/$D$62)</f>
        <v>#DIV/0!</v>
      </c>
      <c r="E14" s="874" t="s">
        <v>818</v>
      </c>
      <c r="F14" s="865">
        <f>IF(J12="Electric",0.4,IF(J12="Gas",0.3,0))</f>
        <v>0.4</v>
      </c>
      <c r="G14" s="865">
        <f>IF(J12="Electric",0.3,IF(J12="Gas",0.2,0))</f>
        <v>0.3</v>
      </c>
      <c r="H14" s="874" t="s">
        <v>819</v>
      </c>
      <c r="I14" s="329"/>
    </row>
    <row r="15" spans="1:23" s="842" customFormat="1">
      <c r="B15" s="890" t="s">
        <v>825</v>
      </c>
      <c r="C15" s="889">
        <f>IF(J15&gt;0, 164, 0)</f>
        <v>0</v>
      </c>
      <c r="D15" s="889">
        <f>IF(J15&gt;0, 206, 0)</f>
        <v>0</v>
      </c>
      <c r="E15" s="417"/>
      <c r="F15" s="902"/>
      <c r="G15" s="902"/>
      <c r="H15" s="417"/>
      <c r="I15" s="876"/>
      <c r="J15" s="439">
        <f>'DHW Demand'!H22</f>
        <v>0</v>
      </c>
      <c r="K15" s="333" t="s">
        <v>826</v>
      </c>
    </row>
    <row r="16" spans="1:23" s="842" customFormat="1">
      <c r="B16" s="890" t="s">
        <v>827</v>
      </c>
      <c r="C16" s="890">
        <f>C15*J15</f>
        <v>0</v>
      </c>
      <c r="D16" s="896">
        <f>D15*J15</f>
        <v>0</v>
      </c>
      <c r="E16" s="417"/>
      <c r="F16" s="902"/>
      <c r="G16" s="902"/>
      <c r="H16" s="417"/>
      <c r="I16" s="329"/>
    </row>
    <row r="17" spans="2:15" s="842" customFormat="1">
      <c r="B17" s="893" t="s">
        <v>828</v>
      </c>
      <c r="C17" s="894" t="e">
        <f>C16*1000/('Basic Info'!$C$12)/365/$D$62</f>
        <v>#DIV/0!</v>
      </c>
      <c r="D17" s="894" t="e">
        <f>D16*1000/('Basic Info'!$C$12)/365/$D$62</f>
        <v>#DIV/0!</v>
      </c>
      <c r="E17" s="874" t="s">
        <v>818</v>
      </c>
      <c r="F17" s="855">
        <v>0.6</v>
      </c>
      <c r="G17" s="855">
        <v>0.15</v>
      </c>
      <c r="H17" s="874" t="s">
        <v>819</v>
      </c>
      <c r="I17" s="329"/>
    </row>
    <row r="18" spans="2:15" s="842" customFormat="1">
      <c r="B18" s="890" t="s">
        <v>829</v>
      </c>
      <c r="C18" s="889">
        <f>IF('DHW Demand'!$H$33="In-Unit", 57, 0)</f>
        <v>0</v>
      </c>
      <c r="D18" s="889">
        <f>IF('DHW Demand'!$H$33="In-Unit", 81, 0)</f>
        <v>0</v>
      </c>
      <c r="E18" s="417"/>
      <c r="F18" s="902"/>
      <c r="G18" s="902"/>
      <c r="H18" s="417"/>
      <c r="I18" s="329"/>
    </row>
    <row r="19" spans="2:15" s="842" customFormat="1">
      <c r="B19" s="890" t="s">
        <v>830</v>
      </c>
      <c r="C19" s="889">
        <f>C18*J20</f>
        <v>0</v>
      </c>
      <c r="D19" s="889">
        <f>D18*J20</f>
        <v>0</v>
      </c>
      <c r="E19" s="417"/>
      <c r="F19" s="902"/>
      <c r="G19" s="902"/>
      <c r="H19" s="879"/>
      <c r="I19" s="880"/>
      <c r="J19" s="439">
        <f>IF('DHW Demand'!H33="Common", 2.423, 1)</f>
        <v>1</v>
      </c>
      <c r="K19" s="333" t="s">
        <v>715</v>
      </c>
    </row>
    <row r="20" spans="2:15" s="842" customFormat="1">
      <c r="B20" s="893" t="s">
        <v>831</v>
      </c>
      <c r="C20" s="894" t="e">
        <f>(C19)*1000/J24/365/$D$62</f>
        <v>#DIV/0!</v>
      </c>
      <c r="D20" s="894" t="e">
        <f>(D19)*1000/J24/365/$D$62</f>
        <v>#DIV/0!</v>
      </c>
      <c r="E20" s="874" t="s">
        <v>818</v>
      </c>
      <c r="F20" s="865">
        <v>0.8</v>
      </c>
      <c r="G20" s="865">
        <f>IF('DHW Demand'!$H$33="Common", "NA", 0)</f>
        <v>0</v>
      </c>
      <c r="H20" s="881" t="s">
        <v>819</v>
      </c>
      <c r="I20" s="880"/>
      <c r="J20" s="439">
        <f>'DHW Demand'!H31</f>
        <v>0</v>
      </c>
      <c r="K20" s="333" t="s">
        <v>832</v>
      </c>
    </row>
    <row r="21" spans="2:15" s="842" customFormat="1" ht="16.5" customHeight="1">
      <c r="B21" s="890" t="s">
        <v>833</v>
      </c>
      <c r="C21" s="889" t="e">
        <f>IF('DHW Demand'!$H$33="Common",0,IF($J$23="Electric",$J$22*(418+139*$J$21)*$J$19,$J$22*(38+12.7*$J$21)*$J$19))</f>
        <v>#DIV/0!</v>
      </c>
      <c r="D21" s="889" t="e">
        <f>IF('DHW Demand'!$H$33="Common",0,IF($J$23="Electric",$J$22*(418+139*$J$21)*$J$19,$J$22*(38+12.7*$J$21)*$J$19))</f>
        <v>#DIV/0!</v>
      </c>
      <c r="E21" s="417"/>
      <c r="F21" s="902"/>
      <c r="G21" s="902"/>
      <c r="H21" s="879"/>
      <c r="I21" s="880"/>
      <c r="J21" s="851" t="e">
        <f>('Basic Info'!C4*1+'Basic Info'!C5*1+'Basic Info'!C6*2+'Basic Info'!C7*3)/SUM('Basic Info'!C4:C7)</f>
        <v>#DIV/0!</v>
      </c>
      <c r="K21" s="333" t="s">
        <v>834</v>
      </c>
      <c r="M21" s="875" t="s">
        <v>835</v>
      </c>
      <c r="O21" s="470"/>
    </row>
    <row r="22" spans="2:15" s="842" customFormat="1">
      <c r="B22" s="893" t="s">
        <v>836</v>
      </c>
      <c r="C22" s="894" t="e">
        <f>(C21)*1000/(J24)/365/$D$62</f>
        <v>#DIV/0!</v>
      </c>
      <c r="D22" s="894" t="e">
        <f>(D21)*1000/(J24)/365/$D$62</f>
        <v>#DIV/0!</v>
      </c>
      <c r="E22" s="874" t="s">
        <v>818</v>
      </c>
      <c r="F22" s="855">
        <f>IF('DHW Demand'!$H$33="Common", "NA", IF($J$23="Gas", 1, 0.15))</f>
        <v>1</v>
      </c>
      <c r="G22" s="855">
        <f>IF('DHW Demand'!$H$33="Common", "NA", IF($J$23="Gas", 0, 0.05))</f>
        <v>0</v>
      </c>
      <c r="H22" s="881" t="s">
        <v>819</v>
      </c>
      <c r="I22" s="880"/>
      <c r="J22" s="338"/>
      <c r="K22" s="333" t="s">
        <v>837</v>
      </c>
      <c r="M22" s="878" t="e">
        <f>IF(J23="Gas", (26.5+8.8*J21)*J19, 0)</f>
        <v>#DIV/0!</v>
      </c>
      <c r="N22" s="52" t="s">
        <v>174</v>
      </c>
      <c r="O22" s="470"/>
    </row>
    <row r="23" spans="2:15" s="842" customFormat="1">
      <c r="B23" s="893" t="s">
        <v>838</v>
      </c>
      <c r="C23" s="897">
        <f>IF('DHW Demand'!$H$33="In-Unit",$M$22*100000/365/D62,0)</f>
        <v>0</v>
      </c>
      <c r="D23" s="897">
        <f>IF('DHW Demand'!$H$33="In-Unit",$M$22*100000/365/D62,0)</f>
        <v>0</v>
      </c>
      <c r="E23" s="874" t="str">
        <f>IF(J23="Gas","Internal Energy Source", "NA")</f>
        <v>Internal Energy Source</v>
      </c>
      <c r="F23" s="855">
        <f>IF('DHW Demand'!$H$33="Common","NA",IF($J$23="Gas",0.1,"NA"))</f>
        <v>0.1</v>
      </c>
      <c r="G23" s="855">
        <f>IF('DHW Demand'!$H$33="Common","NA",IF($J$23="Gas",0.05,"NA"))</f>
        <v>0.05</v>
      </c>
      <c r="H23" s="881" t="s">
        <v>819</v>
      </c>
      <c r="I23" s="880"/>
      <c r="J23" s="338" t="s">
        <v>182</v>
      </c>
      <c r="K23" s="903" t="s">
        <v>839</v>
      </c>
      <c r="M23" s="878"/>
      <c r="N23" s="52"/>
      <c r="O23" s="470"/>
    </row>
    <row r="24" spans="2:15" s="842" customFormat="1">
      <c r="B24" s="890" t="s">
        <v>840</v>
      </c>
      <c r="C24" s="889">
        <v>138</v>
      </c>
      <c r="D24" s="889">
        <v>196</v>
      </c>
      <c r="E24" s="417"/>
      <c r="F24" s="902"/>
      <c r="G24" s="902"/>
      <c r="H24" s="879"/>
      <c r="I24" s="880"/>
      <c r="J24" s="306">
        <f>'Basic Info'!C12</f>
        <v>0</v>
      </c>
      <c r="K24" s="903" t="s">
        <v>841</v>
      </c>
    </row>
    <row r="25" spans="2:15" s="842" customFormat="1">
      <c r="B25" s="890" t="s">
        <v>842</v>
      </c>
      <c r="C25" s="889">
        <f>C24*J20</f>
        <v>0</v>
      </c>
      <c r="D25" s="889">
        <f>D24*J20</f>
        <v>0</v>
      </c>
      <c r="E25" s="417"/>
      <c r="F25" s="902"/>
      <c r="G25" s="902"/>
      <c r="H25" s="879"/>
      <c r="I25" s="880"/>
      <c r="J25" s="338"/>
      <c r="K25" s="903" t="s">
        <v>843</v>
      </c>
    </row>
    <row r="26" spans="2:15" s="842" customFormat="1">
      <c r="B26" s="893" t="s">
        <v>844</v>
      </c>
      <c r="C26" s="898" t="e">
        <f>(C25)*1000/J25/365/$C$62</f>
        <v>#DIV/0!</v>
      </c>
      <c r="D26" s="898" t="e">
        <f>(D25)*1000/J25/365/$C$62</f>
        <v>#DIV/0!</v>
      </c>
      <c r="E26" s="874" t="str">
        <f>"Laundry Equipment 1"</f>
        <v>Laundry Equipment 1</v>
      </c>
      <c r="F26" s="865" t="str">
        <f>IF('DHW Demand'!$H$33="Common", 0.8, "NA")</f>
        <v>NA</v>
      </c>
      <c r="G26" s="865" t="str">
        <f>IF('DHW Demand'!$H$33="Common", 0, "NA")</f>
        <v>NA</v>
      </c>
      <c r="H26" s="874" t="s">
        <v>845</v>
      </c>
      <c r="I26" s="329"/>
      <c r="J26" s="411"/>
      <c r="K26" s="877"/>
    </row>
    <row r="27" spans="2:15" s="842" customFormat="1">
      <c r="B27" s="890" t="s">
        <v>846</v>
      </c>
      <c r="C27" s="889" t="e">
        <f>IF('DHW Demand'!$H$33="In-Unit",0,IF($J$23="Electric",$J$22*(418+139*$J$21)*J19,$J$22*(38+12.7*$J$21)*J19))</f>
        <v>#DIV/0!</v>
      </c>
      <c r="D27" s="889" t="e">
        <f>IF('DHW Demand'!$H$33="In-Unit",0,IF($J$23="Electric",$J$22*(418+139*$J$21)*J19,$J$22*(38+12.7*$J$21)*J19))</f>
        <v>#DIV/0!</v>
      </c>
      <c r="E27" s="417"/>
      <c r="F27" s="902"/>
      <c r="G27" s="902"/>
      <c r="H27" s="417"/>
      <c r="I27" s="329"/>
    </row>
    <row r="28" spans="2:15" s="842" customFormat="1">
      <c r="B28" s="893" t="s">
        <v>847</v>
      </c>
      <c r="C28" s="898" t="e">
        <f>(C27)*1000/J25/365/$C$62</f>
        <v>#DIV/0!</v>
      </c>
      <c r="D28" s="898" t="e">
        <f>(D27)*1000/J25/365/$C$62</f>
        <v>#DIV/0!</v>
      </c>
      <c r="E28" s="874" t="str">
        <f>"Laundry Equipment 2"</f>
        <v>Laundry Equipment 2</v>
      </c>
      <c r="F28" s="855">
        <f>IF('DHW Demand'!$H$33="In-Unit", "NA", IF($J$23="Gas", 1, 0.15))</f>
        <v>1</v>
      </c>
      <c r="G28" s="855">
        <f>IF('DHW Demand'!$H$33="In-Unit", "NA", IF($J$23="Gas", 0, 0.05))</f>
        <v>0</v>
      </c>
      <c r="H28" s="874" t="s">
        <v>845</v>
      </c>
      <c r="I28" s="329"/>
      <c r="J28" s="1044">
        <f>SUM('Basic Info'!C4:C8)</f>
        <v>0</v>
      </c>
      <c r="K28" s="842" t="s">
        <v>540</v>
      </c>
    </row>
    <row r="29" spans="2:15">
      <c r="B29" s="893" t="s">
        <v>848</v>
      </c>
      <c r="C29" s="897" t="e">
        <f>IF('DHW Demand'!$H$33="In-Unit",0, $M$22*100000/365/C62)</f>
        <v>#DIV/0!</v>
      </c>
      <c r="D29" s="897" t="e">
        <f>IF('DHW Demand'!$H$33="In-Unit",0, $M$22*100000/365/C62)</f>
        <v>#DIV/0!</v>
      </c>
      <c r="E29" s="874" t="str">
        <f>IF(J23="Gas","Internal Energy Source", "NA")</f>
        <v>Internal Energy Source</v>
      </c>
      <c r="F29" s="855">
        <f>IF($J$23="Gas", 0.1, "NA")</f>
        <v>0.1</v>
      </c>
      <c r="G29" s="855">
        <f>IF($J$23="Gas", 0.05, "NA")</f>
        <v>0.05</v>
      </c>
      <c r="H29" s="874" t="str">
        <f>IF('DHW Demand'!H33="Common", "T24 EQP WD", "T24 DAY EQP WD")</f>
        <v>T24 DAY EQP WD</v>
      </c>
      <c r="J29" s="338"/>
      <c r="K29" s="904" t="s">
        <v>849</v>
      </c>
    </row>
    <row r="30" spans="2:15" s="842" customFormat="1">
      <c r="B30" s="438" t="s">
        <v>850</v>
      </c>
      <c r="C30" s="853">
        <v>1.05</v>
      </c>
      <c r="D30" s="853">
        <v>1.05</v>
      </c>
      <c r="E30" s="412"/>
      <c r="F30" s="902"/>
      <c r="G30" s="902"/>
      <c r="H30" s="412"/>
      <c r="I30" s="876"/>
      <c r="J30" s="338"/>
      <c r="K30" s="331" t="s">
        <v>851</v>
      </c>
    </row>
    <row r="31" spans="2:15" s="842" customFormat="1">
      <c r="B31" s="893" t="s">
        <v>852</v>
      </c>
      <c r="C31" s="858">
        <f>C30*1000/365/$D$62</f>
        <v>0.49598488427019383</v>
      </c>
      <c r="D31" s="858">
        <f>D30*1000/365/$D$62</f>
        <v>0.49598488427019383</v>
      </c>
      <c r="E31" s="874" t="s">
        <v>853</v>
      </c>
      <c r="F31" s="865">
        <v>0.9</v>
      </c>
      <c r="G31" s="865">
        <v>0.1</v>
      </c>
      <c r="H31" s="874" t="s">
        <v>819</v>
      </c>
      <c r="I31" s="876"/>
      <c r="J31" s="438" t="str">
        <f>IF(J29=0,"",IF(J29&lt;7,"Hydraulic",IF(AND(J29&gt;=7,J29&lt;=20,J28&gt;=21),"Geared Traction",IF(AND(J29&gt;=21,J28&gt;50),"Gearless Traction","ERROR"))))</f>
        <v/>
      </c>
      <c r="K31" s="331" t="s">
        <v>854</v>
      </c>
    </row>
    <row r="32" spans="2:15">
      <c r="B32" s="893" t="s">
        <v>855</v>
      </c>
      <c r="C32" s="899">
        <v>0.2</v>
      </c>
      <c r="D32" s="899">
        <v>0.2</v>
      </c>
      <c r="E32" s="874" t="s">
        <v>856</v>
      </c>
      <c r="F32" s="865">
        <v>1</v>
      </c>
      <c r="G32" s="865">
        <v>0</v>
      </c>
      <c r="H32" s="874" t="s">
        <v>845</v>
      </c>
      <c r="I32" s="876"/>
      <c r="J32" s="338"/>
      <c r="K32" s="331" t="s">
        <v>857</v>
      </c>
    </row>
    <row r="33" spans="2:11">
      <c r="B33" s="893" t="s">
        <v>858</v>
      </c>
      <c r="C33" s="898" t="e">
        <f>J34*1000/J30/365/$C$62</f>
        <v>#DIV/0!</v>
      </c>
      <c r="D33" s="898" t="e">
        <f>J33*1000/J30/365/$C$62</f>
        <v>#VALUE!</v>
      </c>
      <c r="E33" s="874" t="s">
        <v>859</v>
      </c>
      <c r="F33" s="865">
        <v>0.1</v>
      </c>
      <c r="G33" s="865">
        <v>0</v>
      </c>
      <c r="H33" s="874" t="s">
        <v>845</v>
      </c>
      <c r="I33" s="876"/>
      <c r="J33" s="439" t="str">
        <f>IF(J29="","",IF(J31="Hydraulic",IF(J28&lt;7,1910,IF(J28&lt;21,2150,IF(J28&lt;51,2940,4120))),IF(J31="GEARED TRACTION",IF(J28&lt;51,3150,4550),IF(J31="GEARLESS TRACTION",7570,"ERROR"))))</f>
        <v/>
      </c>
      <c r="K33" s="331" t="s">
        <v>860</v>
      </c>
    </row>
    <row r="34" spans="2:11">
      <c r="B34" s="893" t="s">
        <v>861</v>
      </c>
      <c r="C34" s="900">
        <v>1.5</v>
      </c>
      <c r="D34" s="900">
        <v>1.5</v>
      </c>
      <c r="E34" s="874" t="s">
        <v>862</v>
      </c>
      <c r="F34" s="865">
        <v>1</v>
      </c>
      <c r="G34" s="865">
        <v>0</v>
      </c>
      <c r="H34" s="881" t="s">
        <v>845</v>
      </c>
      <c r="I34" s="880"/>
      <c r="J34" s="338"/>
      <c r="K34" s="331" t="s">
        <v>863</v>
      </c>
    </row>
    <row r="35" spans="2:11">
      <c r="B35" s="893" t="s">
        <v>864</v>
      </c>
      <c r="C35" s="900">
        <v>0.5</v>
      </c>
      <c r="D35" s="900">
        <v>0.5</v>
      </c>
      <c r="E35" s="874" t="s">
        <v>865</v>
      </c>
      <c r="F35" s="842"/>
      <c r="G35" s="842"/>
    </row>
    <row r="36" spans="2:11" ht="19.5" customHeight="1">
      <c r="F36" s="842"/>
      <c r="G36" s="842"/>
      <c r="J36" s="883"/>
      <c r="K36" s="884"/>
    </row>
    <row r="37" spans="2:11" ht="24">
      <c r="B37" s="905" t="s">
        <v>866</v>
      </c>
      <c r="C37" s="906" t="s">
        <v>867</v>
      </c>
      <c r="D37" s="906" t="s">
        <v>868</v>
      </c>
    </row>
    <row r="38" spans="2:11">
      <c r="B38" s="438">
        <v>1</v>
      </c>
      <c r="C38" s="338">
        <v>0.1</v>
      </c>
      <c r="D38" s="338">
        <v>0.05</v>
      </c>
    </row>
    <row r="39" spans="2:11">
      <c r="B39" s="438">
        <v>2</v>
      </c>
      <c r="C39" s="338">
        <v>0.1</v>
      </c>
      <c r="D39" s="338">
        <v>0.05</v>
      </c>
    </row>
    <row r="40" spans="2:11">
      <c r="B40" s="438">
        <v>3</v>
      </c>
      <c r="C40" s="338">
        <v>0.1</v>
      </c>
      <c r="D40" s="338">
        <v>0.05</v>
      </c>
    </row>
    <row r="41" spans="2:11">
      <c r="B41" s="438">
        <v>4</v>
      </c>
      <c r="C41" s="338">
        <v>0.1</v>
      </c>
      <c r="D41" s="338">
        <v>0.05</v>
      </c>
    </row>
    <row r="42" spans="2:11">
      <c r="B42" s="438">
        <v>5</v>
      </c>
      <c r="C42" s="338">
        <v>0.1</v>
      </c>
      <c r="D42" s="338">
        <v>0.05</v>
      </c>
    </row>
    <row r="43" spans="2:11">
      <c r="B43" s="438">
        <v>6</v>
      </c>
      <c r="C43" s="338">
        <v>0.3</v>
      </c>
      <c r="D43" s="338">
        <v>0.05</v>
      </c>
    </row>
    <row r="44" spans="2:11">
      <c r="B44" s="438">
        <v>7</v>
      </c>
      <c r="C44" s="338">
        <v>0.45</v>
      </c>
      <c r="D44" s="338">
        <v>0.05</v>
      </c>
    </row>
    <row r="45" spans="2:11">
      <c r="B45" s="438">
        <v>8</v>
      </c>
      <c r="C45" s="338">
        <v>0.45</v>
      </c>
      <c r="D45" s="338">
        <v>0.05</v>
      </c>
    </row>
    <row r="46" spans="2:11">
      <c r="B46" s="438">
        <v>9</v>
      </c>
      <c r="C46" s="338">
        <v>0.45</v>
      </c>
      <c r="D46" s="338">
        <v>0.5</v>
      </c>
    </row>
    <row r="47" spans="2:11">
      <c r="B47" s="438">
        <v>10</v>
      </c>
      <c r="C47" s="338">
        <v>0.45</v>
      </c>
      <c r="D47" s="338">
        <v>0.5</v>
      </c>
    </row>
    <row r="48" spans="2:11">
      <c r="B48" s="438">
        <v>11</v>
      </c>
      <c r="C48" s="338">
        <v>0.3</v>
      </c>
      <c r="D48" s="338">
        <v>0.5</v>
      </c>
    </row>
    <row r="49" spans="2:4">
      <c r="B49" s="438">
        <v>12</v>
      </c>
      <c r="C49" s="338">
        <v>0.3</v>
      </c>
      <c r="D49" s="338">
        <v>0.5</v>
      </c>
    </row>
    <row r="50" spans="2:4">
      <c r="B50" s="438">
        <v>13</v>
      </c>
      <c r="C50" s="338">
        <v>0.3</v>
      </c>
      <c r="D50" s="338">
        <v>0.3</v>
      </c>
    </row>
    <row r="51" spans="2:4">
      <c r="B51" s="438">
        <v>14</v>
      </c>
      <c r="C51" s="338">
        <v>0.3</v>
      </c>
      <c r="D51" s="338">
        <v>0.5</v>
      </c>
    </row>
    <row r="52" spans="2:4">
      <c r="B52" s="438">
        <v>15</v>
      </c>
      <c r="C52" s="338">
        <v>0.3</v>
      </c>
      <c r="D52" s="338">
        <v>0.5</v>
      </c>
    </row>
    <row r="53" spans="2:4">
      <c r="B53" s="438">
        <v>16</v>
      </c>
      <c r="C53" s="338">
        <v>0.3</v>
      </c>
      <c r="D53" s="338">
        <v>0.5</v>
      </c>
    </row>
    <row r="54" spans="2:4">
      <c r="B54" s="438">
        <v>17</v>
      </c>
      <c r="C54" s="338">
        <v>0.3</v>
      </c>
      <c r="D54" s="338">
        <v>0.5</v>
      </c>
    </row>
    <row r="55" spans="2:4">
      <c r="B55" s="438">
        <v>18</v>
      </c>
      <c r="C55" s="338">
        <v>0.3</v>
      </c>
      <c r="D55" s="338">
        <v>0.5</v>
      </c>
    </row>
    <row r="56" spans="2:4">
      <c r="B56" s="438">
        <v>19</v>
      </c>
      <c r="C56" s="338">
        <v>0.6</v>
      </c>
      <c r="D56" s="338">
        <v>0.35</v>
      </c>
    </row>
    <row r="57" spans="2:4">
      <c r="B57" s="438">
        <v>20</v>
      </c>
      <c r="C57" s="338">
        <v>0.8</v>
      </c>
      <c r="D57" s="338">
        <v>0.05</v>
      </c>
    </row>
    <row r="58" spans="2:4">
      <c r="B58" s="438">
        <v>21</v>
      </c>
      <c r="C58" s="338">
        <v>0.9</v>
      </c>
      <c r="D58" s="338">
        <v>0.05</v>
      </c>
    </row>
    <row r="59" spans="2:4">
      <c r="B59" s="438">
        <v>22</v>
      </c>
      <c r="C59" s="338">
        <v>0.8</v>
      </c>
      <c r="D59" s="338">
        <v>0.05</v>
      </c>
    </row>
    <row r="60" spans="2:4">
      <c r="B60" s="438">
        <v>23</v>
      </c>
      <c r="C60" s="338">
        <v>0.6</v>
      </c>
      <c r="D60" s="338">
        <v>0.05</v>
      </c>
    </row>
    <row r="61" spans="2:4">
      <c r="B61" s="438">
        <v>24</v>
      </c>
      <c r="C61" s="338">
        <v>0.3</v>
      </c>
      <c r="D61" s="338">
        <v>0.05</v>
      </c>
    </row>
    <row r="62" spans="2:4">
      <c r="B62" s="438" t="s">
        <v>141</v>
      </c>
      <c r="C62" s="438">
        <f>SUM(C38:C61)</f>
        <v>9</v>
      </c>
      <c r="D62" s="438">
        <f>SUM(D38:D61)</f>
        <v>5.799999999999998</v>
      </c>
    </row>
    <row r="63" spans="2:4">
      <c r="B63" s="885"/>
    </row>
    <row r="64" spans="2:4">
      <c r="B64" s="885"/>
    </row>
    <row r="65" spans="2:7">
      <c r="B65" s="1239" t="s">
        <v>1135</v>
      </c>
      <c r="C65" s="1240"/>
      <c r="D65" s="1240"/>
      <c r="E65" s="1240"/>
      <c r="F65" s="1240"/>
      <c r="G65" s="1241"/>
    </row>
    <row r="66" spans="2:7">
      <c r="B66" s="423"/>
      <c r="C66" s="424"/>
      <c r="D66" s="424"/>
      <c r="E66" s="424"/>
      <c r="F66" s="424"/>
      <c r="G66" s="425"/>
    </row>
    <row r="67" spans="2:7">
      <c r="B67" s="426"/>
      <c r="C67" s="427"/>
      <c r="D67" s="427"/>
      <c r="E67" s="427"/>
      <c r="F67" s="427"/>
      <c r="G67" s="428"/>
    </row>
    <row r="68" spans="2:7">
      <c r="B68" s="429"/>
      <c r="C68" s="427"/>
      <c r="D68" s="427"/>
      <c r="E68" s="427"/>
      <c r="F68" s="427"/>
      <c r="G68" s="428"/>
    </row>
    <row r="69" spans="2:7">
      <c r="B69" s="429"/>
      <c r="C69" s="427"/>
      <c r="D69" s="427"/>
      <c r="E69" s="427"/>
      <c r="F69" s="427"/>
      <c r="G69" s="428"/>
    </row>
    <row r="70" spans="2:7">
      <c r="B70" s="430"/>
      <c r="C70" s="431"/>
      <c r="D70" s="431"/>
      <c r="E70" s="431"/>
      <c r="F70" s="431"/>
      <c r="G70" s="432"/>
    </row>
  </sheetData>
  <sheetProtection sheet="1" objects="1" scenarios="1" formatCells="0"/>
  <mergeCells count="1">
    <mergeCell ref="B65:G65"/>
  </mergeCells>
  <dataValidations count="1">
    <dataValidation type="list" allowBlank="1" showInputMessage="1" showErrorMessage="1" sqref="J12 J23">
      <formula1>$V$9:$V$10</formula1>
    </dataValidation>
  </dataValidation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pageSetUpPr fitToPage="1"/>
  </sheetPr>
  <dimension ref="A2:AY194"/>
  <sheetViews>
    <sheetView showGridLines="0" zoomScaleNormal="100" workbookViewId="0"/>
  </sheetViews>
  <sheetFormatPr defaultColWidth="8.85546875" defaultRowHeight="12"/>
  <cols>
    <col min="1" max="2" width="29.28515625" style="157" customWidth="1"/>
    <col min="3" max="3" width="46.42578125" style="157" customWidth="1"/>
    <col min="4" max="4" width="37.7109375" style="157" customWidth="1"/>
    <col min="5" max="5" width="36.7109375" style="192" bestFit="1" customWidth="1"/>
    <col min="6" max="6" width="31.85546875" style="157" customWidth="1"/>
    <col min="7" max="7" width="35.140625" style="157" customWidth="1"/>
    <col min="8" max="8" width="26.140625" style="174" customWidth="1"/>
    <col min="9" max="254" width="8.85546875" style="157"/>
    <col min="255" max="255" width="29.28515625" style="157" customWidth="1"/>
    <col min="256" max="256" width="46.42578125" style="157" customWidth="1"/>
    <col min="257" max="258" width="29.28515625" style="157" customWidth="1"/>
    <col min="259" max="261" width="46.42578125" style="157" customWidth="1"/>
    <col min="262" max="510" width="8.85546875" style="157"/>
    <col min="511" max="511" width="29.28515625" style="157" customWidth="1"/>
    <col min="512" max="512" width="46.42578125" style="157" customWidth="1"/>
    <col min="513" max="514" width="29.28515625" style="157" customWidth="1"/>
    <col min="515" max="517" width="46.42578125" style="157" customWidth="1"/>
    <col min="518" max="766" width="8.85546875" style="157"/>
    <col min="767" max="767" width="29.28515625" style="157" customWidth="1"/>
    <col min="768" max="768" width="46.42578125" style="157" customWidth="1"/>
    <col min="769" max="770" width="29.28515625" style="157" customWidth="1"/>
    <col min="771" max="773" width="46.42578125" style="157" customWidth="1"/>
    <col min="774" max="1022" width="8.85546875" style="157"/>
    <col min="1023" max="1023" width="29.28515625" style="157" customWidth="1"/>
    <col min="1024" max="1024" width="46.42578125" style="157" customWidth="1"/>
    <col min="1025" max="1026" width="29.28515625" style="157" customWidth="1"/>
    <col min="1027" max="1029" width="46.42578125" style="157" customWidth="1"/>
    <col min="1030" max="1278" width="8.85546875" style="157"/>
    <col min="1279" max="1279" width="29.28515625" style="157" customWidth="1"/>
    <col min="1280" max="1280" width="46.42578125" style="157" customWidth="1"/>
    <col min="1281" max="1282" width="29.28515625" style="157" customWidth="1"/>
    <col min="1283" max="1285" width="46.42578125" style="157" customWidth="1"/>
    <col min="1286" max="1534" width="8.85546875" style="157"/>
    <col min="1535" max="1535" width="29.28515625" style="157" customWidth="1"/>
    <col min="1536" max="1536" width="46.42578125" style="157" customWidth="1"/>
    <col min="1537" max="1538" width="29.28515625" style="157" customWidth="1"/>
    <col min="1539" max="1541" width="46.42578125" style="157" customWidth="1"/>
    <col min="1542" max="1790" width="8.85546875" style="157"/>
    <col min="1791" max="1791" width="29.28515625" style="157" customWidth="1"/>
    <col min="1792" max="1792" width="46.42578125" style="157" customWidth="1"/>
    <col min="1793" max="1794" width="29.28515625" style="157" customWidth="1"/>
    <col min="1795" max="1797" width="46.42578125" style="157" customWidth="1"/>
    <col min="1798" max="2046" width="8.85546875" style="157"/>
    <col min="2047" max="2047" width="29.28515625" style="157" customWidth="1"/>
    <col min="2048" max="2048" width="46.42578125" style="157" customWidth="1"/>
    <col min="2049" max="2050" width="29.28515625" style="157" customWidth="1"/>
    <col min="2051" max="2053" width="46.42578125" style="157" customWidth="1"/>
    <col min="2054" max="2302" width="8.85546875" style="157"/>
    <col min="2303" max="2303" width="29.28515625" style="157" customWidth="1"/>
    <col min="2304" max="2304" width="46.42578125" style="157" customWidth="1"/>
    <col min="2305" max="2306" width="29.28515625" style="157" customWidth="1"/>
    <col min="2307" max="2309" width="46.42578125" style="157" customWidth="1"/>
    <col min="2310" max="2558" width="8.85546875" style="157"/>
    <col min="2559" max="2559" width="29.28515625" style="157" customWidth="1"/>
    <col min="2560" max="2560" width="46.42578125" style="157" customWidth="1"/>
    <col min="2561" max="2562" width="29.28515625" style="157" customWidth="1"/>
    <col min="2563" max="2565" width="46.42578125" style="157" customWidth="1"/>
    <col min="2566" max="2814" width="8.85546875" style="157"/>
    <col min="2815" max="2815" width="29.28515625" style="157" customWidth="1"/>
    <col min="2816" max="2816" width="46.42578125" style="157" customWidth="1"/>
    <col min="2817" max="2818" width="29.28515625" style="157" customWidth="1"/>
    <col min="2819" max="2821" width="46.42578125" style="157" customWidth="1"/>
    <col min="2822" max="3070" width="8.85546875" style="157"/>
    <col min="3071" max="3071" width="29.28515625" style="157" customWidth="1"/>
    <col min="3072" max="3072" width="46.42578125" style="157" customWidth="1"/>
    <col min="3073" max="3074" width="29.28515625" style="157" customWidth="1"/>
    <col min="3075" max="3077" width="46.42578125" style="157" customWidth="1"/>
    <col min="3078" max="3326" width="8.85546875" style="157"/>
    <col min="3327" max="3327" width="29.28515625" style="157" customWidth="1"/>
    <col min="3328" max="3328" width="46.42578125" style="157" customWidth="1"/>
    <col min="3329" max="3330" width="29.28515625" style="157" customWidth="1"/>
    <col min="3331" max="3333" width="46.42578125" style="157" customWidth="1"/>
    <col min="3334" max="3582" width="8.85546875" style="157"/>
    <col min="3583" max="3583" width="29.28515625" style="157" customWidth="1"/>
    <col min="3584" max="3584" width="46.42578125" style="157" customWidth="1"/>
    <col min="3585" max="3586" width="29.28515625" style="157" customWidth="1"/>
    <col min="3587" max="3589" width="46.42578125" style="157" customWidth="1"/>
    <col min="3590" max="3838" width="8.85546875" style="157"/>
    <col min="3839" max="3839" width="29.28515625" style="157" customWidth="1"/>
    <col min="3840" max="3840" width="46.42578125" style="157" customWidth="1"/>
    <col min="3841" max="3842" width="29.28515625" style="157" customWidth="1"/>
    <col min="3843" max="3845" width="46.42578125" style="157" customWidth="1"/>
    <col min="3846" max="4094" width="8.85546875" style="157"/>
    <col min="4095" max="4095" width="29.28515625" style="157" customWidth="1"/>
    <col min="4096" max="4096" width="46.42578125" style="157" customWidth="1"/>
    <col min="4097" max="4098" width="29.28515625" style="157" customWidth="1"/>
    <col min="4099" max="4101" width="46.42578125" style="157" customWidth="1"/>
    <col min="4102" max="4350" width="8.85546875" style="157"/>
    <col min="4351" max="4351" width="29.28515625" style="157" customWidth="1"/>
    <col min="4352" max="4352" width="46.42578125" style="157" customWidth="1"/>
    <col min="4353" max="4354" width="29.28515625" style="157" customWidth="1"/>
    <col min="4355" max="4357" width="46.42578125" style="157" customWidth="1"/>
    <col min="4358" max="4606" width="8.85546875" style="157"/>
    <col min="4607" max="4607" width="29.28515625" style="157" customWidth="1"/>
    <col min="4608" max="4608" width="46.42578125" style="157" customWidth="1"/>
    <col min="4609" max="4610" width="29.28515625" style="157" customWidth="1"/>
    <col min="4611" max="4613" width="46.42578125" style="157" customWidth="1"/>
    <col min="4614" max="4862" width="8.85546875" style="157"/>
    <col min="4863" max="4863" width="29.28515625" style="157" customWidth="1"/>
    <col min="4864" max="4864" width="46.42578125" style="157" customWidth="1"/>
    <col min="4865" max="4866" width="29.28515625" style="157" customWidth="1"/>
    <col min="4867" max="4869" width="46.42578125" style="157" customWidth="1"/>
    <col min="4870" max="5118" width="8.85546875" style="157"/>
    <col min="5119" max="5119" width="29.28515625" style="157" customWidth="1"/>
    <col min="5120" max="5120" width="46.42578125" style="157" customWidth="1"/>
    <col min="5121" max="5122" width="29.28515625" style="157" customWidth="1"/>
    <col min="5123" max="5125" width="46.42578125" style="157" customWidth="1"/>
    <col min="5126" max="5374" width="8.85546875" style="157"/>
    <col min="5375" max="5375" width="29.28515625" style="157" customWidth="1"/>
    <col min="5376" max="5376" width="46.42578125" style="157" customWidth="1"/>
    <col min="5377" max="5378" width="29.28515625" style="157" customWidth="1"/>
    <col min="5379" max="5381" width="46.42578125" style="157" customWidth="1"/>
    <col min="5382" max="5630" width="8.85546875" style="157"/>
    <col min="5631" max="5631" width="29.28515625" style="157" customWidth="1"/>
    <col min="5632" max="5632" width="46.42578125" style="157" customWidth="1"/>
    <col min="5633" max="5634" width="29.28515625" style="157" customWidth="1"/>
    <col min="5635" max="5637" width="46.42578125" style="157" customWidth="1"/>
    <col min="5638" max="5886" width="8.85546875" style="157"/>
    <col min="5887" max="5887" width="29.28515625" style="157" customWidth="1"/>
    <col min="5888" max="5888" width="46.42578125" style="157" customWidth="1"/>
    <col min="5889" max="5890" width="29.28515625" style="157" customWidth="1"/>
    <col min="5891" max="5893" width="46.42578125" style="157" customWidth="1"/>
    <col min="5894" max="6142" width="8.85546875" style="157"/>
    <col min="6143" max="6143" width="29.28515625" style="157" customWidth="1"/>
    <col min="6144" max="6144" width="46.42578125" style="157" customWidth="1"/>
    <col min="6145" max="6146" width="29.28515625" style="157" customWidth="1"/>
    <col min="6147" max="6149" width="46.42578125" style="157" customWidth="1"/>
    <col min="6150" max="6398" width="8.85546875" style="157"/>
    <col min="6399" max="6399" width="29.28515625" style="157" customWidth="1"/>
    <col min="6400" max="6400" width="46.42578125" style="157" customWidth="1"/>
    <col min="6401" max="6402" width="29.28515625" style="157" customWidth="1"/>
    <col min="6403" max="6405" width="46.42578125" style="157" customWidth="1"/>
    <col min="6406" max="6654" width="8.85546875" style="157"/>
    <col min="6655" max="6655" width="29.28515625" style="157" customWidth="1"/>
    <col min="6656" max="6656" width="46.42578125" style="157" customWidth="1"/>
    <col min="6657" max="6658" width="29.28515625" style="157" customWidth="1"/>
    <col min="6659" max="6661" width="46.42578125" style="157" customWidth="1"/>
    <col min="6662" max="6910" width="8.85546875" style="157"/>
    <col min="6911" max="6911" width="29.28515625" style="157" customWidth="1"/>
    <col min="6912" max="6912" width="46.42578125" style="157" customWidth="1"/>
    <col min="6913" max="6914" width="29.28515625" style="157" customWidth="1"/>
    <col min="6915" max="6917" width="46.42578125" style="157" customWidth="1"/>
    <col min="6918" max="7166" width="8.85546875" style="157"/>
    <col min="7167" max="7167" width="29.28515625" style="157" customWidth="1"/>
    <col min="7168" max="7168" width="46.42578125" style="157" customWidth="1"/>
    <col min="7169" max="7170" width="29.28515625" style="157" customWidth="1"/>
    <col min="7171" max="7173" width="46.42578125" style="157" customWidth="1"/>
    <col min="7174" max="7422" width="8.85546875" style="157"/>
    <col min="7423" max="7423" width="29.28515625" style="157" customWidth="1"/>
    <col min="7424" max="7424" width="46.42578125" style="157" customWidth="1"/>
    <col min="7425" max="7426" width="29.28515625" style="157" customWidth="1"/>
    <col min="7427" max="7429" width="46.42578125" style="157" customWidth="1"/>
    <col min="7430" max="7678" width="8.85546875" style="157"/>
    <col min="7679" max="7679" width="29.28515625" style="157" customWidth="1"/>
    <col min="7680" max="7680" width="46.42578125" style="157" customWidth="1"/>
    <col min="7681" max="7682" width="29.28515625" style="157" customWidth="1"/>
    <col min="7683" max="7685" width="46.42578125" style="157" customWidth="1"/>
    <col min="7686" max="7934" width="8.85546875" style="157"/>
    <col min="7935" max="7935" width="29.28515625" style="157" customWidth="1"/>
    <col min="7936" max="7936" width="46.42578125" style="157" customWidth="1"/>
    <col min="7937" max="7938" width="29.28515625" style="157" customWidth="1"/>
    <col min="7939" max="7941" width="46.42578125" style="157" customWidth="1"/>
    <col min="7942" max="8190" width="8.85546875" style="157"/>
    <col min="8191" max="8191" width="29.28515625" style="157" customWidth="1"/>
    <col min="8192" max="8192" width="46.42578125" style="157" customWidth="1"/>
    <col min="8193" max="8194" width="29.28515625" style="157" customWidth="1"/>
    <col min="8195" max="8197" width="46.42578125" style="157" customWidth="1"/>
    <col min="8198" max="8446" width="8.85546875" style="157"/>
    <col min="8447" max="8447" width="29.28515625" style="157" customWidth="1"/>
    <col min="8448" max="8448" width="46.42578125" style="157" customWidth="1"/>
    <col min="8449" max="8450" width="29.28515625" style="157" customWidth="1"/>
    <col min="8451" max="8453" width="46.42578125" style="157" customWidth="1"/>
    <col min="8454" max="8702" width="8.85546875" style="157"/>
    <col min="8703" max="8703" width="29.28515625" style="157" customWidth="1"/>
    <col min="8704" max="8704" width="46.42578125" style="157" customWidth="1"/>
    <col min="8705" max="8706" width="29.28515625" style="157" customWidth="1"/>
    <col min="8707" max="8709" width="46.42578125" style="157" customWidth="1"/>
    <col min="8710" max="8958" width="8.85546875" style="157"/>
    <col min="8959" max="8959" width="29.28515625" style="157" customWidth="1"/>
    <col min="8960" max="8960" width="46.42578125" style="157" customWidth="1"/>
    <col min="8961" max="8962" width="29.28515625" style="157" customWidth="1"/>
    <col min="8963" max="8965" width="46.42578125" style="157" customWidth="1"/>
    <col min="8966" max="9214" width="8.85546875" style="157"/>
    <col min="9215" max="9215" width="29.28515625" style="157" customWidth="1"/>
    <col min="9216" max="9216" width="46.42578125" style="157" customWidth="1"/>
    <col min="9217" max="9218" width="29.28515625" style="157" customWidth="1"/>
    <col min="9219" max="9221" width="46.42578125" style="157" customWidth="1"/>
    <col min="9222" max="9470" width="8.85546875" style="157"/>
    <col min="9471" max="9471" width="29.28515625" style="157" customWidth="1"/>
    <col min="9472" max="9472" width="46.42578125" style="157" customWidth="1"/>
    <col min="9473" max="9474" width="29.28515625" style="157" customWidth="1"/>
    <col min="9475" max="9477" width="46.42578125" style="157" customWidth="1"/>
    <col min="9478" max="9726" width="8.85546875" style="157"/>
    <col min="9727" max="9727" width="29.28515625" style="157" customWidth="1"/>
    <col min="9728" max="9728" width="46.42578125" style="157" customWidth="1"/>
    <col min="9729" max="9730" width="29.28515625" style="157" customWidth="1"/>
    <col min="9731" max="9733" width="46.42578125" style="157" customWidth="1"/>
    <col min="9734" max="9982" width="8.85546875" style="157"/>
    <col min="9983" max="9983" width="29.28515625" style="157" customWidth="1"/>
    <col min="9984" max="9984" width="46.42578125" style="157" customWidth="1"/>
    <col min="9985" max="9986" width="29.28515625" style="157" customWidth="1"/>
    <col min="9987" max="9989" width="46.42578125" style="157" customWidth="1"/>
    <col min="9990" max="10238" width="8.85546875" style="157"/>
    <col min="10239" max="10239" width="29.28515625" style="157" customWidth="1"/>
    <col min="10240" max="10240" width="46.42578125" style="157" customWidth="1"/>
    <col min="10241" max="10242" width="29.28515625" style="157" customWidth="1"/>
    <col min="10243" max="10245" width="46.42578125" style="157" customWidth="1"/>
    <col min="10246" max="10494" width="8.85546875" style="157"/>
    <col min="10495" max="10495" width="29.28515625" style="157" customWidth="1"/>
    <col min="10496" max="10496" width="46.42578125" style="157" customWidth="1"/>
    <col min="10497" max="10498" width="29.28515625" style="157" customWidth="1"/>
    <col min="10499" max="10501" width="46.42578125" style="157" customWidth="1"/>
    <col min="10502" max="10750" width="8.85546875" style="157"/>
    <col min="10751" max="10751" width="29.28515625" style="157" customWidth="1"/>
    <col min="10752" max="10752" width="46.42578125" style="157" customWidth="1"/>
    <col min="10753" max="10754" width="29.28515625" style="157" customWidth="1"/>
    <col min="10755" max="10757" width="46.42578125" style="157" customWidth="1"/>
    <col min="10758" max="11006" width="8.85546875" style="157"/>
    <col min="11007" max="11007" width="29.28515625" style="157" customWidth="1"/>
    <col min="11008" max="11008" width="46.42578125" style="157" customWidth="1"/>
    <col min="11009" max="11010" width="29.28515625" style="157" customWidth="1"/>
    <col min="11011" max="11013" width="46.42578125" style="157" customWidth="1"/>
    <col min="11014" max="11262" width="8.85546875" style="157"/>
    <col min="11263" max="11263" width="29.28515625" style="157" customWidth="1"/>
    <col min="11264" max="11264" width="46.42578125" style="157" customWidth="1"/>
    <col min="11265" max="11266" width="29.28515625" style="157" customWidth="1"/>
    <col min="11267" max="11269" width="46.42578125" style="157" customWidth="1"/>
    <col min="11270" max="11518" width="8.85546875" style="157"/>
    <col min="11519" max="11519" width="29.28515625" style="157" customWidth="1"/>
    <col min="11520" max="11520" width="46.42578125" style="157" customWidth="1"/>
    <col min="11521" max="11522" width="29.28515625" style="157" customWidth="1"/>
    <col min="11523" max="11525" width="46.42578125" style="157" customWidth="1"/>
    <col min="11526" max="11774" width="8.85546875" style="157"/>
    <col min="11775" max="11775" width="29.28515625" style="157" customWidth="1"/>
    <col min="11776" max="11776" width="46.42578125" style="157" customWidth="1"/>
    <col min="11777" max="11778" width="29.28515625" style="157" customWidth="1"/>
    <col min="11779" max="11781" width="46.42578125" style="157" customWidth="1"/>
    <col min="11782" max="12030" width="8.85546875" style="157"/>
    <col min="12031" max="12031" width="29.28515625" style="157" customWidth="1"/>
    <col min="12032" max="12032" width="46.42578125" style="157" customWidth="1"/>
    <col min="12033" max="12034" width="29.28515625" style="157" customWidth="1"/>
    <col min="12035" max="12037" width="46.42578125" style="157" customWidth="1"/>
    <col min="12038" max="12286" width="8.85546875" style="157"/>
    <col min="12287" max="12287" width="29.28515625" style="157" customWidth="1"/>
    <col min="12288" max="12288" width="46.42578125" style="157" customWidth="1"/>
    <col min="12289" max="12290" width="29.28515625" style="157" customWidth="1"/>
    <col min="12291" max="12293" width="46.42578125" style="157" customWidth="1"/>
    <col min="12294" max="12542" width="8.85546875" style="157"/>
    <col min="12543" max="12543" width="29.28515625" style="157" customWidth="1"/>
    <col min="12544" max="12544" width="46.42578125" style="157" customWidth="1"/>
    <col min="12545" max="12546" width="29.28515625" style="157" customWidth="1"/>
    <col min="12547" max="12549" width="46.42578125" style="157" customWidth="1"/>
    <col min="12550" max="12798" width="8.85546875" style="157"/>
    <col min="12799" max="12799" width="29.28515625" style="157" customWidth="1"/>
    <col min="12800" max="12800" width="46.42578125" style="157" customWidth="1"/>
    <col min="12801" max="12802" width="29.28515625" style="157" customWidth="1"/>
    <col min="12803" max="12805" width="46.42578125" style="157" customWidth="1"/>
    <col min="12806" max="13054" width="8.85546875" style="157"/>
    <col min="13055" max="13055" width="29.28515625" style="157" customWidth="1"/>
    <col min="13056" max="13056" width="46.42578125" style="157" customWidth="1"/>
    <col min="13057" max="13058" width="29.28515625" style="157" customWidth="1"/>
    <col min="13059" max="13061" width="46.42578125" style="157" customWidth="1"/>
    <col min="13062" max="13310" width="8.85546875" style="157"/>
    <col min="13311" max="13311" width="29.28515625" style="157" customWidth="1"/>
    <col min="13312" max="13312" width="46.42578125" style="157" customWidth="1"/>
    <col min="13313" max="13314" width="29.28515625" style="157" customWidth="1"/>
    <col min="13315" max="13317" width="46.42578125" style="157" customWidth="1"/>
    <col min="13318" max="13566" width="8.85546875" style="157"/>
    <col min="13567" max="13567" width="29.28515625" style="157" customWidth="1"/>
    <col min="13568" max="13568" width="46.42578125" style="157" customWidth="1"/>
    <col min="13569" max="13570" width="29.28515625" style="157" customWidth="1"/>
    <col min="13571" max="13573" width="46.42578125" style="157" customWidth="1"/>
    <col min="13574" max="13822" width="8.85546875" style="157"/>
    <col min="13823" max="13823" width="29.28515625" style="157" customWidth="1"/>
    <col min="13824" max="13824" width="46.42578125" style="157" customWidth="1"/>
    <col min="13825" max="13826" width="29.28515625" style="157" customWidth="1"/>
    <col min="13827" max="13829" width="46.42578125" style="157" customWidth="1"/>
    <col min="13830" max="14078" width="8.85546875" style="157"/>
    <col min="14079" max="14079" width="29.28515625" style="157" customWidth="1"/>
    <col min="14080" max="14080" width="46.42578125" style="157" customWidth="1"/>
    <col min="14081" max="14082" width="29.28515625" style="157" customWidth="1"/>
    <col min="14083" max="14085" width="46.42578125" style="157" customWidth="1"/>
    <col min="14086" max="14334" width="8.85546875" style="157"/>
    <col min="14335" max="14335" width="29.28515625" style="157" customWidth="1"/>
    <col min="14336" max="14336" width="46.42578125" style="157" customWidth="1"/>
    <col min="14337" max="14338" width="29.28515625" style="157" customWidth="1"/>
    <col min="14339" max="14341" width="46.42578125" style="157" customWidth="1"/>
    <col min="14342" max="14590" width="8.85546875" style="157"/>
    <col min="14591" max="14591" width="29.28515625" style="157" customWidth="1"/>
    <col min="14592" max="14592" width="46.42578125" style="157" customWidth="1"/>
    <col min="14593" max="14594" width="29.28515625" style="157" customWidth="1"/>
    <col min="14595" max="14597" width="46.42578125" style="157" customWidth="1"/>
    <col min="14598" max="14846" width="8.85546875" style="157"/>
    <col min="14847" max="14847" width="29.28515625" style="157" customWidth="1"/>
    <col min="14848" max="14848" width="46.42578125" style="157" customWidth="1"/>
    <col min="14849" max="14850" width="29.28515625" style="157" customWidth="1"/>
    <col min="14851" max="14853" width="46.42578125" style="157" customWidth="1"/>
    <col min="14854" max="15102" width="8.85546875" style="157"/>
    <col min="15103" max="15103" width="29.28515625" style="157" customWidth="1"/>
    <col min="15104" max="15104" width="46.42578125" style="157" customWidth="1"/>
    <col min="15105" max="15106" width="29.28515625" style="157" customWidth="1"/>
    <col min="15107" max="15109" width="46.42578125" style="157" customWidth="1"/>
    <col min="15110" max="15358" width="8.85546875" style="157"/>
    <col min="15359" max="15359" width="29.28515625" style="157" customWidth="1"/>
    <col min="15360" max="15360" width="46.42578125" style="157" customWidth="1"/>
    <col min="15361" max="15362" width="29.28515625" style="157" customWidth="1"/>
    <col min="15363" max="15365" width="46.42578125" style="157" customWidth="1"/>
    <col min="15366" max="15614" width="8.85546875" style="157"/>
    <col min="15615" max="15615" width="29.28515625" style="157" customWidth="1"/>
    <col min="15616" max="15616" width="46.42578125" style="157" customWidth="1"/>
    <col min="15617" max="15618" width="29.28515625" style="157" customWidth="1"/>
    <col min="15619" max="15621" width="46.42578125" style="157" customWidth="1"/>
    <col min="15622" max="15870" width="8.85546875" style="157"/>
    <col min="15871" max="15871" width="29.28515625" style="157" customWidth="1"/>
    <col min="15872" max="15872" width="46.42578125" style="157" customWidth="1"/>
    <col min="15873" max="15874" width="29.28515625" style="157" customWidth="1"/>
    <col min="15875" max="15877" width="46.42578125" style="157" customWidth="1"/>
    <col min="15878" max="16126" width="8.85546875" style="157"/>
    <col min="16127" max="16127" width="29.28515625" style="157" customWidth="1"/>
    <col min="16128" max="16128" width="46.42578125" style="157" customWidth="1"/>
    <col min="16129" max="16130" width="29.28515625" style="157" customWidth="1"/>
    <col min="16131" max="16133" width="46.42578125" style="157" customWidth="1"/>
    <col min="16134" max="16384" width="8.85546875" style="157"/>
  </cols>
  <sheetData>
    <row r="2" spans="1:51">
      <c r="A2" s="175" t="str">
        <f>'Basic Info'!C32&amp;" Building Components"</f>
        <v xml:space="preserve"> Building Components</v>
      </c>
      <c r="B2" s="175"/>
      <c r="C2" s="176"/>
      <c r="D2" s="176"/>
      <c r="E2" s="176"/>
      <c r="F2" s="158"/>
      <c r="G2" s="158"/>
      <c r="H2" s="249"/>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row>
    <row r="3" spans="1:51" ht="24">
      <c r="A3" s="177"/>
      <c r="B3" s="215" t="s">
        <v>634</v>
      </c>
      <c r="C3" s="178" t="s">
        <v>567</v>
      </c>
      <c r="D3" s="179" t="s">
        <v>568</v>
      </c>
      <c r="E3" s="179" t="s">
        <v>119</v>
      </c>
    </row>
    <row r="4" spans="1:51" s="160" customFormat="1">
      <c r="A4" s="236" t="s">
        <v>569</v>
      </c>
      <c r="B4" s="237"/>
      <c r="C4" s="238"/>
      <c r="D4" s="239"/>
      <c r="E4" s="240"/>
      <c r="F4" s="159"/>
      <c r="G4" s="159"/>
      <c r="H4" s="161"/>
      <c r="I4" s="159"/>
      <c r="J4" s="159"/>
      <c r="K4" s="159"/>
    </row>
    <row r="5" spans="1:51">
      <c r="A5" s="181" t="s">
        <v>238</v>
      </c>
      <c r="B5" s="162">
        <f>'Model Inputs'!C53</f>
        <v>0</v>
      </c>
      <c r="C5" s="205" t="str">
        <f>IF('Model Inputs'!F53=0,"N/A",'Model Inputs'!$F$53&amp;"  "&amp; 'Model Inputs'!$I$53&amp; " Refrigerators, "&amp;'Model Inputs'!$G$53&amp;" "&amp;'Model Inputs'!$H$53)</f>
        <v>N/A</v>
      </c>
      <c r="D5" s="206" t="str">
        <f>IF('Model Inputs'!F53=0,"N/A","Baseline: "&amp;'Model Inputs'!$D$53&amp;" kWh/yr
Proposed: "&amp;'Model Inputs'!$E$53&amp;" kWh/yr")</f>
        <v>N/A</v>
      </c>
      <c r="E5" s="207" t="str">
        <f>IF(C5="N/A", "N/A",'Model Inputs'!F53&amp;" "&amp;'Model Inputs'!#REF!)</f>
        <v>N/A</v>
      </c>
      <c r="F5" s="174"/>
      <c r="G5" s="174"/>
    </row>
    <row r="6" spans="1:51">
      <c r="A6" s="173" t="s">
        <v>240</v>
      </c>
      <c r="B6" s="217">
        <f>'Model Inputs'!C54</f>
        <v>0</v>
      </c>
      <c r="C6" s="205" t="str">
        <f>IF('Model Inputs'!F54=0,"N/A",'Model Inputs'!$F$54&amp;"  "&amp; 'Model Inputs'!$I$54&amp; " Dishwashers, "&amp;'Model Inputs'!$G$54&amp;" "&amp;'Model Inputs'!$H$54)</f>
        <v>N/A</v>
      </c>
      <c r="D6" s="207" t="str">
        <f>IF('Model Inputs'!F54=0,"N/A","Baseline: "&amp;'Model Inputs'!$D$54&amp;" kWh/yr" &amp; ", "&amp;'Model Inputs'!$D$55&amp;" gal/yr
Proposed: "&amp;'Model Inputs'!$E$54&amp;" kWh/yr" &amp; ", "&amp;'Model Inputs'!$E$55&amp;" gal/yr")</f>
        <v>N/A</v>
      </c>
      <c r="E6" s="207" t="str">
        <f>IF(C6="N/A","N/A",'Model Inputs'!F54&amp;" "&amp;'Model Inputs'!#REF!)</f>
        <v>N/A</v>
      </c>
      <c r="F6" s="174"/>
      <c r="G6" s="174"/>
    </row>
    <row r="7" spans="1:51">
      <c r="A7" s="173" t="s">
        <v>1461</v>
      </c>
      <c r="B7" s="217">
        <f>'Model Inputs'!C56</f>
        <v>0</v>
      </c>
      <c r="C7" s="205" t="str">
        <f>IF('Model Inputs'!F56=0,"N/A",'Model Inputs'!$F$56&amp;" " &amp; 'Model Inputs'!$I$56&amp; " In-Unit Clothes Washers, "&amp;'Model Inputs'!$G$56&amp;" "&amp;'Model Inputs'!$H$56)</f>
        <v>N/A</v>
      </c>
      <c r="D7" s="207" t="str">
        <f>IF('Model Inputs'!F56=0,"N/A","Baseline: "&amp;'Model Inputs'!$D$56&amp;" kWh/yr" &amp; ", "&amp;'Model Inputs'!$D$57&amp;" gal/yr
Proposed: "&amp;'Model Inputs'!$E$56&amp;" kWh/yr" &amp; ", "&amp;'Model Inputs'!$E$57&amp;" gal/yr")</f>
        <v>N/A</v>
      </c>
      <c r="E7" s="207" t="str">
        <f>IF(C7="N/A","N/A",'Model Inputs'!F56&amp;" In-Unit "&amp;'Model Inputs'!#REF!)</f>
        <v>N/A</v>
      </c>
      <c r="F7" s="174"/>
      <c r="G7" s="174"/>
    </row>
    <row r="8" spans="1:51">
      <c r="A8" s="1143" t="s">
        <v>1462</v>
      </c>
      <c r="B8" s="1144">
        <f>'Model Inputs'!C58</f>
        <v>0</v>
      </c>
      <c r="C8" s="1145" t="str">
        <f>IF('Model Inputs'!F58=0,"N/A",'Model Inputs'!$F$58&amp;" " &amp; 'Model Inputs'!$I$58&amp; " Common Area Clothes Washers, "&amp;'Model Inputs'!$G$58&amp;" "&amp;'Model Inputs'!$H$58)</f>
        <v>N/A</v>
      </c>
      <c r="D8" s="1146" t="str">
        <f>IF('Model Inputs'!F58=0,"N/A","Baseline: "&amp;'Model Inputs'!$D$58&amp;" kWh/yr" &amp; ", "&amp;'Model Inputs'!$D$59&amp;" gal/yr
Proposed: "&amp;'Model Inputs'!$E$58&amp;" kWh/yr" &amp; ", "&amp;'Model Inputs'!$E$59&amp;" gal/yr")</f>
        <v>N/A</v>
      </c>
      <c r="E8" s="1146" t="str">
        <f>IF(C8="N/A","N/A",'Model Inputs'!F58&amp;" Common Area "&amp;'Model Inputs'!#REF!)</f>
        <v>N/A</v>
      </c>
      <c r="F8" s="174"/>
      <c r="G8" s="174"/>
    </row>
    <row r="9" spans="1:51">
      <c r="A9" s="173" t="s">
        <v>571</v>
      </c>
      <c r="B9" s="217">
        <f>'Model Inputs'!C63</f>
        <v>0</v>
      </c>
      <c r="C9" s="205" t="str">
        <f>IF('Model Inputs'!F63=0,"N/A",IF('Model Inputs'!$B$63="Electric Stove (kWh/yr)",'Model Inputs'!$F$63&amp;" "&amp;" Electric Stoves",'Model Inputs'!$F$63&amp;" Gas Stoves"))</f>
        <v>N/A</v>
      </c>
      <c r="D9" s="207" t="str">
        <f>IF(C9="N/A","N/A",IF('Model Inputs'!$B$63="Electric Stoves (kWh/yr)","Baseline: "&amp;'Model Inputs'!$D$63&amp;" kWh/yr
Proposed: "&amp;'Model Inputs'!$E$63&amp;" kWh/yr","Baseline: "&amp;'Model Inputs'!$D$63&amp;" therm/yr
Proposed: "&amp;'Model Inputs'!$E$63&amp;" therm/yr"))</f>
        <v>N/A</v>
      </c>
      <c r="E9" s="207" t="str">
        <f>IF(C9="N/A","N/A",IF('Model Inputs'!$B$63="Electric Stove (kWh/yr)",'Model Inputs'!$F$63&amp;" "&amp;" Electric Stoves",'Model Inputs'!$F$63&amp;" Gas Stoves"))</f>
        <v>N/A</v>
      </c>
      <c r="F9" s="174"/>
      <c r="G9" s="174"/>
    </row>
    <row r="10" spans="1:51">
      <c r="A10" s="173" t="s">
        <v>572</v>
      </c>
      <c r="B10" s="217">
        <f>'Model Inputs'!C61</f>
        <v>0</v>
      </c>
      <c r="C10" s="205" t="str">
        <f>IF('Model Inputs'!F61=0,"N/A",IF('Model Inputs'!$B$61="Electric Clothes Dryer (kWh/yr)",'Model Inputs'!$F$61&amp;" "&amp;" Electric Clothes Dryers",'Model Inputs'!$F$61&amp;" Gas Clothes Dryers"))</f>
        <v>N/A</v>
      </c>
      <c r="D10" s="207" t="str">
        <f>IF(C10="N/A","N/A",IF('Model Inputs'!D62="N/A","Baseline: "&amp;'Model Inputs'!$D$61&amp;" kWh/yr
Proposed: "&amp;'Model Inputs'!$E$61&amp;" kWh/yr","Baseline: "&amp;'Model Inputs'!D61&amp;" kWh/yr, "&amp;'Model Inputs'!D62&amp;" therm/yr
Proposed: "&amp;'Model Inputs'!E61&amp;" kWh/yr, "&amp;'Model Inputs'!E62&amp;" therm/yr"))</f>
        <v>N/A</v>
      </c>
      <c r="E10" s="207" t="str">
        <f>IF(C10="N/A","N/A",IF('Model Inputs'!$B$61="Electric Clothes Dryer (kWh/yr)",'Model Inputs'!$F$61&amp;" "&amp;" Electric Clothes Dryers",'Model Inputs'!$F$61&amp;" Gas Clothes Dryers"))</f>
        <v>N/A</v>
      </c>
      <c r="F10" s="174"/>
      <c r="G10" s="174"/>
    </row>
    <row r="11" spans="1:51">
      <c r="A11" s="217" t="s">
        <v>694</v>
      </c>
      <c r="B11" s="173">
        <f>'Model Inputs'!C60</f>
        <v>0</v>
      </c>
      <c r="C11" s="207" t="str">
        <f>IF('Model Inputs'!F60=0,"N/A",'Model Inputs'!F60&amp;" elevators, "&amp;'Model Inputs'!E60&amp;" kWh/yr")</f>
        <v>N/A</v>
      </c>
      <c r="D11" s="207" t="str">
        <f>IF(C11="N/A","N/A","Baseline: "&amp;'Model Inputs'!D60&amp;" kWh/yr
Proposed: "&amp;'Model Inputs'!E60&amp;" kWh/yr")</f>
        <v>N/A</v>
      </c>
      <c r="E11" s="207" t="str">
        <f>IF(C11="N/A","N/A",'Model Inputs'!F60&amp;" elevators, "&amp;'Model Inputs'!D60&amp;" kWh/yr")</f>
        <v>N/A</v>
      </c>
      <c r="F11" s="174"/>
      <c r="G11" s="174"/>
    </row>
    <row r="12" spans="1:51">
      <c r="A12" s="173" t="str">
        <f>'Model Inputs'!B64</f>
        <v>&lt;Other Appliance&gt; (kWh/yr)</v>
      </c>
      <c r="B12" s="173">
        <f>'Model Inputs'!C64</f>
        <v>0</v>
      </c>
      <c r="C12" s="207" t="str">
        <f>IF('Model Inputs'!F64=0,"N/A",'Model Inputs'!F64&amp;" "&amp;'Model Inputs'!G64&amp;" "&amp;'Model Inputs'!H64&amp;", "&amp;'Model Inputs'!E64&amp;" kWh/yr")</f>
        <v>N/A</v>
      </c>
      <c r="D12" s="207" t="str">
        <f>IF(C12="N/A","N/A","Baseline: "&amp;'Model Inputs'!D64&amp;" kWh/yr
Proposed: "&amp;'Model Inputs'!E64&amp;" kWh/yr")</f>
        <v>N/A</v>
      </c>
      <c r="E12" s="207" t="str">
        <f>IF(C12="N/A","N/A",'Model Inputs'!D64&amp; " kWh/yr")</f>
        <v>N/A</v>
      </c>
      <c r="F12" s="174"/>
      <c r="G12" s="174"/>
    </row>
    <row r="13" spans="1:51" s="160" customFormat="1">
      <c r="A13" s="236" t="s">
        <v>573</v>
      </c>
      <c r="B13" s="237"/>
      <c r="C13" s="238"/>
      <c r="D13" s="239"/>
      <c r="E13" s="244"/>
      <c r="G13" s="174"/>
      <c r="H13" s="174"/>
      <c r="I13" s="159"/>
      <c r="J13" s="159"/>
      <c r="K13" s="159"/>
    </row>
    <row r="14" spans="1:51" ht="24">
      <c r="A14" s="181" t="s">
        <v>574</v>
      </c>
      <c r="B14" s="241">
        <f>'Model Inputs'!C123</f>
        <v>0</v>
      </c>
      <c r="C14" s="242" t="str">
        <f>'Model Inputs'!$E$127&amp;" "&amp;'Model Inputs'!$E$123&amp;" ("&amp;'Model Inputs'!$E$125&amp;" kBtu)
Et- "&amp;'Model Inputs'!$E$124*100&amp;"%"</f>
        <v xml:space="preserve">  ( kBtu)
Et- 0%</v>
      </c>
      <c r="D14" s="243" t="str">
        <f>"Baseline: Et-"&amp;'Model Inputs'!$D$124*100&amp;"%"&amp;", "&amp;'Model Inputs'!$D$125&amp;" kBtu
Proposed: Et-"&amp;'Model Inputs'!$E$124*100&amp;"%"&amp;", "&amp;'Model Inputs'!$E$125&amp;" kBtu"</f>
        <v>Baseline: Et-0%,  kBtu
Proposed: Et-0%,  kBtu</v>
      </c>
      <c r="E14" s="243" t="str">
        <f>'Model Inputs'!D127&amp;" "&amp;'Model Inputs'!D123&amp;"
Et-"&amp;'Model Inputs'!D124*100&amp;"%"</f>
        <v xml:space="preserve"> 
Et-0%</v>
      </c>
    </row>
    <row r="15" spans="1:51" ht="24">
      <c r="A15" s="173" t="s">
        <v>575</v>
      </c>
      <c r="B15" s="217">
        <f>'Model Inputs'!C128</f>
        <v>0</v>
      </c>
      <c r="C15" s="210" t="str">
        <f>'Model Inputs'!$E$126&amp;" gal Storage Tank, R-"&amp;'Model Inputs'!$E$128</f>
        <v xml:space="preserve"> gal Storage Tank, R-</v>
      </c>
      <c r="D15" s="209" t="str">
        <f>"Baseline: R-"&amp;'Model Inputs'!$D$128&amp;", "&amp;'Model Inputs'!$D$126&amp;" gal
Proposed: R-"&amp;'Model Inputs'!$E$128&amp;", "&amp;'Model Inputs'!$E$126&amp;" gal"</f>
        <v>Baseline: R-12.5,  gal
Proposed: R-,  gal</v>
      </c>
      <c r="E15" s="209" t="str">
        <f>'Model Inputs'!D126&amp;" gal storage tank, R-"&amp;'Model Inputs'!D128</f>
        <v xml:space="preserve"> gal storage tank, R-12.5</v>
      </c>
    </row>
    <row r="16" spans="1:51" ht="48">
      <c r="A16" s="173" t="s">
        <v>576</v>
      </c>
      <c r="B16" s="217">
        <f>'Model Inputs'!C135</f>
        <v>0</v>
      </c>
      <c r="C16" s="208" t="str">
        <f>"Showerheads: "&amp;'Model Inputs'!$E$135&amp;" gpm
Kitchen Faucets: "&amp;'Model Inputs'!$E$136&amp;" gpm
Lavatory Faucets: "&amp;'Model Inputs'!$E$137&amp;" gpm
Toilets: "&amp;'Model Inputs'!$E$138&amp;" gpf"</f>
        <v>Showerheads:  gpm
Kitchen Faucets:  gpm
Lavatory Faucets:  gpm
Toilets:  gpf</v>
      </c>
      <c r="D16" s="209" t="str">
        <f>"Baseline: "&amp;TRUNC('Model Inputs'!$D$139,1)&amp; " gpm
Proposed: "&amp;TRUNC('Model Inputs'!$E$139,1)&amp;" gpm"</f>
        <v>Baseline: 0 gpm
Proposed: 0 gpm</v>
      </c>
      <c r="E16" s="209" t="str">
        <f>"Showerheads: "&amp;'Model Inputs'!D135&amp;" gpm
Kitchen Faucets: "&amp;'Model Inputs'!D136&amp;" gpm
Lavatory Faucets: "&amp;'Model Inputs'!D137&amp;" gpm
Toilets: "&amp;'Model Inputs'!D138&amp;" gpf"</f>
        <v>Showerheads: 2.5 gpm
Kitchen Faucets: 2.5 gpm
Lavatory Faucets: 2.5 gpm
Toilets: 1.6 gpf</v>
      </c>
    </row>
    <row r="17" spans="1:9" s="160" customFormat="1" ht="36">
      <c r="A17" s="180" t="s">
        <v>577</v>
      </c>
      <c r="B17" s="216"/>
      <c r="C17" s="182" t="s">
        <v>1470</v>
      </c>
      <c r="D17" s="183"/>
      <c r="E17" s="184"/>
      <c r="F17" s="159"/>
      <c r="G17" s="159"/>
      <c r="H17" s="161"/>
      <c r="I17" s="159"/>
    </row>
    <row r="18" spans="1:9" ht="24">
      <c r="A18" s="173" t="s">
        <v>578</v>
      </c>
      <c r="B18" s="217">
        <f>'Model Inputs'!C20</f>
        <v>0</v>
      </c>
      <c r="C18" s="204" t="str">
        <f>IF('Model Inputs'!F20="N/A","N/A",'Model Inputs'!F20&amp;", C-"&amp;'Model Inputs'!F21)</f>
        <v>, C-</v>
      </c>
      <c r="D18" s="204" t="str">
        <f>IF(C18="N/A","N/A","Baseline: C-"&amp;'Model Inputs'!D21&amp;" (res) &amp; C-"&amp;'Model Inputs'!E21&amp;" (non-res)
Proposed: C-"&amp;'Model Inputs'!F21)</f>
        <v>Baseline: C- (res) &amp; C- (non-res)
Proposed: C-</v>
      </c>
      <c r="E18" s="245" t="str">
        <f>IF(D18="N/A","N/A","BGW: "&amp;'Model Inputs'!D20&amp;", C-"&amp;'Model Inputs'!D21&amp;" (res); C-"&amp;'Model Inputs'!E21&amp;" (non-res)")</f>
        <v>BGW: Per ASHRAE, C- (res); C- (non-res)</v>
      </c>
    </row>
    <row r="19" spans="1:9" ht="24">
      <c r="A19" s="173" t="s">
        <v>579</v>
      </c>
      <c r="B19" s="217">
        <f>'Model Inputs'!C15</f>
        <v>0</v>
      </c>
      <c r="C19" s="204" t="str">
        <f>'Model Inputs'!F15&amp;", U-"&amp;'Model Inputs'!F16</f>
        <v>, U-</v>
      </c>
      <c r="D19" s="204" t="str">
        <f>"Baseline: U-"&amp;'Model Inputs'!D16&amp;" (res) &amp; U-"&amp;'Model Inputs'!E16&amp;" (non-res)
Proposed: U-"&amp;'Model Inputs'!F16</f>
        <v>Baseline: U- (res) &amp; U- (non-res)
Proposed: U-</v>
      </c>
      <c r="E19" s="245" t="str">
        <f>"AGW: "&amp;'Model Inputs'!D15&amp;", U-"&amp;'Model Inputs'!D16&amp;" (res) &amp; U-"&amp;'Model Inputs'!E16&amp;" (non-res)"</f>
        <v>AGW: Per ASHRAE, U- (res) &amp; U- (non-res)</v>
      </c>
    </row>
    <row r="20" spans="1:9" ht="24">
      <c r="A20" s="173" t="s">
        <v>580</v>
      </c>
      <c r="B20" s="217">
        <f>'Model Inputs'!C17</f>
        <v>0</v>
      </c>
      <c r="C20" s="204" t="str">
        <f>IF('Model Inputs'!F17="N/A","N/A",'Model Inputs'!F17&amp;", U-"&amp;'Model Inputs'!F18)</f>
        <v>, U-</v>
      </c>
      <c r="D20" s="204" t="str">
        <f>IF(C20="N/A","N/A","Baseline: U-"&amp;'Model Inputs'!D18&amp;" (res) &amp; U-"&amp;'Model Inputs'!E18&amp;" (non-res)
Proposed: U-"&amp;'Model Inputs'!F18)</f>
        <v>Baseline: U- (res) &amp; U- (non-res)
Proposed: U-</v>
      </c>
      <c r="E20" s="245" t="str">
        <f>IF(D20="N/A","N/A","Floor Perimeter: "&amp;'Model Inputs'!D17&amp;", U-"&amp;'Model Inputs'!D18&amp;" (res) &amp; U-"&amp;'Model Inputs'!E18&amp;" (non-res)")</f>
        <v>Floor Perimeter: Per ASHRAE, U- (res) &amp; U- (non-res)</v>
      </c>
    </row>
    <row r="21" spans="1:9" ht="24">
      <c r="A21" s="173" t="s">
        <v>581</v>
      </c>
      <c r="B21" s="217">
        <f>'Model Inputs'!C30</f>
        <v>0</v>
      </c>
      <c r="C21" s="204" t="str">
        <f>'Model Inputs'!F30&amp;", U-"&amp;'Model Inputs'!F31</f>
        <v>, U-</v>
      </c>
      <c r="D21" s="204" t="str">
        <f>"Baseline: U-"&amp;'Model Inputs'!D31&amp;"
Proposed: U-"&amp;'Model Inputs'!F31</f>
        <v>Baseline: U-
Proposed: U-</v>
      </c>
      <c r="E21" s="245" t="str">
        <f>"Roof Insulation: "&amp;'Model Inputs'!D30&amp;", U-"&amp;'Model Inputs'!D31</f>
        <v>Roof Insulation: Per ASHRAE, U-</v>
      </c>
    </row>
    <row r="22" spans="1:9" ht="24">
      <c r="A22" s="173" t="s">
        <v>582</v>
      </c>
      <c r="B22" s="217">
        <f>'Model Inputs'!C22</f>
        <v>0</v>
      </c>
      <c r="C22" s="204" t="str">
        <f>IF('Model Inputs'!F22="N/A","N/A",'Model Inputs'!F22&amp;", U-"&amp;'Model Inputs'!F23)</f>
        <v>, U-</v>
      </c>
      <c r="D22" s="204" t="str">
        <f>IF(C22="N/A","N/A","Baseline: U-"&amp;'Model Inputs'!D23&amp;" (res) &amp; U-"&amp;'Model Inputs'!E23&amp;" (non-res)
Proposed: U-"&amp;'Model Inputs'!F23)</f>
        <v>Baseline: U- (res) &amp; U- (non-res)
Proposed: U-</v>
      </c>
      <c r="E22" s="245" t="str">
        <f>IF(D22="N/A","N/A","Floor above cond. Space: "&amp;'Model Inputs'!D22&amp;", U-"&amp;'Model Inputs'!D23&amp;" (res) &amp; U-"&amp;'Model Inputs'!E23&amp;" (non-res)")</f>
        <v>Floor above cond. Space: Per ASHRAE, U- (res) &amp; U- (non-res)</v>
      </c>
    </row>
    <row r="23" spans="1:9" ht="24">
      <c r="A23" s="173" t="s">
        <v>583</v>
      </c>
      <c r="B23" s="217">
        <f>'Model Inputs'!C28</f>
        <v>0</v>
      </c>
      <c r="C23" s="204" t="str">
        <f>IF('Model Inputs'!F28="N/A","N/A",'Model Inputs'!F28&amp;", C-"&amp;'Model Inputs'!F29)</f>
        <v>, C-</v>
      </c>
      <c r="D23" s="204" t="str">
        <f>IF(C23="N/A","N/A","Baseline: C-"&amp;'Model Inputs'!D29&amp;"
Proposed: C-"&amp;'Model Inputs'!F29)</f>
        <v>Baseline: C-
Proposed: C-</v>
      </c>
      <c r="E23" s="245" t="str">
        <f>IF(D23="N/A","N/A","Slab-below-grade: "&amp;'Model Inputs'!D28&amp;", C-"&amp;'Model Inputs'!D29)</f>
        <v>Slab-below-grade: Per ASHRAE, C-</v>
      </c>
    </row>
    <row r="24" spans="1:9" ht="24">
      <c r="A24" s="173" t="s">
        <v>644</v>
      </c>
      <c r="B24" s="217">
        <f>'Model Inputs'!C24</f>
        <v>0</v>
      </c>
      <c r="C24" s="204" t="str">
        <f>IF('Model Inputs'!F24="N/A","N/A",'Model Inputs'!F24&amp;", F-"&amp;'Model Inputs'!F25)</f>
        <v>, F-</v>
      </c>
      <c r="D24" s="204" t="str">
        <f>IF(C24="N/A","N/A","Baseline: F-"&amp;'Model Inputs'!D25&amp;" (res) &amp; F-"&amp;'Model Inputs'!E25&amp;" (non-res)
Proposed: F-"&amp;'Model Inputs'!F25)</f>
        <v>Baseline: F- (res) &amp; F- (non-res)
Proposed: F-</v>
      </c>
      <c r="E24" s="245" t="str">
        <f>IF(D24="N/A","N/A","Slab-on-grade: "&amp;'Model Inputs'!D24&amp;", F-"&amp;'Model Inputs'!D25&amp;" (res) &amp; F-"&amp;'Model Inputs'!E25&amp;" (non-res)")</f>
        <v>Slab-on-grade: Per ASHRAE, F- (res) &amp; F- (non-res)</v>
      </c>
    </row>
    <row r="25" spans="1:9" ht="24">
      <c r="A25" s="252" t="s">
        <v>645</v>
      </c>
      <c r="B25" s="253">
        <f>'Model Inputs'!C26</f>
        <v>0</v>
      </c>
      <c r="C25" s="204" t="str">
        <f>IF('Model Inputs'!F26="N/A","N/A",'Model Inputs'!F26&amp;", F-"&amp;'Model Inputs'!F27)</f>
        <v>, F-</v>
      </c>
      <c r="D25" s="204" t="str">
        <f>IF(C25="N/A","N/A","Baseline: F-"&amp;'Model Inputs'!D27&amp;" (res) &amp; F-"&amp;'Model Inputs'!E27&amp;" (non-res)
Proposed: F-"&amp;'Model Inputs'!F27)</f>
        <v>Baseline: F- (res) &amp; F- (non-res)
Proposed: F-</v>
      </c>
      <c r="E25" s="245" t="str">
        <f>IF(D25="N/A","N/A","Slab-on-grade: "&amp;'Model Inputs'!D26&amp;", F-"&amp;'Model Inputs'!D27&amp;" (res) &amp; F-"&amp;'Model Inputs'!E27&amp;" (non-res)")</f>
        <v>Slab-on-grade: Per ASHRAE, F- (res) &amp; F- (non-res)</v>
      </c>
    </row>
    <row r="26" spans="1:9" ht="24">
      <c r="A26" s="173" t="s">
        <v>230</v>
      </c>
      <c r="B26" s="217">
        <f>'Model Inputs'!C33</f>
        <v>0</v>
      </c>
      <c r="C26" s="204" t="str">
        <f>'Model Inputs'!F34&amp;", "&amp;'Model Inputs'!F33&amp;", U-"&amp;'Model Inputs'!F35&amp;", SHGC-"&amp;'Model Inputs'!F36</f>
        <v>, , U-, SHGC-</v>
      </c>
      <c r="D26" s="204" t="str">
        <f>"Baseline: U-"&amp;'Model Inputs'!D35&amp;", SHGC-"&amp;'Model Inputs'!D36&amp;"
Proposed: U-"&amp;'Model Inputs'!F35&amp;", SHGC-"&amp;'Model Inputs'!F36</f>
        <v>Baseline: U-, SHGC-
Proposed: U-, SHGC-</v>
      </c>
      <c r="E26" s="245" t="str">
        <f>"Windows: "&amp;'Model Inputs'!D34&amp;", "&amp;'Model Inputs'!D33&amp;", U-"&amp;'Model Inputs'!D35&amp;", SHGC-"&amp;'Model Inputs'!D36</f>
        <v>Windows: Per ASHRAE, , U-, SHGC-</v>
      </c>
    </row>
    <row r="27" spans="1:9" ht="24">
      <c r="A27" s="173" t="s">
        <v>337</v>
      </c>
      <c r="B27" s="217">
        <f>'Model Inputs'!C37</f>
        <v>0</v>
      </c>
      <c r="C27" s="285">
        <f>'Model Inputs'!F37</f>
        <v>0</v>
      </c>
      <c r="D27" s="204" t="str">
        <f>"Baseline: "&amp;'Model Inputs'!D37&amp;"
Proposed: "&amp;'Model Inputs'!F37</f>
        <v xml:space="preserve">Baseline: 
Proposed: </v>
      </c>
      <c r="E27" s="286">
        <f>'Model Inputs'!D37</f>
        <v>0</v>
      </c>
    </row>
    <row r="28" spans="1:9" ht="24">
      <c r="A28" s="173" t="s">
        <v>584</v>
      </c>
      <c r="B28" s="217">
        <f>'Model Inputs'!C38</f>
        <v>0</v>
      </c>
      <c r="C28" s="204" t="str">
        <f>'Model Inputs'!F38&amp;", U-"&amp;'Model Inputs'!F39</f>
        <v>, U-</v>
      </c>
      <c r="D28" s="204" t="str">
        <f>"Baseline: U-"&amp;'Model Inputs'!D39&amp;"
Proposed: U-"&amp;'Model Inputs'!F39</f>
        <v>Baseline: U-
Proposed: U-</v>
      </c>
      <c r="E28" s="245" t="str">
        <f>"Exterior doors: "&amp;'Model Inputs'!D38&amp;", U-"&amp;'Model Inputs'!D39</f>
        <v>Exterior doors: , U-</v>
      </c>
    </row>
    <row r="29" spans="1:9" s="160" customFormat="1" ht="36">
      <c r="A29" s="180" t="s">
        <v>585</v>
      </c>
      <c r="B29" s="216"/>
      <c r="C29" s="182" t="s">
        <v>1471</v>
      </c>
      <c r="D29" s="183"/>
      <c r="E29" s="184"/>
      <c r="F29" s="159"/>
      <c r="G29" s="159"/>
      <c r="H29" s="161"/>
      <c r="I29" s="159"/>
    </row>
    <row r="30" spans="1:9" ht="51.75" customHeight="1">
      <c r="A30" s="173" t="s">
        <v>586</v>
      </c>
      <c r="B30" s="217" t="s">
        <v>41</v>
      </c>
      <c r="C30" s="209" t="str">
        <f>"Primary system: "&amp;'Model Inputs'!E71&amp;" "&amp;'Model Inputs'!E70&amp;" ("&amp;'Model Inputs'!AA72&amp;")"&amp;IF(AND('Model Inputs'!E74&lt;&gt;"N/A",'Model Inputs'!J74="No"),"; Secondary system: "&amp;'Model Inputs'!E75&amp;" "&amp;'Model Inputs'!E74&amp;" ("&amp;'Model Inputs'!AA76&amp;")","")&amp;IF(AND('Model Inputs'!E78&lt;&gt;"N/A",'Model Inputs'!J78="No"),"; Tertiary System: "&amp;'Model Inputs'!E79&amp;" "&amp;'Model Inputs'!E78&amp;" ("&amp;'Model Inputs'!AA80&amp;")","")</f>
        <v>Primary system:   ( COP); Tertiary System:   (0% Et)</v>
      </c>
      <c r="D30" s="259" t="str">
        <f>"Baseline: "&amp;'Model Inputs'!Z72&amp;"
Proposed (Primary): "&amp;'Model Inputs'!AA72&amp;IF(AND('Model Inputs'!E74&lt;&gt;"N/A",'Model Inputs'!J74="No"),"
Proposed (Secondary): "&amp;'Model Inputs'!AA76,"")&amp;IF(AND('Model Inputs'!J78="No",'Model Inputs'!E78&lt;&gt;"N/A"),"
Proposed (Tertiary): "&amp;'Model Inputs'!AA80,"")</f>
        <v>Baseline:  COP
Proposed (Primary):  COP
Proposed (Tertiary): 0% Et</v>
      </c>
      <c r="E30" s="209" t="str">
        <f>'Model Inputs'!D71&amp;" "&amp;'Model Inputs'!D70&amp;" ("&amp;'Model Inputs'!Z72&amp;")"</f>
        <v xml:space="preserve">  ( COP)</v>
      </c>
    </row>
    <row r="31" spans="1:9" ht="24">
      <c r="A31" s="264" t="s">
        <v>678</v>
      </c>
      <c r="B31" s="217">
        <f>'Model Inputs'!C70</f>
        <v>0</v>
      </c>
      <c r="C31" s="265" t="str">
        <f>'Model Inputs'!E71&amp;" "&amp;'Model Inputs'!E70&amp;", "&amp;'Model Inputs'!AA72&amp;" serving "&amp;'Model Inputs'!I70</f>
        <v xml:space="preserve"> ,  COP serving </v>
      </c>
      <c r="D31" s="259" t="str">
        <f>"Baseline: "&amp;'Model Inputs'!Z72&amp;"
Proposed: "&amp;'Model Inputs'!AA72</f>
        <v>Baseline:  COP
Proposed:  COP</v>
      </c>
      <c r="E31" s="265" t="str">
        <f>'Model Inputs'!D71&amp;" "&amp;'Model Inputs'!D70&amp;", "&amp;'Model Inputs'!Z72</f>
        <v xml:space="preserve"> ,  COP</v>
      </c>
    </row>
    <row r="32" spans="1:9" ht="24">
      <c r="A32" s="264" t="s">
        <v>679</v>
      </c>
      <c r="B32" s="217">
        <f>'Model Inputs'!C74</f>
        <v>0</v>
      </c>
      <c r="C32" s="265" t="str">
        <f>IF('Model Inputs'!E74="N/A","N/A",'Model Inputs'!E75&amp;" "&amp;'Model Inputs'!E74&amp;", "&amp;'Model Inputs'!AA76&amp;" serving "&amp;'Model Inputs'!I74)</f>
        <v xml:space="preserve"> , 0% Et serving </v>
      </c>
      <c r="D32" s="259" t="str">
        <f>IF(C32="N/A","N/A","Baseline: "&amp;'Model Inputs'!Z72&amp;"
Proposed: "&amp;'Model Inputs'!AA76)</f>
        <v>Baseline:  COP
Proposed: 0% Et</v>
      </c>
      <c r="E32" s="265" t="str">
        <f>IF(C31="N/A","N/A",E31)</f>
        <v xml:space="preserve"> ,  COP</v>
      </c>
    </row>
    <row r="33" spans="1:8" ht="24">
      <c r="A33" s="264" t="s">
        <v>680</v>
      </c>
      <c r="B33" s="217">
        <f>'Model Inputs'!C78</f>
        <v>0</v>
      </c>
      <c r="C33" s="265" t="str">
        <f>IF('Model Inputs'!E78="N/A","N/A",'Model Inputs'!E79&amp;" "&amp;'Model Inputs'!E78&amp;", "&amp;'Model Inputs'!AA80&amp;" serving "&amp;'Model Inputs'!I78)</f>
        <v xml:space="preserve"> , 0% Et serving </v>
      </c>
      <c r="D33" s="259" t="str">
        <f>IF(C33="N/A","N/A","Baseline: "&amp;'Model Inputs'!Z72&amp;"
Proposed: "&amp;'Model Inputs'!AA80)</f>
        <v>Baseline:  COP
Proposed: 0% Et</v>
      </c>
      <c r="E33" s="265" t="str">
        <f>IF(D33="N/A","N/A",E32)</f>
        <v xml:space="preserve"> ,  COP</v>
      </c>
    </row>
    <row r="34" spans="1:8" ht="24">
      <c r="A34" s="173" t="s">
        <v>587</v>
      </c>
      <c r="B34" s="217" t="s">
        <v>41</v>
      </c>
      <c r="C34" s="209" t="str">
        <f>IF('Model Inputs'!J70="Yes","Primary System: "&amp;'Model Inputs'!E71&amp;" "&amp;'Model Inputs'!E70&amp;" ("&amp;'Model Inputs'!AA72&amp;")",IF('Model Inputs'!J74="Yes","Secondary System: "&amp;'Model Inputs'!E75&amp;" "&amp;'Model Inputs'!E74&amp;" ("&amp;'Model Inputs'!AA76&amp;")",IF('Model Inputs'!J78="Yes","Tertiary System: "&amp;'Model Inputs'!E79&amp;" "&amp;'Model Inputs'!E78&amp;" ("&amp;'Model Inputs'!AA80&amp;")","N/A")))</f>
        <v>N/A</v>
      </c>
      <c r="D34" s="209" t="str">
        <f>IF(AND(OR('Model Inputs'!J70="No",'Model Inputs'!J70=""),OR('Model Inputs'!J74="No",'Model Inputs'!J74=""),OR('Model Inputs'!J78="No",'Model Inputs'!J78="")),"N/A","Baseline: 0 kW
Proposed: "&amp;IF('Model Inputs'!J70="Yes",'Model Inputs'!AA72,IF('Model Inputs'!J74="Yes",'Model Inputs'!AA76,IF('Model Inputs'!J78="Yes",'Model Inputs'!AA80))))</f>
        <v>N/A</v>
      </c>
      <c r="E34" s="209" t="s">
        <v>274</v>
      </c>
    </row>
    <row r="35" spans="1:8" ht="24">
      <c r="A35" s="173" t="s">
        <v>588</v>
      </c>
      <c r="B35" s="217">
        <f>'Model Inputs'!C118</f>
        <v>0</v>
      </c>
      <c r="C35" s="288" t="str">
        <f>IF('Model Inputs'!E118="N/A","N/A",'Model Inputs'!E118&amp;" kW/CFM")</f>
        <v xml:space="preserve"> kW/CFM</v>
      </c>
      <c r="D35" s="292" t="str">
        <f>IF(C35="N/A","N/A","Baseline: "&amp;'Model Inputs'!D118&amp;" kW/CFM
Proposed: "&amp;'Model Inputs'!E118&amp;" kW/CFM")</f>
        <v>Baseline: 0.0003 kW/CFM
Proposed:  kW/CFM</v>
      </c>
      <c r="E35" s="291" t="str">
        <f>IF(D35="N/A","N/A","Space heating fan power: "&amp;'Model Inputs'!D118&amp;" kW/CFM")</f>
        <v>Space heating fan power: 0.0003 kW/CFM</v>
      </c>
    </row>
    <row r="36" spans="1:8" ht="24">
      <c r="A36" s="173" t="s">
        <v>695</v>
      </c>
      <c r="B36" s="163">
        <f>'Model Inputs'!C117</f>
        <v>0</v>
      </c>
      <c r="C36" s="289" t="str">
        <f>IF('Model Inputs'!E117="N/A","N/A","Space heating fan controls: "&amp;'Model Inputs'!E117)</f>
        <v xml:space="preserve">Space heating fan controls: </v>
      </c>
      <c r="D36" s="293" t="str">
        <f>IF(C36="N/A","N/A","Baseline: "&amp;'Model Inputs'!D117&amp;"
Proposed: "&amp;'Model Inputs'!E117)</f>
        <v xml:space="preserve">Baseline: Constant Volume
Proposed: </v>
      </c>
      <c r="E36" s="291" t="str">
        <f>IF(D36="N/A","N/A","Space heating fan controls: "&amp;'Model Inputs'!D117)</f>
        <v>Space heating fan controls: Constant Volume</v>
      </c>
      <c r="F36" s="287"/>
    </row>
    <row r="37" spans="1:8" ht="24">
      <c r="A37" s="173" t="s">
        <v>696</v>
      </c>
      <c r="B37" s="163">
        <f>'Model Inputs'!C119</f>
        <v>0</v>
      </c>
      <c r="C37" s="289" t="str">
        <f>IF('Model Inputs'!E119="N/A","N/A","Space cooling fan controls: "&amp;'Model Inputs'!E119)</f>
        <v xml:space="preserve">Space cooling fan controls: </v>
      </c>
      <c r="D37" s="293" t="str">
        <f>IF(C37="N/A","N/A","Baseline: "&amp;'Model Inputs'!D119&amp;"
Proposed: "&amp;'Model Inputs'!E119)</f>
        <v xml:space="preserve">Baseline: Constant Volume
Proposed: </v>
      </c>
      <c r="E37" s="291" t="str">
        <f>IF(D37="N/A","N/A","Space cooling fan controls: "&amp;'Model Inputs'!D119)</f>
        <v>Space cooling fan controls: Constant Volume</v>
      </c>
      <c r="F37" s="287"/>
    </row>
    <row r="38" spans="1:8" ht="24">
      <c r="A38" s="173" t="s">
        <v>723</v>
      </c>
      <c r="B38" s="163">
        <f>'Model Inputs'!C120</f>
        <v>0</v>
      </c>
      <c r="C38" s="289" t="str">
        <f>IF('Model Inputs'!E120="N/A","N/A",'Model Inputs'!E120&amp;" kW/CFM")</f>
        <v xml:space="preserve"> kW/CFM</v>
      </c>
      <c r="D38" s="290" t="str">
        <f>IF(C38="N/A","N/A","Baseline: "&amp;'Model Inputs'!D120&amp;" kW/CFM
Proposed: "&amp;'Model Inputs'!E120&amp;" kW/CFM")</f>
        <v>Baseline: 0.0003 kW/CFM
Proposed:  kW/CFM</v>
      </c>
      <c r="E38" s="291" t="str">
        <f>IF(D38="N/A","N/A","Space cooling fan power: "&amp;'Model Inputs'!D120&amp;" kW/CFM")</f>
        <v>Space cooling fan power: 0.0003 kW/CFM</v>
      </c>
      <c r="F38" s="287"/>
    </row>
    <row r="39" spans="1:8" ht="36">
      <c r="A39" s="173" t="s">
        <v>589</v>
      </c>
      <c r="B39" s="217" t="s">
        <v>41</v>
      </c>
      <c r="C39" s="209" t="str">
        <f>"Primary System: "&amp;'Model Inputs'!E73&amp;" kBtu"&amp;IF('Model Inputs'!E74&lt;&gt;"N/A","
Secondary System: "&amp;'Model Inputs'!E77&amp;" kBtu"&amp;IF('Model Inputs'!E78&lt;&gt;"N/A","
Tertiary System: "&amp;'Model Inputs'!E81&amp;" kBtu",""),"")</f>
        <v>Primary System:  kBtu
Secondary System:  kBtu
Tertiary System:  kBtu</v>
      </c>
      <c r="D39" s="209" t="str">
        <f>"Baseline: "&amp;'Model Inputs'!D73&amp;" kBtu"&amp;"
Proposed: "&amp;('Model Inputs'!E73+IF('Model Inputs'!E77&lt;&gt;"N/A",'Model Inputs'!E77,0)+IF('Model Inputs'!E81&lt;&gt;"N/A",'Model Inputs'!E81,0)&amp;" kBtu")</f>
        <v>Baseline:  kBtu
Proposed: 0 kBtu</v>
      </c>
      <c r="E39" s="209" t="str">
        <f>'Model Inputs'!D73&amp;" kBtu"</f>
        <v xml:space="preserve"> kBtu</v>
      </c>
      <c r="F39" s="174"/>
      <c r="G39" s="174"/>
      <c r="H39" s="157"/>
    </row>
    <row r="40" spans="1:8" ht="48">
      <c r="A40" s="173" t="s">
        <v>590</v>
      </c>
      <c r="B40" s="217">
        <f>'Model Inputs'!C101</f>
        <v>0</v>
      </c>
      <c r="C40" s="209" t="str">
        <f>"Hot Water Design Supply Temperature: "&amp;'Model Inputs'!E101&amp;" °F
Hot Water Design Return Temperature:  "&amp;'Model Inputs'!E102&amp;" °F"</f>
        <v>Hot Water Design Supply Temperature:  °F
Hot Water Design Return Temperature:   °F</v>
      </c>
      <c r="D40" s="209" t="str">
        <f>"Baseline: "&amp;'Model Inputs'!D101&amp;"°F, DELTA_T: "&amp;('Model Inputs'!D101-'Model Inputs'!D102)&amp;"°F
Proposed: "&amp;'Model Inputs'!E101&amp;"°F, DELTA_T: "&amp;('Model Inputs'!E101-'Model Inputs'!E102)&amp;"°F"</f>
        <v>Baseline: 180°F, DELTA_T: 50°F
Proposed: °F, DELTA_T: 0°F</v>
      </c>
      <c r="E40" s="209" t="str">
        <f>"Hot Water Design Supply Temperature: "&amp;'Model Inputs'!D101&amp;" °F
Hot Water Design Return Temperature:  "&amp;'Model Inputs'!D102&amp;" °F"</f>
        <v>Hot Water Design Supply Temperature: 180 °F
Hot Water Design Return Temperature:  130 °F</v>
      </c>
    </row>
    <row r="41" spans="1:8" ht="36">
      <c r="A41" s="173" t="s">
        <v>591</v>
      </c>
      <c r="B41" s="217">
        <f>'Model Inputs'!C103</f>
        <v>0</v>
      </c>
      <c r="C41" s="260" t="str">
        <f>'Model Inputs'!E103&amp;", "&amp;'Model Inputs'!E104</f>
        <v xml:space="preserve">, </v>
      </c>
      <c r="D41" s="258" t="str">
        <f>"Baseline :"&amp;'Model Inputs'!D103&amp;", "&amp;'Model Inputs'!D104&amp;"
Proposed: "&amp;'Model Inputs'!E103&amp;", "&amp;'Model Inputs'!E104</f>
        <v xml:space="preserve">Baseline :OA Reset, 180°F at 20°F and below, 
150°F at 50°F and above
Proposed: , </v>
      </c>
      <c r="E41" s="258" t="str">
        <f>'Model Inputs'!D103&amp;", "&amp;'Model Inputs'!D104</f>
        <v>OA Reset, 180°F at 20°F and below, 
150°F at 50°F and above</v>
      </c>
      <c r="F41" s="174"/>
      <c r="H41" s="157"/>
    </row>
    <row r="42" spans="1:8" ht="24">
      <c r="A42" s="173" t="s">
        <v>592</v>
      </c>
      <c r="B42" s="217" t="s">
        <v>41</v>
      </c>
      <c r="C42" s="163" t="str">
        <f>"Heating: "&amp;'Model Inputs'!E108&amp;"/"&amp;'Model Inputs'!E106&amp;"
Cooling: "&amp;'Model Inputs'!E109&amp;"/"&amp;'Model Inputs'!E111</f>
        <v>Heating: 70 °F/72 °F
Cooling: 78 °F/80 °F</v>
      </c>
      <c r="D42" s="257" t="str">
        <f>"Heating: "&amp;'Model Inputs'!E108&amp;"/"&amp;'Model Inputs'!E106&amp;"
Cooling: "&amp;'Model Inputs'!E109&amp;"/"&amp;'Model Inputs'!E111</f>
        <v>Heating: 70 °F/72 °F
Cooling: 78 °F/80 °F</v>
      </c>
      <c r="E42" s="257" t="str">
        <f>"Heating: "&amp;'Model Inputs'!D108&amp;"/"&amp;'Model Inputs'!D106&amp;"
Cooling: "&amp;'Model Inputs'!D109&amp;"/"&amp;'Model Inputs'!D111</f>
        <v>Heating: 70 °F/72 °F
Cooling: 78 °F/80 °F</v>
      </c>
      <c r="F42" s="174"/>
      <c r="H42" s="157"/>
    </row>
    <row r="43" spans="1:8" ht="48">
      <c r="A43" s="173" t="s">
        <v>593</v>
      </c>
      <c r="B43" s="217" t="s">
        <v>41</v>
      </c>
      <c r="C43" s="266" t="str">
        <f>IF('Model Inputs'!E86="N/A","N/A","Primary System: "&amp;'Model Inputs'!E87&amp;" "&amp;'Model Inputs'!E86&amp;" serving "&amp;'Model Inputs'!I86&amp;", "&amp;'Model Inputs'!AA88&amp;" "&amp;IF('Model Inputs'!E90&lt;&gt;"N/A","
Secondary system: "&amp;'Model Inputs'!E91&amp;" "&amp;'Model Inputs'!E90&amp;" serving "&amp;'Model Inputs'!I90&amp;", "&amp;'Model Inputs'!AA92,"")&amp;IF('Model Inputs'!E94&lt;&gt;"N/A","
Secondary system: "&amp;'Model Inputs'!E95&amp;" "&amp;'Model Inputs'!E94&amp;" serving "&amp;'Model Inputs'!I94&amp;", "&amp;'Model Inputs'!AA96,""))</f>
        <v>Primary System:   serving ,  EER 
Secondary system:   serving ,  EER
Secondary system:   serving ,  EER</v>
      </c>
      <c r="D43" s="267" t="str">
        <f>"Baseline: "&amp;'Model Inputs'!Z88&amp;"
Proposed (Primary): "&amp;'Model Inputs'!AA88&amp;IF('Model Inputs'!E90&lt;&gt;"N/A","
Proposed (Secondary): "&amp;'Model Inputs'!AA92)&amp;IF('Model Inputs'!E94&lt;&gt;"N/A","
Proposed (Secondary): "&amp;'Model Inputs'!AA96)</f>
        <v>Baseline:  EER
Proposed (Primary):  EER
Proposed (Secondary):  EER
Proposed (Secondary):  EER</v>
      </c>
      <c r="E43" s="267" t="str">
        <f>"Primary System: "&amp; 'Model Inputs'!D87&amp;" "&amp;'Model Inputs'!D86&amp;" serving whole building, "&amp;'Model Inputs'!Z88&amp;IF('Model Inputs'!D90&lt;&gt;"N/A","
Secondary system: "&amp;'Model Inputs'!D91&amp;", "&amp;'Model Inputs'!Z92&amp;" "&amp;'Model Inputs'!D90&amp;" serving "&amp;'Model Inputs'!H90,"")</f>
        <v>Primary System:   serving whole building,  EER</v>
      </c>
      <c r="H43" s="157"/>
    </row>
    <row r="44" spans="1:8" ht="24">
      <c r="A44" s="264" t="s">
        <v>681</v>
      </c>
      <c r="B44" s="217">
        <f>'Model Inputs'!C86</f>
        <v>0</v>
      </c>
      <c r="C44" s="269" t="str">
        <f>'Model Inputs'!E87&amp;" "&amp;'Model Inputs'!E86&amp;", "&amp;'Model Inputs'!AA88&amp;" serving "&amp;'Model Inputs'!I86</f>
        <v xml:space="preserve"> ,  EER serving </v>
      </c>
      <c r="D44" s="269" t="str">
        <f>IF($C$44="N/A","N/A","Baseline: "&amp;'Model Inputs'!$Z$88&amp;"
Proposed: "&amp;'Model Inputs'!$AA$88)</f>
        <v>Baseline:  EER
Proposed:  EER</v>
      </c>
      <c r="E44" s="173" t="str">
        <f>IF(D44="N/A","N/A",'Model Inputs'!$D$87&amp;" "&amp;'Model Inputs'!$D$86&amp;", "&amp;'Model Inputs'!$Z$88)</f>
        <v xml:space="preserve"> ,  EER</v>
      </c>
      <c r="H44" s="157"/>
    </row>
    <row r="45" spans="1:8" ht="24">
      <c r="A45" s="173" t="s">
        <v>682</v>
      </c>
      <c r="B45" s="217">
        <f>'Model Inputs'!C90</f>
        <v>0</v>
      </c>
      <c r="C45" s="269" t="str">
        <f>IF(OR('Model Inputs'!E90="N/A",'Model Inputs'!E90=""),"N/A",'Model Inputs'!E91&amp;" "&amp;'Model Inputs'!E90&amp;", "&amp;'Model Inputs'!AA92&amp;" serving "&amp;'Model Inputs'!I90)</f>
        <v>N/A</v>
      </c>
      <c r="D45" s="269" t="str">
        <f>IF(C45="N/A","N/A","Baseline: "&amp;'Model Inputs'!Z88&amp;"
Proposed: "&amp;'Model Inputs'!AA92)</f>
        <v>N/A</v>
      </c>
      <c r="E45" s="173" t="str">
        <f>IF(D45="N/A","N/A",'Model Inputs'!$D$87&amp;" "&amp;'Model Inputs'!$D$86&amp;", "&amp;'Model Inputs'!$Z$88)</f>
        <v>N/A</v>
      </c>
      <c r="H45" s="157"/>
    </row>
    <row r="46" spans="1:8" ht="24">
      <c r="A46" s="173" t="s">
        <v>1092</v>
      </c>
      <c r="B46" s="217">
        <f>'Model Inputs'!C94</f>
        <v>0</v>
      </c>
      <c r="C46" s="269" t="str">
        <f>IF(OR('Model Inputs'!E94="N/A",'Model Inputs'!E94=""),"N/A",'Model Inputs'!E95&amp;" "&amp;'Model Inputs'!E94&amp;", "&amp;'Model Inputs'!AA96&amp;" serving "&amp;'Model Inputs'!I94)</f>
        <v>N/A</v>
      </c>
      <c r="D46" s="269" t="str">
        <f>IF(C46="N/A","N/A","Baseline: "&amp;'Model Inputs'!Z88&amp;"
Proposed: "&amp;'Model Inputs'!AA96)</f>
        <v>N/A</v>
      </c>
      <c r="E46" s="173" t="str">
        <f>IF(D46="N/A","N/A",'Model Inputs'!$D$87&amp;" "&amp;'Model Inputs'!$D$86&amp;", "&amp;'Model Inputs'!$Z$88)</f>
        <v>N/A</v>
      </c>
      <c r="H46" s="157"/>
    </row>
    <row r="47" spans="1:8" ht="36">
      <c r="A47" s="173" t="s">
        <v>594</v>
      </c>
      <c r="B47" s="217" t="s">
        <v>41</v>
      </c>
      <c r="C47" s="268" t="str">
        <f>IF('Model Inputs'!E93="N/A","N/A","Primary system: "&amp;'Model Inputs'!E89&amp;" tons"&amp;IF('Model Inputs'!E90&lt;&gt;"N/A","
Secondary system: "&amp;'Model Inputs'!E93&amp;" tons",""))</f>
        <v>Primary system:  tons
Secondary system:  tons</v>
      </c>
      <c r="D47" s="268" t="str">
        <f>IF(C47="N/A","N/A","Baseline: "&amp;'Model Inputs'!D89&amp;" tons
Proposed (primary): "&amp;'Model Inputs'!E89&amp;" tons"&amp;IF('Model Inputs'!E90&lt;&gt;"N/A","
Proposed (secondary): "&amp;'Model Inputs'!E93&amp;" tons",""))</f>
        <v>Baseline:  tons
Proposed (primary):  tons
Proposed (secondary):  tons</v>
      </c>
      <c r="E47" s="261" t="str">
        <f>IF(C47="N/A","N/A",'Model Inputs'!D89&amp;" tons")</f>
        <v xml:space="preserve"> tons</v>
      </c>
      <c r="F47" s="280"/>
    </row>
    <row r="48" spans="1:8" ht="24">
      <c r="A48" s="173" t="s">
        <v>595</v>
      </c>
      <c r="B48" s="217" t="s">
        <v>41</v>
      </c>
      <c r="C48" s="262">
        <f>'Model Inputs'!E105</f>
        <v>0</v>
      </c>
      <c r="D48" s="263" t="str">
        <f>"Baseline: "&amp;'Model Inputs'!D105&amp;"
Proposed: "&amp;'Model Inputs'!E105</f>
        <v xml:space="preserve">Baseline: None
Proposed: </v>
      </c>
      <c r="E48" s="262" t="str">
        <f>'Model Inputs'!D105</f>
        <v>None</v>
      </c>
      <c r="G48" s="161"/>
    </row>
    <row r="49" spans="1:11" s="160" customFormat="1">
      <c r="A49" s="186" t="s">
        <v>596</v>
      </c>
      <c r="B49" s="218"/>
      <c r="C49" s="187"/>
      <c r="D49" s="188"/>
      <c r="E49" s="189"/>
      <c r="F49" s="281"/>
      <c r="G49" s="174"/>
      <c r="H49" s="159"/>
      <c r="I49" s="159"/>
      <c r="J49" s="159"/>
      <c r="K49" s="159"/>
    </row>
    <row r="50" spans="1:11" ht="24">
      <c r="A50" s="173" t="s">
        <v>597</v>
      </c>
      <c r="B50" s="217">
        <f>'Model Inputs'!C46</f>
        <v>0</v>
      </c>
      <c r="C50" s="247">
        <f>'Model Inputs'!$E$46</f>
        <v>0</v>
      </c>
      <c r="D50" s="251" t="str">
        <f>"Baseline: "&amp;'Model Inputs'!$D$46&amp;"
Proposed: "&amp;'Model Inputs'!$E$46</f>
        <v xml:space="preserve">Baseline: N/A
Proposed: </v>
      </c>
      <c r="E50" s="185" t="str">
        <f>"Lighting Controls: "&amp;'Model Inputs'!$D$46</f>
        <v>Lighting Controls: N/A</v>
      </c>
      <c r="F50" s="282"/>
      <c r="G50" s="174"/>
      <c r="H50" s="157"/>
    </row>
    <row r="51" spans="1:11" ht="24">
      <c r="A51" s="173" t="s">
        <v>639</v>
      </c>
      <c r="B51" s="217">
        <f>'Model Inputs'!C44</f>
        <v>0</v>
      </c>
      <c r="C51" s="248" t="str">
        <f>"Corridors: "&amp;'Model Inputs'!E44&amp;", "&amp;'Model Inputs'!$E$45</f>
        <v xml:space="preserve">Corridors: , </v>
      </c>
      <c r="D51" s="248" t="str">
        <f>IF(C51="N/A","N/A","Baseline: Corridors - "&amp;'Model Inputs'!D44&amp;", "&amp;'Model Inputs'!$D$45&amp;"
Proposed: Corridors - "&amp;'Model Inputs'!E44&amp;", "&amp;'Model Inputs'!$E$45)</f>
        <v xml:space="preserve">Baseline: Corridors - 0.66, 
Proposed: Corridors - , </v>
      </c>
      <c r="E51" s="248" t="str">
        <f>"Corridors - "&amp;'Model Inputs'!D44&amp;", "&amp;'Model Inputs'!$D$45</f>
        <v xml:space="preserve">Corridors - 0.66, </v>
      </c>
      <c r="F51" s="280"/>
      <c r="G51" s="174"/>
    </row>
    <row r="52" spans="1:11" ht="24">
      <c r="A52" s="173" t="s">
        <v>185</v>
      </c>
      <c r="B52" s="217">
        <f>'Model Inputs'!C47</f>
        <v>0</v>
      </c>
      <c r="C52" s="185" t="str">
        <f>IF('Model Inputs'!E47="N/A","N/A","Exit Signs: "&amp; 'Model Inputs'!$E$47&amp;" kW")</f>
        <v>Exit Signs:  kW</v>
      </c>
      <c r="D52" s="251" t="str">
        <f>IF(C52="N/A","N/A","Baseline: "&amp;'Model Inputs'!$D$47&amp;" kW
Proposed: "&amp;'Model Inputs'!$E$47&amp;" kW")</f>
        <v>Baseline:  kW
Proposed:  kW</v>
      </c>
      <c r="E52" s="185" t="str">
        <f>IF(C52="N/A","N/A","Exit Signs: "&amp;'Model Inputs'!$D$47&amp; " kW")</f>
        <v>Exit Signs:  kW</v>
      </c>
      <c r="F52" s="280"/>
      <c r="G52" s="174"/>
      <c r="H52" s="157"/>
    </row>
    <row r="53" spans="1:11" ht="24">
      <c r="A53" s="173" t="s">
        <v>598</v>
      </c>
      <c r="B53" s="217">
        <f>'Model Inputs'!C49</f>
        <v>0</v>
      </c>
      <c r="C53" s="185" t="str">
        <f>IF('Model Inputs'!E49="N/A","N/A","Exterior Lighting: "&amp;'Model Inputs'!$E$49&amp;" kW")</f>
        <v>Exterior Lighting:  kW</v>
      </c>
      <c r="D53" s="251" t="str">
        <f>IF(C53="N/A","N/A","Baseline: "&amp;'Model Inputs'!$D$49&amp;" kW, 12 hr/day
Proposed: "&amp;'Model Inputs'!$E$49&amp;" kW, 12 hr/day")</f>
        <v>Baseline:  kW, 12 hr/day
Proposed:  kW, 12 hr/day</v>
      </c>
      <c r="E53" s="185" t="str">
        <f>IF(C53="N/A","N/A","Exterior Lighting: "&amp;'Model Inputs'!$D$49&amp;" kW")</f>
        <v>Exterior Lighting:  kW</v>
      </c>
      <c r="F53" s="280"/>
      <c r="G53" s="174"/>
      <c r="H53" s="157"/>
    </row>
    <row r="54" spans="1:11" ht="24">
      <c r="A54" s="173" t="s">
        <v>599</v>
      </c>
      <c r="B54" s="217">
        <f>'Model Inputs'!C48</f>
        <v>0</v>
      </c>
      <c r="C54" s="185" t="str">
        <f>IF('Model Inputs'!E48="N/A","N/A","Garage Lighting: "&amp;'Model Inputs'!$E$48&amp;" W/SF")</f>
        <v>Garage Lighting:  W/SF</v>
      </c>
      <c r="D54" s="251" t="str">
        <f>IF(C54="N/A","N/A","Baseline: "&amp;'Model Inputs'!$D$48&amp; " W/SF, 24 hr/day
Proposed: "&amp;'Model Inputs'!$E$48&amp;" W/SF, 24 hr/day")</f>
        <v>Baseline:  W/SF, 24 hr/day
Proposed:  W/SF, 24 hr/day</v>
      </c>
      <c r="E54" s="185" t="str">
        <f>IF(D54="N/A","N/A","Garage Lighting: "&amp;'Model Inputs'!$D$48&amp;" W/SF")</f>
        <v>Garage Lighting:  W/SF</v>
      </c>
      <c r="F54" s="280"/>
      <c r="G54" s="174"/>
      <c r="H54" s="157"/>
    </row>
    <row r="55" spans="1:11" ht="24">
      <c r="A55" s="173" t="s">
        <v>600</v>
      </c>
      <c r="B55" s="217">
        <f>'Model Inputs'!C43</f>
        <v>0</v>
      </c>
      <c r="C55" s="185" t="str">
        <f>"In-unit Lighting: "&amp;'Model Inputs'!$E$43&amp;" W/SF"</f>
        <v>In-unit Lighting:  W/SF</v>
      </c>
      <c r="D55" s="251" t="str">
        <f>"Baseline: "&amp;'Model Inputs'!$D$43&amp;" W/SF, 2.34 hr/day
Proposed: "&amp;'Model Inputs'!$E$43&amp;" W/SF, 2.34 hr/day"</f>
        <v>Baseline: 0.6 W/SF, 2.34 hr/day
Proposed:  W/SF, 2.34 hr/day</v>
      </c>
      <c r="E55" s="185" t="str">
        <f>"In-unit Lighting: "&amp;'Model Inputs'!$D$43&amp;" W/SF"</f>
        <v>In-unit Lighting: 0.6 W/SF</v>
      </c>
      <c r="F55" s="256"/>
      <c r="G55" s="159"/>
      <c r="H55" s="157"/>
    </row>
    <row r="56" spans="1:11" s="160" customFormat="1">
      <c r="A56" s="180" t="s">
        <v>601</v>
      </c>
      <c r="B56" s="216"/>
      <c r="C56" s="182"/>
      <c r="D56" s="183"/>
      <c r="E56" s="184"/>
      <c r="F56" s="282"/>
      <c r="G56" s="174"/>
      <c r="H56" s="161"/>
      <c r="I56" s="159"/>
      <c r="J56" s="159"/>
      <c r="K56" s="159"/>
    </row>
    <row r="57" spans="1:11" ht="24">
      <c r="A57" s="163" t="s">
        <v>602</v>
      </c>
      <c r="B57" s="217">
        <f>'Model Inputs'!C112</f>
        <v>0</v>
      </c>
      <c r="C57" s="163" t="str">
        <f>IF('Model Inputs'!E112="No","N/A",'Model Inputs'!F112&amp;" "&amp;'Model Inputs'!G112&amp;" "&amp;'Model Inputs'!H112&amp;" NEMA "&amp;'Model Inputs'!E114&amp;" Motor, "&amp;'Model Inputs'!E113&amp;" W/GPM")</f>
        <v xml:space="preserve">   NEMA  Motor,  W/GPM</v>
      </c>
      <c r="D57" s="209" t="str">
        <f>IF(C57="N/A","N/A",IF('Model Inputs'!$E$112="No","Baseline: "&amp;'Model Inputs'!$D$113&amp;" W/CFM
Proposed: 0 W/GPM","Baseline: "&amp;'Model Inputs'!$D$113&amp;" W/GPM
Proposed: "&amp;'Model Inputs'!$E$113&amp;" W/GPM"))</f>
        <v>Baseline: 19 W/GPM
Proposed:  W/GPM</v>
      </c>
      <c r="E57" s="204" t="str">
        <f>IF(C57="N/A","N/A",IF('Model Inputs'!$E$112="No","Not applicable","NEMA "&amp;'Model Inputs'!D114&amp;" Motor, "&amp;'Model Inputs'!D113&amp;" W/GPM"))</f>
        <v>NEMA Standard Motor, 19 W/GPM</v>
      </c>
      <c r="F57" s="283"/>
      <c r="G57" s="284"/>
    </row>
    <row r="58" spans="1:11" ht="24">
      <c r="A58" s="217" t="s">
        <v>773</v>
      </c>
      <c r="B58" s="217">
        <f>'Model Inputs'!C115</f>
        <v>0</v>
      </c>
      <c r="C58" s="163" t="str">
        <f>IF('Model Inputs'!E112="No","N/A","Heating pump motor: "&amp;'Model Inputs'!E116&amp;" hp "&amp;'Model Inputs'!E115)</f>
        <v xml:space="preserve">Heating pump motor:  hp </v>
      </c>
      <c r="D58" s="209" t="str">
        <f>IF(C58="N/A","N/A","Baseline: "&amp;'Model Inputs'!D116&amp;" hp "&amp;'Model Inputs'!D115&amp;" motor
Proposed: "&amp;'Model Inputs'!E116&amp;" hp "&amp;'Model Inputs'!E115&amp;" motor")</f>
        <v>Baseline:  hp One-Speed motor
Proposed:  hp  motor</v>
      </c>
      <c r="E58" s="204" t="str">
        <f>IF(C58="N/A","N/A",IF('Model Inputs'!$E$112="No","Not applicable","Heating pump motor: "&amp;'Model Inputs'!D116&amp;" hp "&amp;'Model Inputs'!D115))</f>
        <v>Heating pump motor:  hp One-Speed</v>
      </c>
      <c r="F58" s="307"/>
      <c r="G58" s="284"/>
    </row>
    <row r="59" spans="1:11" ht="24">
      <c r="A59" s="163" t="s">
        <v>603</v>
      </c>
      <c r="B59" s="217">
        <f>'Model Inputs'!C129</f>
        <v>0</v>
      </c>
      <c r="C59" s="163" t="str">
        <f>IF('Model Inputs'!E129="No","N/A",IF('Model Inputs'!E129="No","Not applicable",'Model Inputs'!E130&amp;" "&amp;'Model Inputs'!F129&amp;" "&amp;'Model Inputs'!G129&amp;" "&amp;'Model Inputs'!E134&amp;" hp NEMA "&amp;'Model Inputs'!E132&amp;" efficient motor, "&amp;TEXT('Model Inputs'!E131,"0.0%")))</f>
        <v xml:space="preserve">    hp NEMA  efficient motor, 0.0%</v>
      </c>
      <c r="D59" s="254" t="str">
        <f>IF(C59="N/A","N/A",IF('Model Inputs'!$E$129="No","Not applicable","Baseline: "&amp;TEXT('Model Inputs'!$D$131,"0.0%")&amp;"
Proposed: "&amp;TEXT('Model Inputs'!$E$131,"0.0%")))</f>
        <v>Baseline: 0.0%
Proposed: 0.0%</v>
      </c>
      <c r="E59" s="254" t="str">
        <f>IF(C59="N/A","N/A",IF('Model Inputs'!$E$129="No","Not applicable",'Model Inputs'!$D$130&amp;" "&amp;'Model Inputs'!$D$134&amp;" hp NEMA "&amp;'Model Inputs'!$D$132&amp;" efficiency motor, "&amp;TEXT('Model Inputs'!$D$131,"0.0%")&amp;" efficient"))</f>
        <v xml:space="preserve">  hp NEMA  efficiency motor, 0.0% efficient</v>
      </c>
      <c r="F59" s="283"/>
      <c r="G59" s="159"/>
    </row>
    <row r="60" spans="1:11" ht="24">
      <c r="A60" s="163" t="s">
        <v>1087</v>
      </c>
      <c r="B60" s="217">
        <f>'Model Inputs'!C133</f>
        <v>0</v>
      </c>
      <c r="C60" s="163" t="str">
        <f>IF('Model Inputs'!E129="No","N/A","DHW pump control: "&amp;'Model Inputs'!E134&amp;" hp "&amp;'Model Inputs'!E133)</f>
        <v xml:space="preserve">DHW pump control:  hp </v>
      </c>
      <c r="D60" s="254" t="str">
        <f>IF(C60="N/A","N/A","Baseline: "&amp;'Model Inputs'!D134&amp;" hp "&amp;'Model Inputs'!D133&amp;" control
Proposed: "&amp;'Model Inputs'!E134&amp;" hp "&amp;'Model Inputs'!E133&amp;" control")</f>
        <v>Baseline:  hp  control
Proposed:  hp  control</v>
      </c>
      <c r="E60" s="254" t="str">
        <f>IF(C60="N/A","N/A",IF('Model Inputs'!E128="No","Not applicable","DHW pump control: "&amp;'Model Inputs'!D134&amp;" hp "&amp;'Model Inputs'!D133))</f>
        <v xml:space="preserve">DHW pump control:  hp </v>
      </c>
      <c r="F60" s="307"/>
      <c r="G60" s="159"/>
    </row>
    <row r="61" spans="1:11" s="160" customFormat="1">
      <c r="A61" s="180" t="s">
        <v>604</v>
      </c>
      <c r="B61" s="216"/>
      <c r="C61" s="271"/>
      <c r="D61" s="183"/>
      <c r="E61" s="184"/>
      <c r="F61" s="280"/>
      <c r="G61" s="157"/>
      <c r="H61" s="161"/>
      <c r="I61" s="159"/>
      <c r="J61" s="159"/>
      <c r="K61" s="159"/>
    </row>
    <row r="62" spans="1:11" ht="24">
      <c r="A62" s="173" t="s">
        <v>698</v>
      </c>
      <c r="B62" s="163">
        <f>'Model Inputs'!C142</f>
        <v>0</v>
      </c>
      <c r="C62" s="273" t="str">
        <f>"Kitchen: "&amp;'Model Inputs'!E143&amp;" CFM ("&amp;'Model Inputs'!$J$143&amp;")
Bathroom: "&amp;'Model Inputs'!E142&amp;" CFM ("&amp;'Model Inputs'!$J$142&amp;")"</f>
        <v>Kitchen: 0 CFM (0)
Bathroom: 0 CFM (0)</v>
      </c>
      <c r="D62" s="274" t="str">
        <f>"Baseline: "&amp;('Model Inputs'!D142*'Model Inputs'!F142+'Model Inputs'!D143*'Model Inputs'!F143)&amp;" CFM
Proposed: "&amp;('Model Inputs'!E142*'Model Inputs'!F142+'Model Inputs'!E143*'Model Inputs'!F143)&amp;" CFM"</f>
        <v>Baseline: 0 CFM
Proposed: 0 CFM</v>
      </c>
      <c r="E62" s="275" t="str">
        <f>"Kitchen: "&amp;'Model Inputs'!D143&amp;" CFM ("&amp;'Model Inputs'!$J$143&amp;")
Bathroom: "&amp;'Model Inputs'!D142&amp;" CFM ("&amp;'Model Inputs'!$J$142&amp;")"</f>
        <v>Kitchen: 0 CFM (0)
Bathroom: 20 CFM (0)</v>
      </c>
    </row>
    <row r="63" spans="1:11" ht="24">
      <c r="A63" s="173" t="s">
        <v>697</v>
      </c>
      <c r="B63" s="163">
        <f>'Model Inputs'!C156</f>
        <v>0</v>
      </c>
      <c r="C63" s="273" t="str">
        <f>IF('Model Inputs'!E156="N/A","N/A",("Non-corridor: "&amp;'Model Inputs'!E156&amp;" CFM"))</f>
        <v>Non-corridor:  CFM</v>
      </c>
      <c r="D63" s="274" t="str">
        <f>IF(C63="N/A","N/A","Baseline: "&amp;'Model Inputs'!D156&amp;" CFM
Proposed: "&amp;'Model Inputs'!E156&amp;" CFM")</f>
        <v>Baseline: N/A CFM
Proposed:  CFM</v>
      </c>
      <c r="E63" s="275" t="str">
        <f>IF(D63="N/A","N/A","Non-corridor Exhaust: "&amp;'Model Inputs'!D156&amp;" CFM")</f>
        <v>Non-corridor Exhaust: N/A CFM</v>
      </c>
    </row>
    <row r="64" spans="1:11" ht="24">
      <c r="A64" s="173" t="s">
        <v>605</v>
      </c>
      <c r="B64" s="217">
        <f>'Model Inputs'!C153</f>
        <v>0</v>
      </c>
      <c r="C64" s="276" t="str">
        <f>IF('Model Inputs'!E153="N/A","N/A","Corridor: "&amp;'Model Inputs'!E153&amp;" CFM")</f>
        <v>Corridor: 0 CFM</v>
      </c>
      <c r="D64" s="276" t="str">
        <f>IF(C64="N/A","N/A","Baseline: "&amp;'Model Inputs'!D153&amp;" CFM
Proposed: "&amp;'Model Inputs'!E153&amp;" CFM")</f>
        <v>Baseline: 0 CFM
Proposed: 0 CFM</v>
      </c>
      <c r="E64" s="273" t="str">
        <f>IF(D64="N/A","N/A","Corridor Supply Ventilation: "&amp;'Model Inputs'!D153&amp;" CFM")</f>
        <v>Corridor Supply Ventilation: 0 CFM</v>
      </c>
    </row>
    <row r="65" spans="1:7" ht="24">
      <c r="A65" s="173" t="s">
        <v>722</v>
      </c>
      <c r="B65" s="163" t="s">
        <v>41</v>
      </c>
      <c r="C65" s="276">
        <f>'Model Inputs'!E151</f>
        <v>0</v>
      </c>
      <c r="D65" s="276" t="str">
        <f>"Baseline: "&amp;'Model Inputs'!D151&amp;"
Proposed: "&amp;'Model Inputs'!E151</f>
        <v xml:space="preserve">Baseline: 
Proposed: </v>
      </c>
      <c r="E65" s="273" t="str">
        <f>"Fresh air supplied to apts by: "&amp;'Model Inputs'!D151</f>
        <v xml:space="preserve">Fresh air supplied to apts by: </v>
      </c>
    </row>
    <row r="66" spans="1:7" ht="24" customHeight="1">
      <c r="A66" s="173" t="s">
        <v>1372</v>
      </c>
      <c r="B66" s="163">
        <f>'Model Inputs'!C152</f>
        <v>0</v>
      </c>
      <c r="C66" s="276" t="str">
        <f>"Proposed infiltration rate: "&amp;'Model Inputs'!E152&amp;" ACH"</f>
        <v>Proposed infiltration rate: 0 ACH</v>
      </c>
      <c r="D66" s="276" t="str">
        <f>"Baseline: "&amp;'Model Inputs'!D152&amp;" ACH
Proposed: "&amp;'Model Inputs'!E152&amp;" ACH"</f>
        <v>Baseline: 0 ACH
Proposed: 0 ACH</v>
      </c>
      <c r="E66" s="273" t="str">
        <f>"Baseline infiltration rate: "&amp;'Model Inputs'!D152 &amp;"ACH"</f>
        <v>Baseline infiltration rate: 0ACH</v>
      </c>
    </row>
    <row r="67" spans="1:7" ht="24" customHeight="1">
      <c r="A67" s="173" t="s">
        <v>1373</v>
      </c>
      <c r="B67" s="163">
        <f>'Model Inputs'!C159</f>
        <v>0</v>
      </c>
      <c r="C67" s="276" t="str">
        <f>"Proposed fan efficiency: "&amp;'Model Inputs'!E159*100&amp;"%"</f>
        <v>Proposed fan efficiency: 0%</v>
      </c>
      <c r="D67" s="276" t="str">
        <f>"Baseline: Included in baseline allowance
Proposed: "&amp;'Model Inputs'!E159*100&amp;"%"</f>
        <v>Baseline: Included in baseline allowance
Proposed: 0%</v>
      </c>
      <c r="E67" s="273" t="s">
        <v>1252</v>
      </c>
    </row>
    <row r="68" spans="1:7" ht="24" customHeight="1">
      <c r="A68" s="173" t="s">
        <v>1374</v>
      </c>
      <c r="B68" s="163">
        <f>'Model Inputs'!C161</f>
        <v>0</v>
      </c>
      <c r="C68" s="276" t="str">
        <f>"Proposed supply airflow (primary system): "&amp;'Model Inputs'!E161&amp;" CFM"</f>
        <v>Proposed supply airflow (primary system):  CFM</v>
      </c>
      <c r="D68" s="276" t="str">
        <f>"Baseline: "&amp;'Model Inputs'!D161&amp;" CFM
Proposed: "&amp;'Model Inputs'!E161&amp;" CFM"</f>
        <v>Baseline:  CFM
Proposed:  CFM</v>
      </c>
      <c r="E68" s="273" t="str">
        <f>"Baseline supply airflow (primary system): "&amp;'Model Inputs'!D161&amp;" CFM"</f>
        <v>Baseline supply airflow (primary system):  CFM</v>
      </c>
    </row>
    <row r="69" spans="1:7" ht="24" customHeight="1">
      <c r="A69" s="173" t="s">
        <v>1375</v>
      </c>
      <c r="B69" s="163">
        <f>'Model Inputs'!C162</f>
        <v>0</v>
      </c>
      <c r="C69" s="276" t="str">
        <f>"Proposed supply airflow (secondary system): "&amp;'Model Inputs'!E162&amp;" CFM"</f>
        <v>Proposed supply airflow (secondary system):  CFM</v>
      </c>
      <c r="D69" s="276" t="str">
        <f>"Baseline: "&amp;'Model Inputs'!D162&amp;" CFM
Proposed: "&amp;'Model Inputs'!E162&amp;" CFM"</f>
        <v>Baseline:  CFM
Proposed:  CFM</v>
      </c>
      <c r="E69" s="273" t="str">
        <f>"Baseline supply airflow (secondary system): "&amp;'Model Inputs'!D162&amp;" CFM"</f>
        <v>Baseline supply airflow (secondary system):  CFM</v>
      </c>
    </row>
    <row r="70" spans="1:7" ht="24" customHeight="1">
      <c r="A70" s="173" t="s">
        <v>1376</v>
      </c>
      <c r="B70" s="163">
        <f>'Model Inputs'!C163</f>
        <v>0</v>
      </c>
      <c r="C70" s="276" t="str">
        <f>"Proposed supply airflow (tertiary system): "&amp;'Model Inputs'!E163&amp;" CFM"</f>
        <v>Proposed supply airflow (tertiary system):  CFM</v>
      </c>
      <c r="D70" s="276" t="str">
        <f>"Baseline: "&amp;'Model Inputs'!D163&amp;" CFM
Proposed: "&amp;'Model Inputs'!E163&amp;" CFM"</f>
        <v>Baseline:  CFM
Proposed:  CFM</v>
      </c>
      <c r="E70" s="273" t="str">
        <f>"Baseline supply airflow (tertiary system): "&amp;'Model Inputs'!D163&amp;" CFM"</f>
        <v>Baseline supply airflow (tertiary system):  CFM</v>
      </c>
    </row>
    <row r="71" spans="1:7" ht="24">
      <c r="A71" s="173" t="s">
        <v>606</v>
      </c>
      <c r="B71" s="217">
        <f>'Model Inputs'!C164</f>
        <v>0</v>
      </c>
      <c r="C71" s="277" t="str">
        <f>IF('Model Inputs'!E164="N/A","N/A","HRV/ERV: "&amp;'Model Inputs'!E164&amp;", "&amp;'Model Inputs'!E166*100&amp;"%")</f>
        <v>HRV/ERV: , 0%</v>
      </c>
      <c r="D71" s="277" t="str">
        <f>IF(C71="N/A","N/A",IF('Model Inputs'!E164="N/A","N/A","Baseline: "&amp;'Model Inputs'!D164&amp;"
Proposed: "&amp;('Model Inputs'!E166*100)&amp;"%"))</f>
        <v>Baseline: N/A
Proposed: 0%</v>
      </c>
      <c r="E71" s="273" t="str">
        <f>IF(D71="N/A","N/A","HRV/ERV: "&amp;'Model Inputs'!D164)</f>
        <v>HRV/ERV: N/A</v>
      </c>
    </row>
    <row r="72" spans="1:7" ht="24">
      <c r="A72" s="173" t="s">
        <v>1369</v>
      </c>
      <c r="B72" s="217">
        <f>'Model Inputs'!C144</f>
        <v>0</v>
      </c>
      <c r="C72" s="277" t="str">
        <f>IF('Model Inputs'!D144=0,"N/A","Apt Duct Sealing: "&amp;'Model Inputs'!E144&amp;" CFM")</f>
        <v>N/A</v>
      </c>
      <c r="D72" s="276" t="str">
        <f>IF(C72="N/A","N/A","Baseline: "&amp;'Model Inputs'!D144&amp;" CFM
Proposed: "&amp;'Model Inputs'!E144&amp;" CFM")</f>
        <v>N/A</v>
      </c>
      <c r="E72" s="273" t="str">
        <f>IF('Model Inputs'!D144=0,"N/A","Baseline Apt Duct Sealing: "&amp;'Model Inputs'!D144&amp;" CFM")</f>
        <v>N/A</v>
      </c>
    </row>
    <row r="73" spans="1:7" ht="24">
      <c r="A73" s="1038" t="s">
        <v>1370</v>
      </c>
      <c r="B73" s="1039">
        <f>'Model Inputs'!C154</f>
        <v>0</v>
      </c>
      <c r="C73" s="277" t="str">
        <f>IF('Model Inputs'!D154=0,"N/A","Corridor Duct Sealing: "&amp;'Model Inputs'!E154&amp;" CFM")</f>
        <v>N/A</v>
      </c>
      <c r="D73" s="276" t="str">
        <f>IF(C73="N/A","N/A","Baseline: "&amp;'Model Inputs'!D154&amp;" CFM
Proposed: "&amp;'Model Inputs'!E154&amp;" CFM")</f>
        <v>N/A</v>
      </c>
      <c r="E73" s="273" t="str">
        <f>IF('Model Inputs'!D154=0,"N/A","Baseline Corridor Duct Sealing: "&amp;'Model Inputs'!D154&amp;" CFM")</f>
        <v>N/A</v>
      </c>
    </row>
    <row r="74" spans="1:7" ht="24">
      <c r="A74" s="1038" t="s">
        <v>1371</v>
      </c>
      <c r="B74" s="1039">
        <f>'Model Inputs'!C157</f>
        <v>0</v>
      </c>
      <c r="C74" s="277" t="str">
        <f>IF('Model Inputs'!D157=0,"N/A","Other Duct Sealing: "&amp;'Model Inputs'!E157&amp;" CFM")</f>
        <v>N/A</v>
      </c>
      <c r="D74" s="276" t="str">
        <f>IF(C74="N/A","N/A","Baseline: "&amp;'Model Inputs'!D157&amp;" CFM
Proposed: "&amp;'Model Inputs'!E157&amp;" CFM")</f>
        <v>N/A</v>
      </c>
      <c r="E74" s="273" t="str">
        <f>IF('Model Inputs'!D157=0,"N/A","Baseline Other Duct Sealing :"&amp;'Model Inputs'!D157&amp;" CFM")</f>
        <v>N/A</v>
      </c>
    </row>
    <row r="75" spans="1:7">
      <c r="A75" s="1223" t="s">
        <v>607</v>
      </c>
      <c r="B75" s="219">
        <f>'Model Inputs'!C146</f>
        <v>0</v>
      </c>
      <c r="C75" s="273" t="str">
        <f>IF('Model Inputs'!E148=0,"No intermittent fan power","Intermittent Fan Power: "&amp;'Model Inputs'!E148 &amp; " kW")</f>
        <v>No intermittent fan power</v>
      </c>
      <c r="D75" s="277" t="str">
        <f>IF('Model Inputs'!E148=0,"No intermittent exhaust fans","Baseline: " &amp;'Model Inputs'!D148&amp;" kW
Proposed: "&amp;'Model Inputs'!E148&amp;" kW")</f>
        <v>No intermittent exhaust fans</v>
      </c>
      <c r="E75" s="273" t="str">
        <f>IF('Model Inputs'!E148=0,"No intermittent fans","Intermittent fan power: "&amp;'Model Inputs'!D148&amp;" kW")</f>
        <v>No intermittent fans</v>
      </c>
    </row>
    <row r="76" spans="1:7" ht="24">
      <c r="A76" s="1224"/>
      <c r="B76" s="173">
        <f>'Model Inputs'!C145</f>
        <v>0</v>
      </c>
      <c r="C76" s="273" t="str">
        <f>IF('Model Inputs'!E146=0,"No continuous fan power","Continuous Fan Power: "&amp;'Model Inputs'!E146&amp; " kW")</f>
        <v>No continuous fan power</v>
      </c>
      <c r="D76" s="278" t="str">
        <f>IF(C76="N/A","N/A","Baseline: "&amp;'Model Inputs'!D146&amp;" kW
Proposed: "&amp;'Model Inputs'!E146&amp;" kW")</f>
        <v>Baseline: 0 kW
Proposed: 0 kW</v>
      </c>
      <c r="E76" s="273" t="e">
        <f>'Model Inputs'!#REF!</f>
        <v>#REF!</v>
      </c>
    </row>
    <row r="77" spans="1:7" ht="24">
      <c r="A77" s="173" t="s">
        <v>608</v>
      </c>
      <c r="B77" s="217">
        <f>'Model Inputs'!C156</f>
        <v>0</v>
      </c>
      <c r="C77" s="273" t="str">
        <f>IF('Model Inputs'!E156="N/A","N/A",'Model Inputs'!F156&amp;" non-apt ventilation fans, "&amp;'Model Inputs'!E156&amp;" CFM, "&amp;'Model Inputs'!E158&amp;" hp, "&amp;'Model Inputs'!E159*100&amp;"%")</f>
        <v xml:space="preserve"> non-apt ventilation fans,  CFM,  hp, 0%</v>
      </c>
      <c r="D77" s="274" t="str">
        <f>IF(C77="N/A","N/A","Baseline: "&amp;'Model Inputs'!D160&amp;" kW
Proposed: "&amp;'Model Inputs'!E160&amp;" kW")</f>
        <v>Baseline: N/A kW
Proposed:  kW</v>
      </c>
      <c r="E77" s="273" t="e">
        <f>'Model Inputs'!#REF!</f>
        <v>#REF!</v>
      </c>
    </row>
    <row r="78" spans="1:7" ht="24">
      <c r="A78" s="173" t="s">
        <v>609</v>
      </c>
      <c r="B78" s="217">
        <f>'Model Inputs'!C175</f>
        <v>0</v>
      </c>
      <c r="C78" s="276" t="str">
        <f>"Demand control ventilation: "&amp;'Model Inputs'!E175</f>
        <v xml:space="preserve">Demand control ventilation: </v>
      </c>
      <c r="D78" s="276" t="str">
        <f>IF('Model Inputs'!E175="N/A","N/A","Baseline: "&amp;'Model Inputs'!D177&amp;" kW, "&amp;'Model Inputs'!D176&amp;" hr/day
Proposed: "&amp;'Model Inputs'!E177&amp;" kW, "&amp;'Model Inputs'!E176&amp;" hr/day")</f>
        <v>Baseline:  kW,  hr/day
Proposed:  kW,  hr/day</v>
      </c>
      <c r="E78" s="276" t="str">
        <f>"Demand Control Ventilation: "&amp;'Model Inputs'!D175</f>
        <v>Demand Control Ventilation: N/A</v>
      </c>
    </row>
    <row r="79" spans="1:7" ht="24">
      <c r="A79" s="173" t="s">
        <v>1377</v>
      </c>
      <c r="B79" s="163">
        <f>'Model Inputs'!C173</f>
        <v>0</v>
      </c>
      <c r="C79" s="276" t="str">
        <f>"Garage Demand Ventilation: "&amp;'Model Inputs'!E174&amp;" hr/day"</f>
        <v>Garage Demand Ventilation:  hr/day</v>
      </c>
      <c r="D79" s="276" t="str">
        <f>"Baseline: "&amp;'Model Inputs'!D174&amp;" hr/day
Proposed: "&amp;'Model Inputs'!E174&amp;" hr/day"</f>
        <v>Baseline: N/A hr/day
Proposed:  hr/day</v>
      </c>
      <c r="E79" s="276" t="str">
        <f>"Baseline Garage Demand Ventilation: "&amp;'Model Inputs'!D174&amp;" hr/day"</f>
        <v>Baseline Garage Demand Ventilation: N/A hr/day</v>
      </c>
    </row>
    <row r="80" spans="1:7" ht="24">
      <c r="A80" s="173" t="s">
        <v>610</v>
      </c>
      <c r="B80" s="217">
        <f>'Model Inputs'!C169</f>
        <v>0</v>
      </c>
      <c r="C80" s="273" t="str">
        <f>IF(OR('Model Inputs'!F169=0,'Model Inputs'!E169="N/A"),"N/A",'Model Inputs'!F169&amp;" "&amp;'Model Inputs'!E170&amp;" hp garage exhaust fans, "&amp;'Model Inputs'!E171*100&amp;"% ("&amp;'Model Inputs'!E169&amp;" CFM each)")</f>
        <v>N/A</v>
      </c>
      <c r="D80" s="276" t="str">
        <f>IF(C80="N/A","N/A","Baseline: "&amp;'Model Inputs'!D172&amp;" kW
Proposed: "&amp;'Model Inputs'!E172&amp;" kW")</f>
        <v>N/A</v>
      </c>
      <c r="E80" s="273" t="str">
        <f>IF(D80="N/A","N/A",'Model Inputs'!F169&amp;" "&amp;'Model Inputs'!D170&amp;" hp garage exhaust fans, "&amp;'Model Inputs'!D171*100&amp;"% ("&amp;'Model Inputs'!D169&amp;" CFM each)")</f>
        <v>N/A</v>
      </c>
      <c r="G80" s="159"/>
    </row>
    <row r="81" spans="1:9" s="160" customFormat="1">
      <c r="A81" s="180" t="s">
        <v>611</v>
      </c>
      <c r="B81" s="216"/>
      <c r="C81" s="272"/>
      <c r="D81" s="183"/>
      <c r="E81" s="184"/>
      <c r="F81" s="191"/>
      <c r="G81" s="191"/>
      <c r="H81" s="161"/>
      <c r="I81" s="159"/>
    </row>
    <row r="82" spans="1:9" s="191" customFormat="1" ht="24">
      <c r="A82" s="190" t="s">
        <v>612</v>
      </c>
      <c r="B82" s="190" t="s">
        <v>274</v>
      </c>
      <c r="C82" s="270" t="str">
        <f>IF('Model Inputs'!E180="N/A","N/A",'Model Inputs'!E183&amp;", "&amp;'Model Inputs'!E184)</f>
        <v xml:space="preserve">, </v>
      </c>
      <c r="D82" s="270" t="str">
        <f>IF('Model Inputs'!E180="N/A","N/A","Baseline: None
Proposed: "&amp;'Model Inputs'!E183)</f>
        <v xml:space="preserve">Baseline: None
Proposed: </v>
      </c>
      <c r="E82" s="279">
        <f>'Model Inputs'!D180</f>
        <v>0</v>
      </c>
      <c r="G82" s="157"/>
      <c r="H82" s="250"/>
    </row>
    <row r="83" spans="1:9" ht="24">
      <c r="A83" s="190" t="s">
        <v>693</v>
      </c>
      <c r="B83" s="190">
        <f>'Model Inputs'!C180</f>
        <v>0</v>
      </c>
      <c r="C83" s="270">
        <f>IF('Model Inputs'!E180="N/A","N/A",'Model Inputs'!E180)</f>
        <v>0</v>
      </c>
      <c r="D83" s="270" t="str">
        <f>IF('Model Inputs'!E180="N/A","N/A","Baseline: "&amp;'Model Inputs'!D180&amp;"
Proposed: "&amp;'Model Inputs'!E180)</f>
        <v xml:space="preserve">Baseline: 
Proposed: </v>
      </c>
      <c r="E83" s="279">
        <f>IF('Model Inputs'!E180="N/A","N/A",'Model Inputs'!D180)</f>
        <v>0</v>
      </c>
    </row>
    <row r="84" spans="1:9" ht="24">
      <c r="A84" s="190" t="s">
        <v>693</v>
      </c>
      <c r="B84" s="190">
        <f>'Model Inputs'!C181</f>
        <v>0</v>
      </c>
      <c r="C84" s="270">
        <f>IF('Model Inputs'!E181="N/A","N/A",'Model Inputs'!E181)</f>
        <v>0</v>
      </c>
      <c r="D84" s="270" t="str">
        <f>IF('Model Inputs'!E181="N/A","N/A","Baseline: "&amp;'Model Inputs'!D181&amp;"
Proposed: "&amp;'Model Inputs'!E181)</f>
        <v xml:space="preserve">Baseline: 
Proposed: </v>
      </c>
      <c r="E84" s="279">
        <f>IF('Model Inputs'!E181="N/A","N/A",'Model Inputs'!D181)</f>
        <v>0</v>
      </c>
    </row>
    <row r="85" spans="1:9" ht="24">
      <c r="A85" s="190" t="s">
        <v>693</v>
      </c>
      <c r="B85" s="190">
        <f>'Model Inputs'!C182</f>
        <v>0</v>
      </c>
      <c r="C85" s="270">
        <f>IF('Model Inputs'!E182="N/A","N/A",'Model Inputs'!E182)</f>
        <v>0</v>
      </c>
      <c r="D85" s="270" t="str">
        <f>IF('Model Inputs'!E182="N/A","N/A","Baseline: "&amp;'Model Inputs'!D182&amp;"
Proposed: "&amp;'Model Inputs'!E182)</f>
        <v xml:space="preserve">Baseline: 
Proposed: </v>
      </c>
      <c r="E85" s="279">
        <f>IF('Model Inputs'!E182="N/A","N/A",'Model Inputs'!D182)</f>
        <v>0</v>
      </c>
    </row>
    <row r="86" spans="1:9">
      <c r="A86" s="193"/>
      <c r="B86" s="193"/>
      <c r="C86" s="193"/>
    </row>
    <row r="87" spans="1:9">
      <c r="A87" s="193"/>
      <c r="B87" s="193"/>
      <c r="C87" s="193"/>
    </row>
    <row r="92" spans="1:9">
      <c r="D92" s="194"/>
    </row>
    <row r="96" spans="1:9">
      <c r="A96" s="193"/>
      <c r="B96" s="193"/>
      <c r="C96" s="193"/>
      <c r="D96" s="193"/>
    </row>
    <row r="97" spans="1:4">
      <c r="A97" s="193"/>
      <c r="B97" s="193"/>
      <c r="C97" s="193"/>
      <c r="D97" s="193"/>
    </row>
    <row r="98" spans="1:4">
      <c r="A98" s="193"/>
      <c r="B98" s="193"/>
      <c r="C98" s="193"/>
      <c r="D98" s="195"/>
    </row>
    <row r="194" spans="3:3">
      <c r="C194" s="196"/>
    </row>
  </sheetData>
  <sheetProtection formatCells="0" formatColumns="0" formatRows="0" insertColumns="0" insertRows="0"/>
  <mergeCells count="1">
    <mergeCell ref="A75:A76"/>
  </mergeCells>
  <printOptions horizontalCentered="1"/>
  <pageMargins left="0.75" right="0.75" top="1" bottom="1" header="0.5" footer="0.5"/>
  <pageSetup scale="49" fitToHeight="2" orientation="portrait" r:id="rId1"/>
  <headerFooter alignWithMargins="0">
    <oddHeader xml:space="preserve">&amp;C
&amp;R
</oddHeader>
  </headerFooter>
  <ignoredErrors>
    <ignoredError sqref="E62"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tint="0.39997558519241921"/>
  </sheetPr>
  <dimension ref="A1:H49"/>
  <sheetViews>
    <sheetView showGridLines="0" zoomScaleNormal="100" workbookViewId="0"/>
  </sheetViews>
  <sheetFormatPr defaultRowHeight="12"/>
  <cols>
    <col min="1" max="1" width="2" style="411" bestFit="1" customWidth="1"/>
    <col min="2" max="2" width="6.7109375" style="411" customWidth="1"/>
    <col min="3" max="3" width="31" style="411" customWidth="1"/>
    <col min="4" max="4" width="16" style="411" customWidth="1"/>
    <col min="5" max="5" width="2.5703125" style="411" customWidth="1"/>
    <col min="6" max="8" width="9.140625" style="411"/>
    <col min="9" max="9" width="10.85546875" style="411" customWidth="1"/>
    <col min="10" max="16384" width="9.140625" style="411"/>
  </cols>
  <sheetData>
    <row r="1" spans="1:8" ht="18.75">
      <c r="B1" s="436" t="s">
        <v>869</v>
      </c>
    </row>
    <row r="3" spans="1:8">
      <c r="A3" s="312"/>
      <c r="B3" s="910" t="s">
        <v>792</v>
      </c>
    </row>
    <row r="4" spans="1:8">
      <c r="A4" s="312">
        <v>1</v>
      </c>
      <c r="B4" s="333" t="s">
        <v>870</v>
      </c>
    </row>
    <row r="5" spans="1:8">
      <c r="A5" s="911">
        <v>2</v>
      </c>
      <c r="B5" s="847" t="s">
        <v>871</v>
      </c>
      <c r="C5" s="828"/>
      <c r="D5" s="828"/>
      <c r="E5" s="828"/>
      <c r="F5" s="828"/>
      <c r="G5" s="828"/>
      <c r="H5" s="828"/>
    </row>
    <row r="6" spans="1:8">
      <c r="A6" s="911">
        <v>3</v>
      </c>
      <c r="B6" s="312" t="s">
        <v>872</v>
      </c>
    </row>
    <row r="7" spans="1:8">
      <c r="A7" s="911">
        <v>4</v>
      </c>
      <c r="B7" s="312" t="s">
        <v>873</v>
      </c>
    </row>
    <row r="8" spans="1:8">
      <c r="A8" s="911">
        <v>5</v>
      </c>
      <c r="B8" s="903" t="s">
        <v>874</v>
      </c>
    </row>
    <row r="9" spans="1:8">
      <c r="C9" s="908"/>
    </row>
    <row r="10" spans="1:8">
      <c r="C10" s="331" t="s">
        <v>875</v>
      </c>
      <c r="D10" s="314" t="s">
        <v>876</v>
      </c>
    </row>
    <row r="11" spans="1:8">
      <c r="C11" s="331" t="s">
        <v>877</v>
      </c>
      <c r="D11" s="912">
        <v>2.34</v>
      </c>
    </row>
    <row r="12" spans="1:8">
      <c r="C12" s="331" t="s">
        <v>878</v>
      </c>
      <c r="D12" s="314">
        <v>24</v>
      </c>
    </row>
    <row r="13" spans="1:8">
      <c r="C13" s="331" t="s">
        <v>879</v>
      </c>
      <c r="D13" s="314">
        <v>12</v>
      </c>
    </row>
    <row r="14" spans="1:8">
      <c r="D14" s="909"/>
    </row>
    <row r="15" spans="1:8">
      <c r="B15" s="404"/>
      <c r="C15" s="315" t="s">
        <v>880</v>
      </c>
      <c r="D15" s="315" t="s">
        <v>881</v>
      </c>
      <c r="E15" s="827"/>
    </row>
    <row r="16" spans="1:8">
      <c r="B16" s="315" t="s">
        <v>882</v>
      </c>
      <c r="C16" s="315" t="s">
        <v>883</v>
      </c>
      <c r="D16" s="315" t="s">
        <v>877</v>
      </c>
      <c r="E16" s="827"/>
    </row>
    <row r="17" spans="2:4">
      <c r="B17" s="324">
        <v>1</v>
      </c>
      <c r="C17" s="324">
        <v>0.05</v>
      </c>
      <c r="D17" s="864">
        <f t="shared" ref="D17:D40" si="0">C17*$D$42</f>
        <v>1.5496688741721854E-2</v>
      </c>
    </row>
    <row r="18" spans="2:4">
      <c r="B18" s="324">
        <v>2</v>
      </c>
      <c r="C18" s="324">
        <v>0.05</v>
      </c>
      <c r="D18" s="864">
        <f t="shared" si="0"/>
        <v>1.5496688741721854E-2</v>
      </c>
    </row>
    <row r="19" spans="2:4">
      <c r="B19" s="324">
        <v>3</v>
      </c>
      <c r="C19" s="324">
        <v>0.05</v>
      </c>
      <c r="D19" s="864">
        <f t="shared" si="0"/>
        <v>1.5496688741721854E-2</v>
      </c>
    </row>
    <row r="20" spans="2:4">
      <c r="B20" s="324">
        <v>4</v>
      </c>
      <c r="C20" s="324">
        <v>0.05</v>
      </c>
      <c r="D20" s="864">
        <f t="shared" si="0"/>
        <v>1.5496688741721854E-2</v>
      </c>
    </row>
    <row r="21" spans="2:4">
      <c r="B21" s="324">
        <v>5</v>
      </c>
      <c r="C21" s="324">
        <v>0.05</v>
      </c>
      <c r="D21" s="864">
        <f t="shared" si="0"/>
        <v>1.5496688741721854E-2</v>
      </c>
    </row>
    <row r="22" spans="2:4">
      <c r="B22" s="324">
        <v>6</v>
      </c>
      <c r="C22" s="324">
        <v>0.05</v>
      </c>
      <c r="D22" s="864">
        <f t="shared" si="0"/>
        <v>1.5496688741721854E-2</v>
      </c>
    </row>
    <row r="23" spans="2:4">
      <c r="B23" s="324">
        <v>7</v>
      </c>
      <c r="C23" s="324">
        <v>0.25</v>
      </c>
      <c r="D23" s="864">
        <f t="shared" si="0"/>
        <v>7.7483443708609268E-2</v>
      </c>
    </row>
    <row r="24" spans="2:4">
      <c r="B24" s="324">
        <v>8</v>
      </c>
      <c r="C24" s="324">
        <v>0.45</v>
      </c>
      <c r="D24" s="864">
        <f t="shared" si="0"/>
        <v>0.13947019867549668</v>
      </c>
    </row>
    <row r="25" spans="2:4">
      <c r="B25" s="324">
        <v>9</v>
      </c>
      <c r="C25" s="324">
        <v>0.45</v>
      </c>
      <c r="D25" s="864">
        <f t="shared" si="0"/>
        <v>0.13947019867549668</v>
      </c>
    </row>
    <row r="26" spans="2:4">
      <c r="B26" s="324">
        <v>10</v>
      </c>
      <c r="C26" s="324">
        <v>0.35</v>
      </c>
      <c r="D26" s="864">
        <f t="shared" si="0"/>
        <v>0.10847682119205297</v>
      </c>
    </row>
    <row r="27" spans="2:4">
      <c r="B27" s="324">
        <v>11</v>
      </c>
      <c r="C27" s="324">
        <v>0.35</v>
      </c>
      <c r="D27" s="864">
        <f t="shared" si="0"/>
        <v>0.10847682119205297</v>
      </c>
    </row>
    <row r="28" spans="2:4">
      <c r="B28" s="324">
        <v>12</v>
      </c>
      <c r="C28" s="324">
        <v>0.35</v>
      </c>
      <c r="D28" s="864">
        <f t="shared" si="0"/>
        <v>0.10847682119205297</v>
      </c>
    </row>
    <row r="29" spans="2:4">
      <c r="B29" s="324">
        <v>13</v>
      </c>
      <c r="C29" s="324">
        <v>0.25</v>
      </c>
      <c r="D29" s="864">
        <f t="shared" si="0"/>
        <v>7.7483443708609268E-2</v>
      </c>
    </row>
    <row r="30" spans="2:4">
      <c r="B30" s="324">
        <v>14</v>
      </c>
      <c r="C30" s="324">
        <v>0.25</v>
      </c>
      <c r="D30" s="864">
        <f t="shared" si="0"/>
        <v>7.7483443708609268E-2</v>
      </c>
    </row>
    <row r="31" spans="2:4">
      <c r="B31" s="324">
        <v>15</v>
      </c>
      <c r="C31" s="324">
        <v>0.25</v>
      </c>
      <c r="D31" s="864">
        <f t="shared" si="0"/>
        <v>7.7483443708609268E-2</v>
      </c>
    </row>
    <row r="32" spans="2:4">
      <c r="B32" s="324">
        <v>16</v>
      </c>
      <c r="C32" s="324">
        <v>0.25</v>
      </c>
      <c r="D32" s="864">
        <f t="shared" si="0"/>
        <v>7.7483443708609268E-2</v>
      </c>
    </row>
    <row r="33" spans="2:7">
      <c r="B33" s="324">
        <v>17</v>
      </c>
      <c r="C33" s="324">
        <v>0.25</v>
      </c>
      <c r="D33" s="864">
        <f t="shared" si="0"/>
        <v>7.7483443708609268E-2</v>
      </c>
    </row>
    <row r="34" spans="2:7">
      <c r="B34" s="324">
        <v>18</v>
      </c>
      <c r="C34" s="324">
        <v>0.35</v>
      </c>
      <c r="D34" s="864">
        <f t="shared" si="0"/>
        <v>0.10847682119205297</v>
      </c>
    </row>
    <row r="35" spans="2:7">
      <c r="B35" s="324">
        <v>19</v>
      </c>
      <c r="C35" s="324">
        <v>0.7</v>
      </c>
      <c r="D35" s="864">
        <f t="shared" si="0"/>
        <v>0.21695364238410594</v>
      </c>
    </row>
    <row r="36" spans="2:7">
      <c r="B36" s="324">
        <v>20</v>
      </c>
      <c r="C36" s="324">
        <v>0.7</v>
      </c>
      <c r="D36" s="864">
        <f t="shared" si="0"/>
        <v>0.21695364238410594</v>
      </c>
    </row>
    <row r="37" spans="2:7">
      <c r="B37" s="324">
        <v>21</v>
      </c>
      <c r="C37" s="324">
        <v>0.7</v>
      </c>
      <c r="D37" s="864">
        <f t="shared" si="0"/>
        <v>0.21695364238410594</v>
      </c>
    </row>
    <row r="38" spans="2:7">
      <c r="B38" s="324">
        <v>22</v>
      </c>
      <c r="C38" s="324">
        <v>0.7</v>
      </c>
      <c r="D38" s="864">
        <f t="shared" si="0"/>
        <v>0.21695364238410594</v>
      </c>
    </row>
    <row r="39" spans="2:7">
      <c r="B39" s="324">
        <v>23</v>
      </c>
      <c r="C39" s="324">
        <v>0.6</v>
      </c>
      <c r="D39" s="864">
        <f t="shared" si="0"/>
        <v>0.18596026490066223</v>
      </c>
    </row>
    <row r="40" spans="2:7">
      <c r="B40" s="324">
        <v>24</v>
      </c>
      <c r="C40" s="324">
        <v>0.05</v>
      </c>
      <c r="D40" s="864">
        <f t="shared" si="0"/>
        <v>1.5496688741721854E-2</v>
      </c>
    </row>
    <row r="41" spans="2:7">
      <c r="B41" s="438" t="s">
        <v>141</v>
      </c>
      <c r="C41" s="324">
        <f>SUM(C17:C40)</f>
        <v>7.55</v>
      </c>
      <c r="D41" s="913">
        <f>SUM(D17:D40)</f>
        <v>2.34</v>
      </c>
    </row>
    <row r="42" spans="2:7">
      <c r="B42" s="312" t="s">
        <v>884</v>
      </c>
      <c r="C42" s="312"/>
      <c r="D42" s="914">
        <f>D11/C41</f>
        <v>0.30993377483443707</v>
      </c>
    </row>
    <row r="44" spans="2:7">
      <c r="B44" s="1239" t="s">
        <v>1135</v>
      </c>
      <c r="C44" s="1240"/>
      <c r="D44" s="1240"/>
      <c r="E44" s="1240"/>
      <c r="F44" s="1240"/>
      <c r="G44" s="1241"/>
    </row>
    <row r="45" spans="2:7">
      <c r="B45" s="423"/>
      <c r="C45" s="424"/>
      <c r="D45" s="424"/>
      <c r="E45" s="424"/>
      <c r="F45" s="424"/>
      <c r="G45" s="425"/>
    </row>
    <row r="46" spans="2:7">
      <c r="B46" s="426"/>
      <c r="C46" s="427"/>
      <c r="D46" s="427"/>
      <c r="E46" s="427"/>
      <c r="F46" s="427"/>
      <c r="G46" s="428"/>
    </row>
    <row r="47" spans="2:7">
      <c r="B47" s="429"/>
      <c r="C47" s="427"/>
      <c r="D47" s="427"/>
      <c r="E47" s="427"/>
      <c r="F47" s="427"/>
      <c r="G47" s="428"/>
    </row>
    <row r="48" spans="2:7">
      <c r="B48" s="429"/>
      <c r="C48" s="427"/>
      <c r="D48" s="427"/>
      <c r="E48" s="427"/>
      <c r="F48" s="427"/>
      <c r="G48" s="428"/>
    </row>
    <row r="49" spans="2:7">
      <c r="B49" s="430"/>
      <c r="C49" s="431"/>
      <c r="D49" s="431"/>
      <c r="E49" s="431"/>
      <c r="F49" s="431"/>
      <c r="G49" s="432"/>
    </row>
  </sheetData>
  <sheetProtection sheet="1" objects="1" scenarios="1" formatCells="0"/>
  <mergeCells count="1">
    <mergeCell ref="B44:G44"/>
  </mergeCells>
  <pageMargins left="0.7" right="0.7" top="0.75" bottom="0.75" header="0.3" footer="0.3"/>
  <pageSetup orientation="portrait" horizontalDpi="300" verticalDpi="300"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theme="6" tint="0.39997558519241921"/>
  </sheetPr>
  <dimension ref="A1:AB845"/>
  <sheetViews>
    <sheetView showGridLines="0" workbookViewId="0">
      <selection activeCell="E32" sqref="E32"/>
    </sheetView>
  </sheetViews>
  <sheetFormatPr defaultRowHeight="12"/>
  <cols>
    <col min="1" max="1" width="9.85546875" style="411" customWidth="1"/>
    <col min="2" max="2" width="14.28515625" style="411" customWidth="1"/>
    <col min="3" max="3" width="25.7109375" style="915" bestFit="1" customWidth="1"/>
    <col min="4" max="4" width="29.140625" style="832" customWidth="1"/>
    <col min="5" max="5" width="11.140625" style="827" customWidth="1"/>
    <col min="6" max="7" width="13" style="827" customWidth="1"/>
    <col min="8" max="8" width="11.28515625" style="827" customWidth="1"/>
    <col min="9" max="9" width="12" style="827" customWidth="1"/>
    <col min="10" max="10" width="11.42578125" style="827" customWidth="1"/>
    <col min="11" max="11" width="22.5703125" style="827" bestFit="1" customWidth="1"/>
    <col min="12" max="12" width="12.85546875" style="411" customWidth="1"/>
    <col min="13" max="13" width="18.28515625" style="411" customWidth="1"/>
    <col min="14" max="14" width="31.7109375" style="411" customWidth="1"/>
    <col min="15" max="15" width="15.85546875" style="411" customWidth="1"/>
    <col min="16" max="16" width="16.28515625" style="411" bestFit="1" customWidth="1"/>
    <col min="17" max="17" width="26.42578125" style="411" customWidth="1"/>
    <col min="18" max="22" width="9.140625" style="411"/>
    <col min="23" max="28" width="9.140625" style="411" hidden="1" customWidth="1"/>
    <col min="29" max="16384" width="9.140625" style="411"/>
  </cols>
  <sheetData>
    <row r="1" spans="1:21" ht="18.75">
      <c r="A1" s="410"/>
      <c r="B1" s="436" t="s">
        <v>885</v>
      </c>
    </row>
    <row r="2" spans="1:21" ht="12.75">
      <c r="N2" s="312" t="s">
        <v>1299</v>
      </c>
      <c r="Q2" s="830"/>
      <c r="U2" s="317"/>
    </row>
    <row r="3" spans="1:21" ht="12.75">
      <c r="A3" s="402" t="s">
        <v>792</v>
      </c>
      <c r="B3" s="401"/>
      <c r="J3" s="315" t="s">
        <v>886</v>
      </c>
      <c r="K3" s="315" t="s">
        <v>1143</v>
      </c>
      <c r="L3" s="315" t="s">
        <v>887</v>
      </c>
      <c r="M3" s="315" t="s">
        <v>1298</v>
      </c>
      <c r="N3" s="315" t="s">
        <v>888</v>
      </c>
      <c r="O3" s="315" t="s">
        <v>889</v>
      </c>
      <c r="P3" s="315" t="s">
        <v>890</v>
      </c>
      <c r="Q3" s="315" t="s">
        <v>138</v>
      </c>
      <c r="R3" s="315" t="s">
        <v>317</v>
      </c>
      <c r="S3" s="315" t="s">
        <v>1171</v>
      </c>
      <c r="U3" s="317"/>
    </row>
    <row r="4" spans="1:21" ht="12.75">
      <c r="A4" s="316" t="s">
        <v>1174</v>
      </c>
      <c r="B4" s="316"/>
      <c r="C4" s="825"/>
      <c r="D4" s="825"/>
      <c r="E4" s="825"/>
      <c r="H4" s="1616" t="s">
        <v>891</v>
      </c>
      <c r="I4" s="1617"/>
      <c r="J4" s="69" t="s">
        <v>892</v>
      </c>
      <c r="K4" s="69"/>
      <c r="L4" s="69"/>
      <c r="M4" s="409" t="e">
        <f>INDEX(Lookup!$P$9:$P$24,MATCH(K4,Lookup!$K$9:$K$24,0))</f>
        <v>#N/A</v>
      </c>
      <c r="N4" s="69"/>
      <c r="O4" s="69"/>
      <c r="P4" s="69"/>
      <c r="Q4" s="69"/>
      <c r="R4" s="612" t="e">
        <f t="shared" ref="R4:R27" si="0">SUMIF($G$30:$G$361, J4, $K$30:$K$361)/L4</f>
        <v>#DIV/0!</v>
      </c>
      <c r="S4" s="612" t="e">
        <f>SUMIF('In-Unit Lighting'!$E$13:$E$64, J4, 'In-Unit Lighting'!$N$13:$N$64)/L4</f>
        <v>#DIV/0!</v>
      </c>
      <c r="U4" s="317"/>
    </row>
    <row r="5" spans="1:21" ht="12.75">
      <c r="A5" s="312" t="s">
        <v>1175</v>
      </c>
      <c r="B5" s="312"/>
      <c r="J5" s="69" t="s">
        <v>893</v>
      </c>
      <c r="K5" s="69"/>
      <c r="L5" s="69"/>
      <c r="M5" s="409" t="e">
        <f>INDEX(Lookup!$P$9:$P$24,MATCH(K5,Lookup!$K$9:$K$24,0))</f>
        <v>#N/A</v>
      </c>
      <c r="N5" s="69"/>
      <c r="O5" s="69"/>
      <c r="P5" s="69"/>
      <c r="Q5" s="69"/>
      <c r="R5" s="1002" t="e">
        <f t="shared" si="0"/>
        <v>#DIV/0!</v>
      </c>
      <c r="S5" s="612" t="e">
        <f>SUMIF('In-Unit Lighting'!$E$13:$E$64, J5, 'In-Unit Lighting'!$N$13:$N$64)/L5</f>
        <v>#DIV/0!</v>
      </c>
      <c r="U5" s="317"/>
    </row>
    <row r="6" spans="1:21" ht="12.75">
      <c r="A6" s="312" t="s">
        <v>1176</v>
      </c>
      <c r="B6" s="312"/>
      <c r="J6" s="69" t="s">
        <v>894</v>
      </c>
      <c r="K6" s="69"/>
      <c r="L6" s="69"/>
      <c r="M6" s="409" t="e">
        <f>INDEX(Lookup!$P$9:$P$24,MATCH(K6,Lookup!$K$9:$K$24,0))</f>
        <v>#N/A</v>
      </c>
      <c r="N6" s="69"/>
      <c r="O6" s="69"/>
      <c r="P6" s="69"/>
      <c r="Q6" s="69"/>
      <c r="R6" s="1002" t="e">
        <f t="shared" si="0"/>
        <v>#DIV/0!</v>
      </c>
      <c r="S6" s="612" t="e">
        <f>SUMIF('In-Unit Lighting'!$E$13:$E$64, J6, 'In-Unit Lighting'!$N$13:$N$64)/L6</f>
        <v>#DIV/0!</v>
      </c>
      <c r="U6" s="317"/>
    </row>
    <row r="7" spans="1:21" ht="12.75">
      <c r="A7" s="312" t="s">
        <v>1177</v>
      </c>
      <c r="B7" s="312"/>
      <c r="J7" s="69" t="s">
        <v>895</v>
      </c>
      <c r="K7" s="69"/>
      <c r="L7" s="69"/>
      <c r="M7" s="409" t="e">
        <f>INDEX(Lookup!$P$9:$P$24,MATCH(K7,Lookup!$K$9:$K$24,0))</f>
        <v>#N/A</v>
      </c>
      <c r="N7" s="69"/>
      <c r="O7" s="69"/>
      <c r="P7" s="69"/>
      <c r="Q7" s="69"/>
      <c r="R7" s="1002" t="e">
        <f t="shared" si="0"/>
        <v>#DIV/0!</v>
      </c>
      <c r="S7" s="612" t="e">
        <f>SUMIF('In-Unit Lighting'!$E$13:$E$64, J7, 'In-Unit Lighting'!$N$13:$N$64)/L7</f>
        <v>#DIV/0!</v>
      </c>
      <c r="U7" s="317"/>
    </row>
    <row r="8" spans="1:21" ht="12.75">
      <c r="A8" s="312" t="s">
        <v>1178</v>
      </c>
      <c r="B8" s="312"/>
      <c r="J8" s="69" t="s">
        <v>896</v>
      </c>
      <c r="K8" s="69"/>
      <c r="L8" s="69"/>
      <c r="M8" s="409" t="e">
        <f>INDEX(Lookup!$P$9:$P$24,MATCH(K8,Lookup!$K$9:$K$24,0))</f>
        <v>#N/A</v>
      </c>
      <c r="N8" s="69"/>
      <c r="O8" s="69"/>
      <c r="P8" s="69"/>
      <c r="Q8" s="69"/>
      <c r="R8" s="1002" t="e">
        <f t="shared" si="0"/>
        <v>#DIV/0!</v>
      </c>
      <c r="S8" s="612" t="e">
        <f>SUMIF('In-Unit Lighting'!$E$13:$E$64, J8, 'In-Unit Lighting'!$N$13:$N$64)/L8</f>
        <v>#DIV/0!</v>
      </c>
      <c r="U8" s="317"/>
    </row>
    <row r="9" spans="1:21">
      <c r="A9" s="312" t="s">
        <v>1179</v>
      </c>
      <c r="B9" s="312"/>
      <c r="J9" s="69" t="s">
        <v>897</v>
      </c>
      <c r="K9" s="69"/>
      <c r="L9" s="69"/>
      <c r="M9" s="409" t="e">
        <f>INDEX(Lookup!$P$9:$P$24,MATCH(K9,Lookup!$K$9:$K$24,0))</f>
        <v>#N/A</v>
      </c>
      <c r="N9" s="69"/>
      <c r="O9" s="69"/>
      <c r="P9" s="69"/>
      <c r="Q9" s="69"/>
      <c r="R9" s="1002" t="e">
        <f t="shared" si="0"/>
        <v>#DIV/0!</v>
      </c>
      <c r="S9" s="612" t="e">
        <f>SUMIF('In-Unit Lighting'!$E$13:$E$64, J9, 'In-Unit Lighting'!$N$13:$N$64)/L9</f>
        <v>#DIV/0!</v>
      </c>
    </row>
    <row r="10" spans="1:21">
      <c r="A10" s="312" t="s">
        <v>1180</v>
      </c>
      <c r="B10" s="312"/>
      <c r="J10" s="69" t="s">
        <v>898</v>
      </c>
      <c r="K10" s="69"/>
      <c r="L10" s="69"/>
      <c r="M10" s="409" t="e">
        <f>INDEX(Lookup!$P$9:$P$24,MATCH(K10,Lookup!$K$9:$K$24,0))</f>
        <v>#N/A</v>
      </c>
      <c r="N10" s="69"/>
      <c r="O10" s="69"/>
      <c r="P10" s="69"/>
      <c r="Q10" s="69"/>
      <c r="R10" s="1002" t="e">
        <f t="shared" si="0"/>
        <v>#DIV/0!</v>
      </c>
      <c r="S10" s="612" t="e">
        <f>SUMIF('In-Unit Lighting'!$E$13:$E$64, J10, 'In-Unit Lighting'!$N$13:$N$64)/L10</f>
        <v>#DIV/0!</v>
      </c>
    </row>
    <row r="11" spans="1:21">
      <c r="A11" s="312" t="s">
        <v>899</v>
      </c>
      <c r="B11" s="312"/>
      <c r="J11" s="69" t="s">
        <v>900</v>
      </c>
      <c r="K11" s="69"/>
      <c r="L11" s="69"/>
      <c r="M11" s="409" t="e">
        <f>INDEX(Lookup!$P$9:$P$24,MATCH(K11,Lookup!$K$9:$K$24,0))</f>
        <v>#N/A</v>
      </c>
      <c r="N11" s="69"/>
      <c r="O11" s="69"/>
      <c r="P11" s="69"/>
      <c r="Q11" s="69"/>
      <c r="R11" s="1002" t="e">
        <f t="shared" si="0"/>
        <v>#DIV/0!</v>
      </c>
      <c r="S11" s="612" t="e">
        <f>SUMIF('In-Unit Lighting'!$E$13:$E$64, J11, 'In-Unit Lighting'!$N$13:$N$64)/L11</f>
        <v>#DIV/0!</v>
      </c>
    </row>
    <row r="12" spans="1:21">
      <c r="A12" s="312" t="s">
        <v>901</v>
      </c>
      <c r="B12" s="312"/>
      <c r="J12" s="69" t="s">
        <v>902</v>
      </c>
      <c r="K12" s="69"/>
      <c r="L12" s="69"/>
      <c r="M12" s="409" t="e">
        <f>INDEX(Lookup!$P$9:$P$24,MATCH(K12,Lookup!$K$9:$K$24,0))</f>
        <v>#N/A</v>
      </c>
      <c r="N12" s="69"/>
      <c r="O12" s="69"/>
      <c r="P12" s="69"/>
      <c r="Q12" s="69"/>
      <c r="R12" s="1002" t="e">
        <f t="shared" si="0"/>
        <v>#DIV/0!</v>
      </c>
      <c r="S12" s="612" t="e">
        <f>SUMIF('In-Unit Lighting'!$E$13:$E$64, J12, 'In-Unit Lighting'!$N$13:$N$64)/L12</f>
        <v>#DIV/0!</v>
      </c>
    </row>
    <row r="13" spans="1:21">
      <c r="A13" s="923" t="s">
        <v>1411</v>
      </c>
      <c r="B13" s="923"/>
      <c r="C13" s="916"/>
      <c r="D13" s="917"/>
      <c r="E13" s="918"/>
      <c r="F13" s="918"/>
      <c r="G13" s="918"/>
      <c r="H13" s="918"/>
      <c r="J13" s="69" t="s">
        <v>903</v>
      </c>
      <c r="K13" s="69"/>
      <c r="L13" s="69"/>
      <c r="M13" s="409" t="e">
        <f>INDEX(Lookup!$P$9:$P$24,MATCH(K13,Lookup!$K$9:$K$24,0))</f>
        <v>#N/A</v>
      </c>
      <c r="N13" s="69"/>
      <c r="O13" s="69"/>
      <c r="P13" s="69"/>
      <c r="Q13" s="69"/>
      <c r="R13" s="1002" t="e">
        <f t="shared" si="0"/>
        <v>#DIV/0!</v>
      </c>
      <c r="S13" s="612" t="e">
        <f>SUMIF('In-Unit Lighting'!$E$13:$E$64, J13, 'In-Unit Lighting'!$N$13:$N$64)/L13</f>
        <v>#DIV/0!</v>
      </c>
    </row>
    <row r="14" spans="1:21" ht="12.75">
      <c r="A14" s="312" t="s">
        <v>1096</v>
      </c>
      <c r="B14" s="351"/>
      <c r="C14" s="318"/>
      <c r="D14" s="317"/>
      <c r="E14" s="319"/>
      <c r="H14" s="919"/>
      <c r="J14" s="69" t="s">
        <v>904</v>
      </c>
      <c r="K14" s="69"/>
      <c r="L14" s="69"/>
      <c r="M14" s="409" t="e">
        <f>INDEX(Lookup!$P$9:$P$24,MATCH(K14,Lookup!$K$9:$K$24,0))</f>
        <v>#N/A</v>
      </c>
      <c r="N14" s="69"/>
      <c r="O14" s="69"/>
      <c r="P14" s="69"/>
      <c r="Q14" s="69"/>
      <c r="R14" s="1002" t="e">
        <f t="shared" si="0"/>
        <v>#DIV/0!</v>
      </c>
      <c r="S14" s="612" t="e">
        <f>SUMIF('In-Unit Lighting'!$E$13:$E$64, J14, 'In-Unit Lighting'!$N$13:$N$64)/L14</f>
        <v>#DIV/0!</v>
      </c>
    </row>
    <row r="15" spans="1:21">
      <c r="A15" s="312" t="s">
        <v>1495</v>
      </c>
      <c r="B15" s="312"/>
      <c r="J15" s="69" t="s">
        <v>905</v>
      </c>
      <c r="K15" s="69"/>
      <c r="L15" s="69"/>
      <c r="M15" s="409" t="e">
        <f>INDEX(Lookup!$P$9:$P$24,MATCH(K15,Lookup!$K$9:$K$24,0))</f>
        <v>#N/A</v>
      </c>
      <c r="N15" s="69"/>
      <c r="O15" s="69"/>
      <c r="P15" s="69"/>
      <c r="Q15" s="69"/>
      <c r="R15" s="1002" t="e">
        <f t="shared" si="0"/>
        <v>#DIV/0!</v>
      </c>
      <c r="S15" s="612" t="e">
        <f>SUMIF('In-Unit Lighting'!$E$13:$E$64, J15, 'In-Unit Lighting'!$N$13:$N$64)/L15</f>
        <v>#DIV/0!</v>
      </c>
    </row>
    <row r="16" spans="1:21">
      <c r="A16" s="411" t="s">
        <v>1413</v>
      </c>
      <c r="B16" s="312"/>
      <c r="J16" s="69" t="s">
        <v>906</v>
      </c>
      <c r="K16" s="69"/>
      <c r="L16" s="69"/>
      <c r="M16" s="409" t="e">
        <f>INDEX(Lookup!$P$9:$P$24,MATCH(K16,Lookup!$K$9:$K$24,0))</f>
        <v>#N/A</v>
      </c>
      <c r="N16" s="69"/>
      <c r="O16" s="69"/>
      <c r="P16" s="69"/>
      <c r="Q16" s="69"/>
      <c r="R16" s="1002" t="e">
        <f t="shared" si="0"/>
        <v>#DIV/0!</v>
      </c>
      <c r="S16" s="612" t="e">
        <f>SUMIF('In-Unit Lighting'!$E$13:$E$64, J16, 'In-Unit Lighting'!$N$13:$N$64)/L16</f>
        <v>#DIV/0!</v>
      </c>
    </row>
    <row r="17" spans="1:28">
      <c r="A17" s="411" t="s">
        <v>1505</v>
      </c>
      <c r="J17" s="69" t="s">
        <v>907</v>
      </c>
      <c r="K17" s="69"/>
      <c r="L17" s="69"/>
      <c r="M17" s="409" t="e">
        <f>INDEX(Lookup!$P$9:$P$24,MATCH(K17,Lookup!$K$9:$K$24,0))</f>
        <v>#N/A</v>
      </c>
      <c r="N17" s="69"/>
      <c r="O17" s="69"/>
      <c r="P17" s="69"/>
      <c r="Q17" s="69"/>
      <c r="R17" s="1002" t="e">
        <f t="shared" si="0"/>
        <v>#DIV/0!</v>
      </c>
      <c r="S17" s="612" t="e">
        <f>SUMIF('In-Unit Lighting'!$E$13:$E$64, J17, 'In-Unit Lighting'!$N$13:$N$64)/L17</f>
        <v>#DIV/0!</v>
      </c>
    </row>
    <row r="18" spans="1:28">
      <c r="A18" s="411" t="s">
        <v>1506</v>
      </c>
      <c r="J18" s="69" t="s">
        <v>908</v>
      </c>
      <c r="K18" s="69"/>
      <c r="L18" s="69"/>
      <c r="M18" s="409" t="e">
        <f>INDEX(Lookup!$P$9:$P$24,MATCH(K18,Lookup!$K$9:$K$24,0))</f>
        <v>#N/A</v>
      </c>
      <c r="N18" s="69"/>
      <c r="O18" s="69"/>
      <c r="P18" s="69"/>
      <c r="Q18" s="69"/>
      <c r="R18" s="1002" t="e">
        <f t="shared" si="0"/>
        <v>#DIV/0!</v>
      </c>
      <c r="S18" s="612" t="e">
        <f>SUMIF('In-Unit Lighting'!$E$13:$E$64, J18, 'In-Unit Lighting'!$N$13:$N$64)/L18</f>
        <v>#DIV/0!</v>
      </c>
    </row>
    <row r="19" spans="1:28">
      <c r="J19" s="1006" t="s">
        <v>909</v>
      </c>
      <c r="K19" s="1006"/>
      <c r="L19" s="1006"/>
      <c r="M19" s="409" t="e">
        <f>INDEX(Lookup!$P$9:$P$24,MATCH(K19,Lookup!$K$9:$K$24,0))</f>
        <v>#N/A</v>
      </c>
      <c r="N19" s="1006"/>
      <c r="O19" s="1006"/>
      <c r="P19" s="1006"/>
      <c r="Q19" s="1006"/>
      <c r="R19" s="1002" t="e">
        <f t="shared" si="0"/>
        <v>#DIV/0!</v>
      </c>
      <c r="S19" s="1002" t="e">
        <f>SUMIF('In-Unit Lighting'!$E$13:$E$64, J19, 'In-Unit Lighting'!$N$13:$N$64)/L19</f>
        <v>#DIV/0!</v>
      </c>
    </row>
    <row r="20" spans="1:28">
      <c r="C20" s="347" t="s">
        <v>1100</v>
      </c>
      <c r="D20" s="69" t="s">
        <v>1502</v>
      </c>
      <c r="J20" s="69" t="s">
        <v>910</v>
      </c>
      <c r="K20" s="69"/>
      <c r="L20" s="69"/>
      <c r="M20" s="409" t="e">
        <f>INDEX(Lookup!$P$9:$P$24,MATCH(K20,Lookup!$K$9:$K$24,0))</f>
        <v>#N/A</v>
      </c>
      <c r="N20" s="69"/>
      <c r="O20" s="69"/>
      <c r="P20" s="69"/>
      <c r="Q20" s="69"/>
      <c r="R20" s="1002" t="e">
        <f t="shared" si="0"/>
        <v>#DIV/0!</v>
      </c>
      <c r="S20" s="612" t="e">
        <f>SUMIF('In-Unit Lighting'!$E$13:$E$64, J20, 'In-Unit Lighting'!$N$13:$N$64)/L20</f>
        <v>#DIV/0!</v>
      </c>
    </row>
    <row r="21" spans="1:28" ht="12.75" customHeight="1">
      <c r="J21" s="69" t="s">
        <v>911</v>
      </c>
      <c r="K21" s="69"/>
      <c r="L21" s="69"/>
      <c r="M21" s="409" t="e">
        <f>INDEX(Lookup!$P$9:$P$24,MATCH(K21,Lookup!$K$9:$K$24,0))</f>
        <v>#N/A</v>
      </c>
      <c r="N21" s="69"/>
      <c r="O21" s="69"/>
      <c r="P21" s="69"/>
      <c r="Q21" s="69"/>
      <c r="R21" s="1002" t="e">
        <f t="shared" si="0"/>
        <v>#DIV/0!</v>
      </c>
      <c r="S21" s="612" t="e">
        <f>SUMIF('In-Unit Lighting'!$E$13:$E$64, J21, 'In-Unit Lighting'!$N$13:$N$64)/L21</f>
        <v>#DIV/0!</v>
      </c>
    </row>
    <row r="22" spans="1:28">
      <c r="C22" s="438" t="s">
        <v>1408</v>
      </c>
      <c r="D22" s="324" t="s">
        <v>533</v>
      </c>
      <c r="E22" s="324" t="s">
        <v>1409</v>
      </c>
      <c r="F22" s="324" t="s">
        <v>1410</v>
      </c>
      <c r="J22" s="69" t="s">
        <v>912</v>
      </c>
      <c r="K22" s="69"/>
      <c r="L22" s="69"/>
      <c r="M22" s="409" t="e">
        <f>INDEX(Lookup!$P$9:$P$24,MATCH(K22,Lookup!$K$9:$K$24,0))</f>
        <v>#N/A</v>
      </c>
      <c r="N22" s="69"/>
      <c r="O22" s="69"/>
      <c r="P22" s="69"/>
      <c r="Q22" s="69"/>
      <c r="R22" s="1002" t="e">
        <f t="shared" si="0"/>
        <v>#DIV/0!</v>
      </c>
      <c r="S22" s="612" t="e">
        <f>SUMIF('In-Unit Lighting'!$E$13:$E$64, J22, 'In-Unit Lighting'!$N$13:$N$64)/L22</f>
        <v>#DIV/0!</v>
      </c>
    </row>
    <row r="23" spans="1:28">
      <c r="C23" s="439" t="s">
        <v>17</v>
      </c>
      <c r="D23" s="862">
        <f>SUMIF($S$4:$S$27, "&gt;0", $S$4:$S$27)</f>
        <v>0</v>
      </c>
      <c r="E23" s="862">
        <f>SUMIFS($S$4:$S$27,$P$4:$P$27, "Yes")</f>
        <v>0</v>
      </c>
      <c r="F23" s="1099" t="e">
        <f>E23/D23</f>
        <v>#DIV/0!</v>
      </c>
      <c r="J23" s="69" t="s">
        <v>913</v>
      </c>
      <c r="K23" s="69"/>
      <c r="L23" s="69"/>
      <c r="M23" s="409" t="e">
        <f>INDEX(Lookup!$P$9:$P$24,MATCH(K23,Lookup!$K$9:$K$24,0))</f>
        <v>#N/A</v>
      </c>
      <c r="N23" s="69"/>
      <c r="O23" s="69"/>
      <c r="P23" s="69"/>
      <c r="Q23" s="69"/>
      <c r="R23" s="1002" t="e">
        <f t="shared" si="0"/>
        <v>#DIV/0!</v>
      </c>
      <c r="S23" s="612" t="e">
        <f>SUMIF('In-Unit Lighting'!$E$13:$E$64, J23, 'In-Unit Lighting'!$N$13:$N$64)/L23</f>
        <v>#DIV/0!</v>
      </c>
    </row>
    <row r="24" spans="1:28">
      <c r="C24" s="438" t="s">
        <v>270</v>
      </c>
      <c r="D24" s="324">
        <f>SUMIF($O$4:$O$27, C24, $R$4:$R$27)</f>
        <v>0</v>
      </c>
      <c r="E24" s="324">
        <f>SUMIFS($R$4:$R$27, $O$4:$O$27, C24, $P$4:$P$27, "Yes")</f>
        <v>0</v>
      </c>
      <c r="F24" s="1100" t="e">
        <f>E24/D24</f>
        <v>#DIV/0!</v>
      </c>
      <c r="J24" s="69" t="s">
        <v>914</v>
      </c>
      <c r="K24" s="69"/>
      <c r="L24" s="69"/>
      <c r="M24" s="409" t="e">
        <f>INDEX(Lookup!$P$9:$P$24,MATCH(K24,Lookup!$K$9:$K$24,0))</f>
        <v>#N/A</v>
      </c>
      <c r="N24" s="69"/>
      <c r="O24" s="69"/>
      <c r="P24" s="69"/>
      <c r="Q24" s="69"/>
      <c r="R24" s="1002" t="e">
        <f t="shared" si="0"/>
        <v>#DIV/0!</v>
      </c>
      <c r="S24" s="612" t="e">
        <f>SUMIF('In-Unit Lighting'!$E$13:$E$64, J24, 'In-Unit Lighting'!$N$13:$N$64)/L24</f>
        <v>#DIV/0!</v>
      </c>
    </row>
    <row r="25" spans="1:28">
      <c r="J25" s="69" t="s">
        <v>915</v>
      </c>
      <c r="K25" s="69"/>
      <c r="L25" s="69"/>
      <c r="M25" s="409" t="e">
        <f>INDEX(Lookup!$P$9:$P$24,MATCH(K25,Lookup!$K$9:$K$24,0))</f>
        <v>#N/A</v>
      </c>
      <c r="N25" s="69"/>
      <c r="O25" s="69"/>
      <c r="P25" s="69"/>
      <c r="Q25" s="69"/>
      <c r="R25" s="1002" t="e">
        <f t="shared" si="0"/>
        <v>#DIV/0!</v>
      </c>
      <c r="S25" s="612" t="e">
        <f>SUMIF('In-Unit Lighting'!$E$13:$E$64, J25, 'In-Unit Lighting'!$N$13:$N$64)/L25</f>
        <v>#DIV/0!</v>
      </c>
    </row>
    <row r="26" spans="1:28">
      <c r="I26" s="348" t="s">
        <v>1093</v>
      </c>
      <c r="J26" s="69" t="s">
        <v>107</v>
      </c>
      <c r="K26" s="69"/>
      <c r="L26" s="69"/>
      <c r="M26" s="409" t="e">
        <f>INDEX(Lookup!$P$9:$P$24,MATCH(K26,Lookup!$K$9:$K$24,0))</f>
        <v>#N/A</v>
      </c>
      <c r="N26" s="69"/>
      <c r="O26" s="69"/>
      <c r="P26" s="69"/>
      <c r="Q26" s="69"/>
      <c r="R26" s="1002" t="e">
        <f t="shared" si="0"/>
        <v>#DIV/0!</v>
      </c>
      <c r="S26" s="612" t="e">
        <f>SUMIF('In-Unit Lighting'!$E$13:$E$64, J26, 'In-Unit Lighting'!$N$13:$N$64)/L26</f>
        <v>#DIV/0!</v>
      </c>
    </row>
    <row r="27" spans="1:28">
      <c r="C27" s="313" t="s">
        <v>1297</v>
      </c>
      <c r="J27" s="69" t="s">
        <v>1472</v>
      </c>
      <c r="K27" s="69"/>
      <c r="L27" s="69"/>
      <c r="M27" s="409" t="e">
        <f>INDEX(Lookup!$P$9:$P$24,MATCH(K27,Lookup!$K$9:$K$24,0))</f>
        <v>#N/A</v>
      </c>
      <c r="N27" s="69"/>
      <c r="O27" s="69"/>
      <c r="P27" s="69"/>
      <c r="Q27" s="69"/>
      <c r="R27" s="1002" t="e">
        <f t="shared" si="0"/>
        <v>#DIV/0!</v>
      </c>
      <c r="S27" s="612" t="e">
        <f>SUMIF('In-Unit Lighting'!$E$13:$E$64, J27, 'In-Unit Lighting'!$N$13:$N$64)/L27</f>
        <v>#DIV/0!</v>
      </c>
    </row>
    <row r="28" spans="1:28">
      <c r="J28" s="320">
        <f>SUM(K30:K361)</f>
        <v>0</v>
      </c>
      <c r="K28" s="921"/>
      <c r="L28" s="920"/>
      <c r="M28" s="922"/>
      <c r="N28" s="320">
        <f>SUM(O30:O361)</f>
        <v>0</v>
      </c>
      <c r="O28" s="922"/>
      <c r="P28" s="922"/>
      <c r="Q28" s="922"/>
      <c r="R28" s="922"/>
      <c r="S28" s="406">
        <f>SUM(S30:S362)</f>
        <v>0</v>
      </c>
    </row>
    <row r="29" spans="1:28" ht="48">
      <c r="A29" s="322" t="s">
        <v>1496</v>
      </c>
      <c r="B29" s="322" t="s">
        <v>916</v>
      </c>
      <c r="C29" s="1102" t="s">
        <v>917</v>
      </c>
      <c r="D29" s="1102" t="s">
        <v>918</v>
      </c>
      <c r="E29" s="322" t="s">
        <v>1172</v>
      </c>
      <c r="F29" s="322" t="s">
        <v>919</v>
      </c>
      <c r="G29" s="322" t="s">
        <v>920</v>
      </c>
      <c r="H29" s="322" t="s">
        <v>1094</v>
      </c>
      <c r="I29" s="322" t="s">
        <v>921</v>
      </c>
      <c r="J29" s="322" t="s">
        <v>922</v>
      </c>
      <c r="K29" s="322" t="s">
        <v>923</v>
      </c>
      <c r="L29" s="322" t="s">
        <v>924</v>
      </c>
      <c r="M29" s="322" t="s">
        <v>1095</v>
      </c>
      <c r="N29" s="322" t="s">
        <v>925</v>
      </c>
      <c r="O29" s="322" t="s">
        <v>926</v>
      </c>
      <c r="P29" s="322" t="s">
        <v>1173</v>
      </c>
      <c r="Q29" s="322" t="s">
        <v>927</v>
      </c>
      <c r="R29" s="322" t="s">
        <v>928</v>
      </c>
      <c r="S29" s="322" t="s">
        <v>443</v>
      </c>
      <c r="W29" s="322" t="s">
        <v>1414</v>
      </c>
      <c r="X29" s="322" t="s">
        <v>1504</v>
      </c>
      <c r="Y29" s="322" t="s">
        <v>1405</v>
      </c>
      <c r="Z29" s="322" t="s">
        <v>1407</v>
      </c>
      <c r="AA29" s="322" t="s">
        <v>1147</v>
      </c>
      <c r="AB29" s="322" t="s">
        <v>1406</v>
      </c>
    </row>
    <row r="30" spans="1:28">
      <c r="A30" s="1103"/>
      <c r="B30" s="69"/>
      <c r="C30" s="323"/>
      <c r="D30" s="323"/>
      <c r="E30" s="324" t="e">
        <f>INDEX(Lookup!$I$9:$I$24,MATCH('Interior Lighting'!D30,Lookup!$C$9:$C$24,0))</f>
        <v>#N/A</v>
      </c>
      <c r="F30" s="170"/>
      <c r="G30" s="170"/>
      <c r="H30" s="170"/>
      <c r="I30" s="324" t="e">
        <f>INDEX($L$4:$L$27,MATCH(G30,$J$4:$J$27,0))</f>
        <v>#N/A</v>
      </c>
      <c r="J30" s="170"/>
      <c r="K30" s="325">
        <f>IF(F30&gt;0, F30*I30*J30, 0)</f>
        <v>0</v>
      </c>
      <c r="L30" s="326" t="e">
        <f>IF(D30="Exit Signs","convert to kW", K30/S30)</f>
        <v>#DIV/0!</v>
      </c>
      <c r="M30" s="326" t="str">
        <f>IF(H30="Yes",IF(D30='Drop Down'!$W$4,0.9*L30,IF(D30='Drop Down'!$W$5,0.9*L30,IF(D30='Drop Down'!$W$10,0.9*L30,IF(D30='Drop Down'!$W$16,0.9*L30,"No credit allowed.")))),"N/A")</f>
        <v>N/A</v>
      </c>
      <c r="N30" s="327" t="e">
        <f>IF($D$20="Space-By-Space (90.1-2013)",INDEX(LPD2013SS,MATCH('Interior Lighting'!D30,LightingSpaceType,0)*W30),INDEX(LPD2013WB,MATCH('Interior Lighting'!D30,LightingSpaceType,0)))</f>
        <v>#N/A</v>
      </c>
      <c r="O30" s="327">
        <f>IF(D30="Exit Signs", 5*F30*J30, IF(B30&gt;0, N30*S30, 0))</f>
        <v>0</v>
      </c>
      <c r="P30" s="407" t="e">
        <f t="shared" ref="P30:P93" si="1">Y30*AA30*AB30</f>
        <v>#N/A</v>
      </c>
      <c r="Q30" s="407" t="e">
        <f>IF(D30="Exit Signs","NA", K30*P30/S30)</f>
        <v>#N/A</v>
      </c>
      <c r="R30" s="407" t="e">
        <f t="shared" ref="R30:R93" si="2">INDEX(Footcandles,MATCH(D30,LightingSpaceType,0))</f>
        <v>#N/A</v>
      </c>
      <c r="S30" s="324">
        <f t="shared" ref="S30:S93" si="3">J30*B30</f>
        <v>0</v>
      </c>
      <c r="T30" s="924" t="str">
        <f t="shared" ref="T30:T93" si="4">IF(F30&gt;0, IF(Q30&lt;R30, "Insufficient lighting to meet IESNA footcandle recommendations.", ""), "")</f>
        <v/>
      </c>
      <c r="U30" s="1221" t="str">
        <f>IF(H30="","",IF(AND(H30="No",X30="Y"),"Please check ASHRAE Table 9.6.1 to ensure compliance with lighting control requirements for this space type.",""))</f>
        <v/>
      </c>
      <c r="W30" s="1098">
        <f t="shared" ref="W30:W93" si="5">IF(A30="Yes",1.2,1)</f>
        <v>1</v>
      </c>
      <c r="X30" s="1098" t="e">
        <f>INDEX(OSReq,MATCH('Interior Lighting'!D30,LightingSpaceType,0))</f>
        <v>#N/A</v>
      </c>
      <c r="Y30" s="1098" t="e">
        <f t="shared" ref="Y30:Y93" si="6">INDEX($M$4:$M$27,MATCH(G30,$J$4:$J$27,0))</f>
        <v>#N/A</v>
      </c>
      <c r="Z30" s="1098" t="e">
        <f t="shared" ref="Z30:Z93" si="7">INDEX($K$4:$K$27,MATCH(G30,$J$4:$J$27,0))</f>
        <v>#N/A</v>
      </c>
      <c r="AA30" s="1098" t="e">
        <f>INDEX(Lookup!$O$9:$O$24,MATCH('Interior Lighting'!Z30,Lookup!$K$9:$K$24,0))</f>
        <v>#N/A</v>
      </c>
      <c r="AB30" s="1098" t="e">
        <f>IF(E30="A",INDEX(Lookup!$L$9:$L$24,MATCH(Z30,Lookup!$K$9:$K$24,0)),IF(E30="B",INDEX(Lookup!$M$9:$M$24,MATCH(Z30,Lookup!$K$9:$K$24,0)),IF(E30="C",INDEX(Lookup!$N$9:$N$24,MATCH(Z30,Lookup!$K$9:$K$24,0)),"N/A")))</f>
        <v>#N/A</v>
      </c>
    </row>
    <row r="31" spans="1:28">
      <c r="A31" s="1103"/>
      <c r="B31" s="69"/>
      <c r="C31" s="323"/>
      <c r="D31" s="323"/>
      <c r="E31" s="324" t="e">
        <f>INDEX(Lookup!$I$9:$I$24,MATCH('Interior Lighting'!D31,Lookup!$C$9:$C$24,0))</f>
        <v>#N/A</v>
      </c>
      <c r="F31" s="170"/>
      <c r="G31" s="170"/>
      <c r="H31" s="170"/>
      <c r="I31" s="324" t="e">
        <f t="shared" ref="I31:I94" si="8">INDEX($L$4:$L$27,MATCH(G31,$J$4:$J$27,0))</f>
        <v>#N/A</v>
      </c>
      <c r="J31" s="170"/>
      <c r="K31" s="325">
        <f t="shared" ref="K31:K94" si="9">IF(F31&gt;0, F31*I31*J31, 0)</f>
        <v>0</v>
      </c>
      <c r="L31" s="326" t="e">
        <f t="shared" ref="L31:L94" si="10">IF(D31="Exit Signs","convert to kW", K31/S31)</f>
        <v>#DIV/0!</v>
      </c>
      <c r="M31" s="326" t="str">
        <f>IF(H31="Yes",IF(D31='Drop Down'!$W$4,0.9*L31,IF(D31='Drop Down'!$W$5,0.9*L31,IF(D31='Drop Down'!$W$10,0.9*L31,IF(D31='Drop Down'!$W$16,0.9*L31,"No credit allowed.")))),"N/A")</f>
        <v>N/A</v>
      </c>
      <c r="N31" s="327" t="e">
        <f>IF($D$20="Space-By-Space (90.1-2013)",INDEX(LPD2013SS,MATCH('Interior Lighting'!D31,LightingSpaceType,0)*W31),INDEX(LPD2013WB,MATCH('Interior Lighting'!D31,LightingSpaceType,0)))</f>
        <v>#N/A</v>
      </c>
      <c r="O31" s="327">
        <f t="shared" ref="O31:O94" si="11">IF(D31="Exit Signs", 5*F31*J31, IF(B31&gt;0, N31*S31, 0))</f>
        <v>0</v>
      </c>
      <c r="P31" s="407" t="e">
        <f t="shared" si="1"/>
        <v>#N/A</v>
      </c>
      <c r="Q31" s="407" t="e">
        <f t="shared" ref="Q31:Q94" si="12">IF(D31="Exit Signs","NA", K31*P31/S31)</f>
        <v>#N/A</v>
      </c>
      <c r="R31" s="407" t="e">
        <f t="shared" si="2"/>
        <v>#N/A</v>
      </c>
      <c r="S31" s="324">
        <f t="shared" si="3"/>
        <v>0</v>
      </c>
      <c r="T31" s="924" t="str">
        <f t="shared" si="4"/>
        <v/>
      </c>
      <c r="U31" s="1221" t="str">
        <f>IF(H31="","",IF(AND(H31="No",X31="Y"),"Please check ASHRAE Table 9.6.1 to ensure compliance with lighting control requirements for this space type.",""))</f>
        <v/>
      </c>
      <c r="W31" s="1098">
        <f t="shared" si="5"/>
        <v>1</v>
      </c>
      <c r="X31" s="1098" t="e">
        <f>INDEX(OSReq,MATCH('Interior Lighting'!D31,LightingSpaceType,0))</f>
        <v>#N/A</v>
      </c>
      <c r="Y31" s="1098" t="e">
        <f t="shared" si="6"/>
        <v>#N/A</v>
      </c>
      <c r="Z31" s="1098" t="e">
        <f t="shared" si="7"/>
        <v>#N/A</v>
      </c>
      <c r="AA31" s="1098" t="e">
        <f>INDEX(Lookup!$O$9:$O$24,MATCH('Interior Lighting'!Z31,Lookup!$K$9:$K$24,0))</f>
        <v>#N/A</v>
      </c>
      <c r="AB31" s="1098" t="e">
        <f>IF(E31="A",INDEX(Lookup!$L$9:$L$24,MATCH(Z31,Lookup!$K$9:$K$24,0)),IF(E31="B",INDEX(Lookup!$M$9:$M$24,MATCH(Z31,Lookup!$K$9:$K$24,0)),IF(E31="C",INDEX(Lookup!$N$9:$N$24,MATCH(Z31,Lookup!$K$9:$K$24,0)),"N/A")))</f>
        <v>#N/A</v>
      </c>
    </row>
    <row r="32" spans="1:28">
      <c r="A32" s="1103"/>
      <c r="B32" s="69"/>
      <c r="C32" s="323"/>
      <c r="D32" s="323"/>
      <c r="E32" s="324" t="e">
        <f>INDEX(Lookup!$I$9:$I$24,MATCH('Interior Lighting'!D32,Lookup!$C$9:$C$24,0))</f>
        <v>#N/A</v>
      </c>
      <c r="F32" s="69"/>
      <c r="G32" s="69"/>
      <c r="H32" s="69"/>
      <c r="I32" s="324" t="e">
        <f t="shared" si="8"/>
        <v>#N/A</v>
      </c>
      <c r="J32" s="170"/>
      <c r="K32" s="325">
        <f t="shared" si="9"/>
        <v>0</v>
      </c>
      <c r="L32" s="326" t="e">
        <f t="shared" si="10"/>
        <v>#DIV/0!</v>
      </c>
      <c r="M32" s="326" t="str">
        <f>IF(H32="Yes",IF(D32='Drop Down'!$W$4,0.9*L32,IF(D32='Drop Down'!$W$5,0.9*L32,IF(D32='Drop Down'!$W$10,0.9*L32,IF(D32='Drop Down'!$W$16,0.9*L32,"No credit allowed.")))),"N/A")</f>
        <v>N/A</v>
      </c>
      <c r="N32" s="327" t="e">
        <f>IF($D$20="Space-By-Space (90.1-2013)",INDEX(LPD2013SS,MATCH('Interior Lighting'!D32,LightingSpaceType,0)*W32),INDEX(LPD2013WB,MATCH('Interior Lighting'!D32,LightingSpaceType,0)))</f>
        <v>#N/A</v>
      </c>
      <c r="O32" s="327">
        <f t="shared" si="11"/>
        <v>0</v>
      </c>
      <c r="P32" s="407" t="e">
        <f t="shared" si="1"/>
        <v>#N/A</v>
      </c>
      <c r="Q32" s="407" t="e">
        <f t="shared" si="12"/>
        <v>#N/A</v>
      </c>
      <c r="R32" s="407" t="e">
        <f t="shared" si="2"/>
        <v>#N/A</v>
      </c>
      <c r="S32" s="324">
        <f t="shared" si="3"/>
        <v>0</v>
      </c>
      <c r="T32" s="924" t="str">
        <f t="shared" si="4"/>
        <v/>
      </c>
      <c r="U32" s="1221" t="str">
        <f t="shared" ref="U32:U95" si="13">IF(H32="","",IF(AND(H32="No",X32="Y"),"Please check ASHRAE Table 9.6.1 to ensure compliance with lighting control requirements for this space type.",""))</f>
        <v/>
      </c>
      <c r="W32" s="1098">
        <f t="shared" si="5"/>
        <v>1</v>
      </c>
      <c r="X32" s="1098" t="e">
        <f>INDEX(OSReq,MATCH('Interior Lighting'!D32,LightingSpaceType,0))</f>
        <v>#N/A</v>
      </c>
      <c r="Y32" s="1098" t="e">
        <f t="shared" si="6"/>
        <v>#N/A</v>
      </c>
      <c r="Z32" s="1098" t="e">
        <f t="shared" si="7"/>
        <v>#N/A</v>
      </c>
      <c r="AA32" s="1098" t="e">
        <f>INDEX(Lookup!$O$9:$O$24,MATCH('Interior Lighting'!Z32,Lookup!$K$9:$K$24,0))</f>
        <v>#N/A</v>
      </c>
      <c r="AB32" s="1098" t="e">
        <f>IF(E32="A",INDEX(Lookup!$L$9:$L$24,MATCH(Z32,Lookup!$K$9:$K$24,0)),IF(E32="B",INDEX(Lookup!$M$9:$M$24,MATCH(Z32,Lookup!$K$9:$K$24,0)),IF(E32="C",INDEX(Lookup!$N$9:$N$24,MATCH(Z32,Lookup!$K$9:$K$24,0)),"N/A")))</f>
        <v>#N/A</v>
      </c>
    </row>
    <row r="33" spans="1:28">
      <c r="A33" s="338"/>
      <c r="B33" s="69"/>
      <c r="C33" s="323"/>
      <c r="D33" s="323"/>
      <c r="E33" s="324" t="e">
        <f>INDEX(Lookup!$I$9:$I$24,MATCH('Interior Lighting'!D33,Lookup!$C$9:$C$24,0))</f>
        <v>#N/A</v>
      </c>
      <c r="F33" s="69"/>
      <c r="G33" s="69"/>
      <c r="H33" s="69"/>
      <c r="I33" s="324" t="e">
        <f t="shared" si="8"/>
        <v>#N/A</v>
      </c>
      <c r="J33" s="170"/>
      <c r="K33" s="325">
        <f t="shared" si="9"/>
        <v>0</v>
      </c>
      <c r="L33" s="326" t="e">
        <f t="shared" si="10"/>
        <v>#DIV/0!</v>
      </c>
      <c r="M33" s="326" t="str">
        <f>IF(H33="Yes",IF(D33='Drop Down'!$W$4,0.9*L33,IF(D33='Drop Down'!$W$5,0.9*L33,IF(D33='Drop Down'!$W$10,0.9*L33,IF(D33='Drop Down'!$W$16,0.9*L33,"No credit allowed.")))),"N/A")</f>
        <v>N/A</v>
      </c>
      <c r="N33" s="327" t="e">
        <f>IF($D$20="Space-By-Space (90.1-2013)",INDEX(LPD2013SS,MATCH('Interior Lighting'!D33,LightingSpaceType,0)*W33),INDEX(LPD2013WB,MATCH('Interior Lighting'!D33,LightingSpaceType,0)))</f>
        <v>#N/A</v>
      </c>
      <c r="O33" s="327">
        <f t="shared" si="11"/>
        <v>0</v>
      </c>
      <c r="P33" s="407" t="e">
        <f t="shared" si="1"/>
        <v>#N/A</v>
      </c>
      <c r="Q33" s="407" t="e">
        <f t="shared" si="12"/>
        <v>#N/A</v>
      </c>
      <c r="R33" s="407" t="e">
        <f t="shared" si="2"/>
        <v>#N/A</v>
      </c>
      <c r="S33" s="324">
        <f t="shared" si="3"/>
        <v>0</v>
      </c>
      <c r="T33" s="924" t="str">
        <f t="shared" si="4"/>
        <v/>
      </c>
      <c r="U33" s="1221" t="str">
        <f t="shared" si="13"/>
        <v/>
      </c>
      <c r="W33" s="1098">
        <f t="shared" si="5"/>
        <v>1</v>
      </c>
      <c r="X33" s="1098" t="e">
        <f>INDEX(OSReq,MATCH('Interior Lighting'!D33,LightingSpaceType,0))</f>
        <v>#N/A</v>
      </c>
      <c r="Y33" s="1098" t="e">
        <f t="shared" si="6"/>
        <v>#N/A</v>
      </c>
      <c r="Z33" s="1098" t="e">
        <f t="shared" si="7"/>
        <v>#N/A</v>
      </c>
      <c r="AA33" s="1098" t="e">
        <f>INDEX(Lookup!$O$9:$O$24,MATCH('Interior Lighting'!Z33,Lookup!$K$9:$K$24,0))</f>
        <v>#N/A</v>
      </c>
      <c r="AB33" s="1098" t="e">
        <f>IF(E33="A",INDEX(Lookup!$L$9:$L$24,MATCH(Z33,Lookup!$K$9:$K$24,0)),IF(E33="B",INDEX(Lookup!$M$9:$M$24,MATCH(Z33,Lookup!$K$9:$K$24,0)),IF(E33="C",INDEX(Lookup!$N$9:$N$24,MATCH(Z33,Lookup!$K$9:$K$24,0)),"N/A")))</f>
        <v>#N/A</v>
      </c>
    </row>
    <row r="34" spans="1:28">
      <c r="A34" s="338"/>
      <c r="B34" s="69"/>
      <c r="C34" s="323"/>
      <c r="D34" s="323"/>
      <c r="E34" s="324" t="e">
        <f>INDEX(Lookup!$I$9:$I$24,MATCH('Interior Lighting'!D34,Lookup!$C$9:$C$24,0))</f>
        <v>#N/A</v>
      </c>
      <c r="F34" s="69"/>
      <c r="G34" s="69"/>
      <c r="H34" s="69"/>
      <c r="I34" s="324" t="e">
        <f t="shared" si="8"/>
        <v>#N/A</v>
      </c>
      <c r="J34" s="170"/>
      <c r="K34" s="325">
        <f t="shared" si="9"/>
        <v>0</v>
      </c>
      <c r="L34" s="326" t="e">
        <f t="shared" si="10"/>
        <v>#DIV/0!</v>
      </c>
      <c r="M34" s="326" t="str">
        <f>IF(H34="Yes",IF(D34='Drop Down'!$W$4,0.9*L34,IF(D34='Drop Down'!$W$5,0.9*L34,IF(D34='Drop Down'!$W$10,0.9*L34,IF(D34='Drop Down'!$W$16,0.9*L34,"No credit allowed.")))),"N/A")</f>
        <v>N/A</v>
      </c>
      <c r="N34" s="327" t="e">
        <f>IF($D$20="Space-By-Space (90.1-2013)",INDEX(LPD2013SS,MATCH('Interior Lighting'!D34,LightingSpaceType,0)*W34),INDEX(LPD2013WB,MATCH('Interior Lighting'!D34,LightingSpaceType,0)))</f>
        <v>#N/A</v>
      </c>
      <c r="O34" s="327">
        <f t="shared" si="11"/>
        <v>0</v>
      </c>
      <c r="P34" s="407" t="e">
        <f t="shared" si="1"/>
        <v>#N/A</v>
      </c>
      <c r="Q34" s="407" t="e">
        <f t="shared" si="12"/>
        <v>#N/A</v>
      </c>
      <c r="R34" s="407" t="e">
        <f t="shared" si="2"/>
        <v>#N/A</v>
      </c>
      <c r="S34" s="324">
        <f t="shared" si="3"/>
        <v>0</v>
      </c>
      <c r="T34" s="924" t="str">
        <f t="shared" si="4"/>
        <v/>
      </c>
      <c r="U34" s="1221" t="str">
        <f t="shared" si="13"/>
        <v/>
      </c>
      <c r="W34" s="1098">
        <f t="shared" si="5"/>
        <v>1</v>
      </c>
      <c r="X34" s="1098" t="e">
        <f>INDEX(OSReq,MATCH('Interior Lighting'!D34,LightingSpaceType,0))</f>
        <v>#N/A</v>
      </c>
      <c r="Y34" s="1098" t="e">
        <f t="shared" si="6"/>
        <v>#N/A</v>
      </c>
      <c r="Z34" s="1098" t="e">
        <f t="shared" si="7"/>
        <v>#N/A</v>
      </c>
      <c r="AA34" s="1098" t="e">
        <f>INDEX(Lookup!$O$9:$O$24,MATCH('Interior Lighting'!Z34,Lookup!$K$9:$K$24,0))</f>
        <v>#N/A</v>
      </c>
      <c r="AB34" s="1098" t="e">
        <f>IF(E34="A",INDEX(Lookup!$L$9:$L$24,MATCH(Z34,Lookup!$K$9:$K$24,0)),IF(E34="B",INDEX(Lookup!$M$9:$M$24,MATCH(Z34,Lookup!$K$9:$K$24,0)),IF(E34="C",INDEX(Lookup!$N$9:$N$24,MATCH(Z34,Lookup!$K$9:$K$24,0)),"N/A")))</f>
        <v>#N/A</v>
      </c>
    </row>
    <row r="35" spans="1:28" ht="12.75" customHeight="1">
      <c r="A35" s="338"/>
      <c r="B35" s="69"/>
      <c r="C35" s="323"/>
      <c r="D35" s="323"/>
      <c r="E35" s="324" t="e">
        <f>INDEX(Lookup!$I$9:$I$24,MATCH('Interior Lighting'!D35,Lookup!$C$9:$C$24,0))</f>
        <v>#N/A</v>
      </c>
      <c r="F35" s="69"/>
      <c r="G35" s="69"/>
      <c r="H35" s="69"/>
      <c r="I35" s="324" t="e">
        <f t="shared" si="8"/>
        <v>#N/A</v>
      </c>
      <c r="J35" s="170"/>
      <c r="K35" s="325">
        <f t="shared" si="9"/>
        <v>0</v>
      </c>
      <c r="L35" s="326" t="e">
        <f t="shared" si="10"/>
        <v>#DIV/0!</v>
      </c>
      <c r="M35" s="326" t="str">
        <f>IF(H35="Yes",IF(D35='Drop Down'!$W$4,0.9*L35,IF(D35='Drop Down'!$W$5,0.9*L35,IF(D35='Drop Down'!$W$10,0.9*L35,IF(D35='Drop Down'!$W$16,0.9*L35,"No credit allowed.")))),"N/A")</f>
        <v>N/A</v>
      </c>
      <c r="N35" s="327" t="e">
        <f>IF($D$20="Space-By-Space (90.1-2013)",INDEX(LPD2013SS,MATCH('Interior Lighting'!D35,LightingSpaceType,0)*W35),INDEX(LPD2013WB,MATCH('Interior Lighting'!D35,LightingSpaceType,0)))</f>
        <v>#N/A</v>
      </c>
      <c r="O35" s="327">
        <f t="shared" si="11"/>
        <v>0</v>
      </c>
      <c r="P35" s="407" t="e">
        <f t="shared" si="1"/>
        <v>#N/A</v>
      </c>
      <c r="Q35" s="407" t="e">
        <f t="shared" si="12"/>
        <v>#N/A</v>
      </c>
      <c r="R35" s="407" t="e">
        <f t="shared" si="2"/>
        <v>#N/A</v>
      </c>
      <c r="S35" s="324">
        <f t="shared" si="3"/>
        <v>0</v>
      </c>
      <c r="T35" s="924" t="str">
        <f t="shared" si="4"/>
        <v/>
      </c>
      <c r="U35" s="1221" t="str">
        <f t="shared" si="13"/>
        <v/>
      </c>
      <c r="W35" s="1098">
        <f t="shared" si="5"/>
        <v>1</v>
      </c>
      <c r="X35" s="1098" t="e">
        <f>INDEX(OSReq,MATCH('Interior Lighting'!D35,LightingSpaceType,0))</f>
        <v>#N/A</v>
      </c>
      <c r="Y35" s="1098" t="e">
        <f t="shared" si="6"/>
        <v>#N/A</v>
      </c>
      <c r="Z35" s="1098" t="e">
        <f t="shared" si="7"/>
        <v>#N/A</v>
      </c>
      <c r="AA35" s="1098" t="e">
        <f>INDEX(Lookup!$O$9:$O$24,MATCH('Interior Lighting'!Z35,Lookup!$K$9:$K$24,0))</f>
        <v>#N/A</v>
      </c>
      <c r="AB35" s="1098" t="e">
        <f>IF(E35="A",INDEX(Lookup!$L$9:$L$24,MATCH(Z35,Lookup!$K$9:$K$24,0)),IF(E35="B",INDEX(Lookup!$M$9:$M$24,MATCH(Z35,Lookup!$K$9:$K$24,0)),IF(E35="C",INDEX(Lookup!$N$9:$N$24,MATCH(Z35,Lookup!$K$9:$K$24,0)),"N/A")))</f>
        <v>#N/A</v>
      </c>
    </row>
    <row r="36" spans="1:28">
      <c r="A36" s="338"/>
      <c r="B36" s="69"/>
      <c r="C36" s="323"/>
      <c r="D36" s="323"/>
      <c r="E36" s="324" t="e">
        <f>INDEX(Lookup!$I$9:$I$24,MATCH('Interior Lighting'!D36,Lookup!$C$9:$C$24,0))</f>
        <v>#N/A</v>
      </c>
      <c r="F36" s="69"/>
      <c r="G36" s="69"/>
      <c r="H36" s="69"/>
      <c r="I36" s="324" t="e">
        <f t="shared" si="8"/>
        <v>#N/A</v>
      </c>
      <c r="J36" s="170"/>
      <c r="K36" s="325">
        <f t="shared" si="9"/>
        <v>0</v>
      </c>
      <c r="L36" s="326" t="e">
        <f t="shared" si="10"/>
        <v>#DIV/0!</v>
      </c>
      <c r="M36" s="326" t="str">
        <f>IF(H36="Yes",IF(D36='Drop Down'!$W$4,0.9*L36,IF(D36='Drop Down'!$W$5,0.9*L36,IF(D36='Drop Down'!$W$10,0.9*L36,IF(D36='Drop Down'!$W$16,0.9*L36,"No credit allowed.")))),"N/A")</f>
        <v>N/A</v>
      </c>
      <c r="N36" s="327" t="e">
        <f>IF($D$20="Space-By-Space (90.1-2013)",INDEX(LPD2013SS,MATCH('Interior Lighting'!D36,LightingSpaceType,0)*W36),INDEX(LPD2013WB,MATCH('Interior Lighting'!D36,LightingSpaceType,0)))</f>
        <v>#N/A</v>
      </c>
      <c r="O36" s="327">
        <f t="shared" si="11"/>
        <v>0</v>
      </c>
      <c r="P36" s="407" t="e">
        <f t="shared" si="1"/>
        <v>#N/A</v>
      </c>
      <c r="Q36" s="407" t="e">
        <f t="shared" si="12"/>
        <v>#N/A</v>
      </c>
      <c r="R36" s="407" t="e">
        <f t="shared" si="2"/>
        <v>#N/A</v>
      </c>
      <c r="S36" s="324">
        <f t="shared" si="3"/>
        <v>0</v>
      </c>
      <c r="T36" s="924" t="str">
        <f t="shared" si="4"/>
        <v/>
      </c>
      <c r="U36" s="1221" t="str">
        <f t="shared" si="13"/>
        <v/>
      </c>
      <c r="W36" s="1098">
        <f t="shared" si="5"/>
        <v>1</v>
      </c>
      <c r="X36" s="1098" t="e">
        <f>INDEX(OSReq,MATCH('Interior Lighting'!D36,LightingSpaceType,0))</f>
        <v>#N/A</v>
      </c>
      <c r="Y36" s="1098" t="e">
        <f t="shared" si="6"/>
        <v>#N/A</v>
      </c>
      <c r="Z36" s="1098" t="e">
        <f t="shared" si="7"/>
        <v>#N/A</v>
      </c>
      <c r="AA36" s="1098" t="e">
        <f>INDEX(Lookup!$O$9:$O$24,MATCH('Interior Lighting'!Z36,Lookup!$K$9:$K$24,0))</f>
        <v>#N/A</v>
      </c>
      <c r="AB36" s="1098" t="e">
        <f>IF(E36="A",INDEX(Lookup!$L$9:$L$24,MATCH(Z36,Lookup!$K$9:$K$24,0)),IF(E36="B",INDEX(Lookup!$M$9:$M$24,MATCH(Z36,Lookup!$K$9:$K$24,0)),IF(E36="C",INDEX(Lookup!$N$9:$N$24,MATCH(Z36,Lookup!$K$9:$K$24,0)),"N/A")))</f>
        <v>#N/A</v>
      </c>
    </row>
    <row r="37" spans="1:28">
      <c r="A37" s="338"/>
      <c r="B37" s="69"/>
      <c r="C37" s="323"/>
      <c r="D37" s="323"/>
      <c r="E37" s="324" t="e">
        <f>INDEX(Lookup!$I$9:$I$24,MATCH('Interior Lighting'!D37,Lookup!$C$9:$C$24,0))</f>
        <v>#N/A</v>
      </c>
      <c r="F37" s="69"/>
      <c r="G37" s="69"/>
      <c r="H37" s="69"/>
      <c r="I37" s="324" t="e">
        <f t="shared" si="8"/>
        <v>#N/A</v>
      </c>
      <c r="J37" s="170"/>
      <c r="K37" s="325">
        <f t="shared" si="9"/>
        <v>0</v>
      </c>
      <c r="L37" s="326" t="e">
        <f t="shared" si="10"/>
        <v>#DIV/0!</v>
      </c>
      <c r="M37" s="326" t="str">
        <f>IF(H37="Yes",IF(D37='Drop Down'!$W$4,0.9*L37,IF(D37='Drop Down'!$W$5,0.9*L37,IF(D37='Drop Down'!$W$10,0.9*L37,IF(D37='Drop Down'!$W$16,0.9*L37,"No credit allowed.")))),"N/A")</f>
        <v>N/A</v>
      </c>
      <c r="N37" s="327" t="e">
        <f>IF($D$20="Space-By-Space (90.1-2013)",INDEX(LPD2013SS,MATCH('Interior Lighting'!D37,LightingSpaceType,0)*W37),INDEX(LPD2013WB,MATCH('Interior Lighting'!D37,LightingSpaceType,0)))</f>
        <v>#N/A</v>
      </c>
      <c r="O37" s="327">
        <f t="shared" si="11"/>
        <v>0</v>
      </c>
      <c r="P37" s="407" t="e">
        <f t="shared" si="1"/>
        <v>#N/A</v>
      </c>
      <c r="Q37" s="407" t="e">
        <f t="shared" si="12"/>
        <v>#N/A</v>
      </c>
      <c r="R37" s="407" t="e">
        <f t="shared" si="2"/>
        <v>#N/A</v>
      </c>
      <c r="S37" s="324">
        <f t="shared" si="3"/>
        <v>0</v>
      </c>
      <c r="T37" s="924" t="str">
        <f t="shared" si="4"/>
        <v/>
      </c>
      <c r="U37" s="1221" t="str">
        <f t="shared" si="13"/>
        <v/>
      </c>
      <c r="W37" s="1098">
        <f t="shared" si="5"/>
        <v>1</v>
      </c>
      <c r="X37" s="1098" t="e">
        <f>INDEX(OSReq,MATCH('Interior Lighting'!D37,LightingSpaceType,0))</f>
        <v>#N/A</v>
      </c>
      <c r="Y37" s="1098" t="e">
        <f t="shared" si="6"/>
        <v>#N/A</v>
      </c>
      <c r="Z37" s="1098" t="e">
        <f t="shared" si="7"/>
        <v>#N/A</v>
      </c>
      <c r="AA37" s="1098" t="e">
        <f>INDEX(Lookup!$O$9:$O$24,MATCH('Interior Lighting'!Z37,Lookup!$K$9:$K$24,0))</f>
        <v>#N/A</v>
      </c>
      <c r="AB37" s="1098" t="e">
        <f>IF(E37="A",INDEX(Lookup!$L$9:$L$24,MATCH(Z37,Lookup!$K$9:$K$24,0)),IF(E37="B",INDEX(Lookup!$M$9:$M$24,MATCH(Z37,Lookup!$K$9:$K$24,0)),IF(E37="C",INDEX(Lookup!$N$9:$N$24,MATCH(Z37,Lookup!$K$9:$K$24,0)),"N/A")))</f>
        <v>#N/A</v>
      </c>
    </row>
    <row r="38" spans="1:28">
      <c r="A38" s="338"/>
      <c r="B38" s="69"/>
      <c r="C38" s="323"/>
      <c r="D38" s="323"/>
      <c r="E38" s="324" t="e">
        <f>INDEX(Lookup!$I$9:$I$24,MATCH('Interior Lighting'!D38,Lookup!$C$9:$C$24,0))</f>
        <v>#N/A</v>
      </c>
      <c r="F38" s="69"/>
      <c r="G38" s="69"/>
      <c r="H38" s="69"/>
      <c r="I38" s="324" t="e">
        <f t="shared" si="8"/>
        <v>#N/A</v>
      </c>
      <c r="J38" s="170"/>
      <c r="K38" s="325">
        <f t="shared" si="9"/>
        <v>0</v>
      </c>
      <c r="L38" s="326" t="e">
        <f t="shared" si="10"/>
        <v>#DIV/0!</v>
      </c>
      <c r="M38" s="326" t="str">
        <f>IF(H38="Yes",IF(D38='Drop Down'!$W$4,0.9*L38,IF(D38='Drop Down'!$W$5,0.9*L38,IF(D38='Drop Down'!$W$10,0.9*L38,IF(D38='Drop Down'!$W$16,0.9*L38,"No credit allowed.")))),"N/A")</f>
        <v>N/A</v>
      </c>
      <c r="N38" s="327" t="e">
        <f>IF($D$20="Space-By-Space (90.1-2013)",INDEX(LPD2013SS,MATCH('Interior Lighting'!D38,LightingSpaceType,0)*W38),INDEX(LPD2013WB,MATCH('Interior Lighting'!D38,LightingSpaceType,0)))</f>
        <v>#N/A</v>
      </c>
      <c r="O38" s="327">
        <f t="shared" si="11"/>
        <v>0</v>
      </c>
      <c r="P38" s="407" t="e">
        <f t="shared" si="1"/>
        <v>#N/A</v>
      </c>
      <c r="Q38" s="407" t="e">
        <f t="shared" si="12"/>
        <v>#N/A</v>
      </c>
      <c r="R38" s="407" t="e">
        <f t="shared" si="2"/>
        <v>#N/A</v>
      </c>
      <c r="S38" s="324">
        <f t="shared" si="3"/>
        <v>0</v>
      </c>
      <c r="T38" s="924" t="str">
        <f t="shared" si="4"/>
        <v/>
      </c>
      <c r="U38" s="1221" t="str">
        <f t="shared" si="13"/>
        <v/>
      </c>
      <c r="W38" s="1098">
        <f t="shared" si="5"/>
        <v>1</v>
      </c>
      <c r="X38" s="1098" t="e">
        <f>INDEX(OSReq,MATCH('Interior Lighting'!D38,LightingSpaceType,0))</f>
        <v>#N/A</v>
      </c>
      <c r="Y38" s="1098" t="e">
        <f t="shared" si="6"/>
        <v>#N/A</v>
      </c>
      <c r="Z38" s="1098" t="e">
        <f t="shared" si="7"/>
        <v>#N/A</v>
      </c>
      <c r="AA38" s="1098" t="e">
        <f>INDEX(Lookup!$O$9:$O$24,MATCH('Interior Lighting'!Z38,Lookup!$K$9:$K$24,0))</f>
        <v>#N/A</v>
      </c>
      <c r="AB38" s="1098" t="e">
        <f>IF(E38="A",INDEX(Lookup!$L$9:$L$24,MATCH(Z38,Lookup!$K$9:$K$24,0)),IF(E38="B",INDEX(Lookup!$M$9:$M$24,MATCH(Z38,Lookup!$K$9:$K$24,0)),IF(E38="C",INDEX(Lookup!$N$9:$N$24,MATCH(Z38,Lookup!$K$9:$K$24,0)),"N/A")))</f>
        <v>#N/A</v>
      </c>
    </row>
    <row r="39" spans="1:28">
      <c r="A39" s="338"/>
      <c r="B39" s="69"/>
      <c r="C39" s="323"/>
      <c r="D39" s="323"/>
      <c r="E39" s="324" t="e">
        <f>INDEX(Lookup!$I$9:$I$24,MATCH('Interior Lighting'!D39,Lookup!$C$9:$C$24,0))</f>
        <v>#N/A</v>
      </c>
      <c r="F39" s="69"/>
      <c r="G39" s="69"/>
      <c r="H39" s="69"/>
      <c r="I39" s="324" t="e">
        <f t="shared" si="8"/>
        <v>#N/A</v>
      </c>
      <c r="J39" s="170"/>
      <c r="K39" s="325">
        <f t="shared" si="9"/>
        <v>0</v>
      </c>
      <c r="L39" s="326" t="e">
        <f t="shared" si="10"/>
        <v>#DIV/0!</v>
      </c>
      <c r="M39" s="326" t="str">
        <f>IF(H39="Yes",IF(D39='Drop Down'!$W$4,0.9*L39,IF(D39='Drop Down'!$W$5,0.9*L39,IF(D39='Drop Down'!$W$10,0.9*L39,IF(D39='Drop Down'!$W$16,0.9*L39,"No credit allowed.")))),"N/A")</f>
        <v>N/A</v>
      </c>
      <c r="N39" s="327" t="e">
        <f>IF($D$20="Space-By-Space (90.1-2013)",INDEX(LPD2013SS,MATCH('Interior Lighting'!D39,LightingSpaceType,0)*W39),INDEX(LPD2013WB,MATCH('Interior Lighting'!D39,LightingSpaceType,0)))</f>
        <v>#N/A</v>
      </c>
      <c r="O39" s="327">
        <f t="shared" si="11"/>
        <v>0</v>
      </c>
      <c r="P39" s="407" t="e">
        <f t="shared" si="1"/>
        <v>#N/A</v>
      </c>
      <c r="Q39" s="407" t="e">
        <f t="shared" si="12"/>
        <v>#N/A</v>
      </c>
      <c r="R39" s="407" t="e">
        <f t="shared" si="2"/>
        <v>#N/A</v>
      </c>
      <c r="S39" s="324">
        <f t="shared" si="3"/>
        <v>0</v>
      </c>
      <c r="T39" s="924" t="str">
        <f t="shared" si="4"/>
        <v/>
      </c>
      <c r="U39" s="1221" t="str">
        <f t="shared" si="13"/>
        <v/>
      </c>
      <c r="W39" s="1098">
        <f t="shared" si="5"/>
        <v>1</v>
      </c>
      <c r="X39" s="1098" t="e">
        <f>INDEX(OSReq,MATCH('Interior Lighting'!D39,LightingSpaceType,0))</f>
        <v>#N/A</v>
      </c>
      <c r="Y39" s="1098" t="e">
        <f t="shared" si="6"/>
        <v>#N/A</v>
      </c>
      <c r="Z39" s="1098" t="e">
        <f t="shared" si="7"/>
        <v>#N/A</v>
      </c>
      <c r="AA39" s="1098" t="e">
        <f>INDEX(Lookup!$O$9:$O$24,MATCH('Interior Lighting'!Z39,Lookup!$K$9:$K$24,0))</f>
        <v>#N/A</v>
      </c>
      <c r="AB39" s="1098" t="e">
        <f>IF(E39="A",INDEX(Lookup!$L$9:$L$24,MATCH(Z39,Lookup!$K$9:$K$24,0)),IF(E39="B",INDEX(Lookup!$M$9:$M$24,MATCH(Z39,Lookup!$K$9:$K$24,0)),IF(E39="C",INDEX(Lookup!$N$9:$N$24,MATCH(Z39,Lookup!$K$9:$K$24,0)),"N/A")))</f>
        <v>#N/A</v>
      </c>
    </row>
    <row r="40" spans="1:28">
      <c r="A40" s="338"/>
      <c r="B40" s="69"/>
      <c r="C40" s="323"/>
      <c r="D40" s="323"/>
      <c r="E40" s="324" t="e">
        <f>INDEX(Lookup!$I$9:$I$24,MATCH('Interior Lighting'!D40,Lookup!$C$9:$C$24,0))</f>
        <v>#N/A</v>
      </c>
      <c r="F40" s="69"/>
      <c r="G40" s="69"/>
      <c r="H40" s="69"/>
      <c r="I40" s="324" t="e">
        <f t="shared" si="8"/>
        <v>#N/A</v>
      </c>
      <c r="J40" s="170"/>
      <c r="K40" s="325">
        <f t="shared" si="9"/>
        <v>0</v>
      </c>
      <c r="L40" s="326" t="e">
        <f t="shared" si="10"/>
        <v>#DIV/0!</v>
      </c>
      <c r="M40" s="326" t="str">
        <f>IF(H40="Yes",IF(D40='Drop Down'!$W$4,0.9*L40,IF(D40='Drop Down'!$W$5,0.9*L40,IF(D40='Drop Down'!$W$10,0.9*L40,IF(D40='Drop Down'!$W$16,0.9*L40,"No credit allowed.")))),"N/A")</f>
        <v>N/A</v>
      </c>
      <c r="N40" s="327" t="e">
        <f>IF($D$20="Space-By-Space (90.1-2013)",INDEX(LPD2013SS,MATCH('Interior Lighting'!D40,LightingSpaceType,0)*W40),INDEX(LPD2013WB,MATCH('Interior Lighting'!D40,LightingSpaceType,0)))</f>
        <v>#N/A</v>
      </c>
      <c r="O40" s="327">
        <f t="shared" si="11"/>
        <v>0</v>
      </c>
      <c r="P40" s="407" t="e">
        <f t="shared" si="1"/>
        <v>#N/A</v>
      </c>
      <c r="Q40" s="407" t="e">
        <f t="shared" si="12"/>
        <v>#N/A</v>
      </c>
      <c r="R40" s="407" t="e">
        <f t="shared" si="2"/>
        <v>#N/A</v>
      </c>
      <c r="S40" s="324">
        <f t="shared" si="3"/>
        <v>0</v>
      </c>
      <c r="T40" s="924" t="str">
        <f t="shared" si="4"/>
        <v/>
      </c>
      <c r="U40" s="1221" t="str">
        <f t="shared" si="13"/>
        <v/>
      </c>
      <c r="W40" s="1098">
        <f t="shared" si="5"/>
        <v>1</v>
      </c>
      <c r="X40" s="1098" t="e">
        <f>INDEX(OSReq,MATCH('Interior Lighting'!D40,LightingSpaceType,0))</f>
        <v>#N/A</v>
      </c>
      <c r="Y40" s="1098" t="e">
        <f t="shared" si="6"/>
        <v>#N/A</v>
      </c>
      <c r="Z40" s="1098" t="e">
        <f t="shared" si="7"/>
        <v>#N/A</v>
      </c>
      <c r="AA40" s="1098" t="e">
        <f>INDEX(Lookup!$O$9:$O$24,MATCH('Interior Lighting'!Z40,Lookup!$K$9:$K$24,0))</f>
        <v>#N/A</v>
      </c>
      <c r="AB40" s="1098" t="e">
        <f>IF(E40="A",INDEX(Lookup!$L$9:$L$24,MATCH(Z40,Lookup!$K$9:$K$24,0)),IF(E40="B",INDEX(Lookup!$M$9:$M$24,MATCH(Z40,Lookup!$K$9:$K$24,0)),IF(E40="C",INDEX(Lookup!$N$9:$N$24,MATCH(Z40,Lookup!$K$9:$K$24,0)),"N/A")))</f>
        <v>#N/A</v>
      </c>
    </row>
    <row r="41" spans="1:28">
      <c r="A41" s="338"/>
      <c r="B41" s="69"/>
      <c r="C41" s="323"/>
      <c r="D41" s="323"/>
      <c r="E41" s="324" t="e">
        <f>INDEX(Lookup!$I$9:$I$24,MATCH('Interior Lighting'!D41,Lookup!$C$9:$C$24,0))</f>
        <v>#N/A</v>
      </c>
      <c r="F41" s="69"/>
      <c r="G41" s="69"/>
      <c r="H41" s="69"/>
      <c r="I41" s="324" t="e">
        <f t="shared" si="8"/>
        <v>#N/A</v>
      </c>
      <c r="J41" s="170"/>
      <c r="K41" s="325">
        <f t="shared" si="9"/>
        <v>0</v>
      </c>
      <c r="L41" s="326" t="e">
        <f t="shared" si="10"/>
        <v>#DIV/0!</v>
      </c>
      <c r="M41" s="326" t="str">
        <f>IF(H41="Yes",IF(D41='Drop Down'!$W$4,0.9*L41,IF(D41='Drop Down'!$W$5,0.9*L41,IF(D41='Drop Down'!$W$10,0.9*L41,IF(D41='Drop Down'!$W$16,0.9*L41,"No credit allowed.")))),"N/A")</f>
        <v>N/A</v>
      </c>
      <c r="N41" s="327" t="e">
        <f>IF($D$20="Space-By-Space (90.1-2013)",INDEX(LPD2013SS,MATCH('Interior Lighting'!D41,LightingSpaceType,0)*W41),INDEX(LPD2013WB,MATCH('Interior Lighting'!D41,LightingSpaceType,0)))</f>
        <v>#N/A</v>
      </c>
      <c r="O41" s="327">
        <f t="shared" si="11"/>
        <v>0</v>
      </c>
      <c r="P41" s="407" t="e">
        <f t="shared" si="1"/>
        <v>#N/A</v>
      </c>
      <c r="Q41" s="407" t="e">
        <f t="shared" si="12"/>
        <v>#N/A</v>
      </c>
      <c r="R41" s="407" t="e">
        <f t="shared" si="2"/>
        <v>#N/A</v>
      </c>
      <c r="S41" s="324">
        <f t="shared" si="3"/>
        <v>0</v>
      </c>
      <c r="T41" s="924" t="str">
        <f t="shared" si="4"/>
        <v/>
      </c>
      <c r="U41" s="1221" t="str">
        <f t="shared" si="13"/>
        <v/>
      </c>
      <c r="W41" s="1098">
        <f t="shared" si="5"/>
        <v>1</v>
      </c>
      <c r="X41" s="1098" t="e">
        <f>INDEX(OSReq,MATCH('Interior Lighting'!D41,LightingSpaceType,0))</f>
        <v>#N/A</v>
      </c>
      <c r="Y41" s="1098" t="e">
        <f t="shared" si="6"/>
        <v>#N/A</v>
      </c>
      <c r="Z41" s="1098" t="e">
        <f t="shared" si="7"/>
        <v>#N/A</v>
      </c>
      <c r="AA41" s="1098" t="e">
        <f>INDEX(Lookup!$O$9:$O$24,MATCH('Interior Lighting'!Z41,Lookup!$K$9:$K$24,0))</f>
        <v>#N/A</v>
      </c>
      <c r="AB41" s="1098" t="e">
        <f>IF(E41="A",INDEX(Lookup!$L$9:$L$24,MATCH(Z41,Lookup!$K$9:$K$24,0)),IF(E41="B",INDEX(Lookup!$M$9:$M$24,MATCH(Z41,Lookup!$K$9:$K$24,0)),IF(E41="C",INDEX(Lookup!$N$9:$N$24,MATCH(Z41,Lookup!$K$9:$K$24,0)),"N/A")))</f>
        <v>#N/A</v>
      </c>
    </row>
    <row r="42" spans="1:28">
      <c r="A42" s="338"/>
      <c r="B42" s="69"/>
      <c r="C42" s="323"/>
      <c r="D42" s="323"/>
      <c r="E42" s="324" t="e">
        <f>INDEX(Lookup!$I$9:$I$24,MATCH('Interior Lighting'!D42,Lookup!$C$9:$C$24,0))</f>
        <v>#N/A</v>
      </c>
      <c r="F42" s="69"/>
      <c r="G42" s="69"/>
      <c r="H42" s="69"/>
      <c r="I42" s="324" t="e">
        <f t="shared" si="8"/>
        <v>#N/A</v>
      </c>
      <c r="J42" s="170"/>
      <c r="K42" s="325">
        <f t="shared" si="9"/>
        <v>0</v>
      </c>
      <c r="L42" s="326" t="e">
        <f t="shared" si="10"/>
        <v>#DIV/0!</v>
      </c>
      <c r="M42" s="326" t="str">
        <f>IF(H42="Yes",IF(D42='Drop Down'!$W$4,0.9*L42,IF(D42='Drop Down'!$W$5,0.9*L42,IF(D42='Drop Down'!$W$10,0.9*L42,IF(D42='Drop Down'!$W$16,0.9*L42,"No credit allowed.")))),"N/A")</f>
        <v>N/A</v>
      </c>
      <c r="N42" s="327" t="e">
        <f>IF($D$20="Space-By-Space (90.1-2013)",INDEX(LPD2013SS,MATCH('Interior Lighting'!D42,LightingSpaceType,0)*W42),INDEX(LPD2013WB,MATCH('Interior Lighting'!D42,LightingSpaceType,0)))</f>
        <v>#N/A</v>
      </c>
      <c r="O42" s="327">
        <f t="shared" si="11"/>
        <v>0</v>
      </c>
      <c r="P42" s="407" t="e">
        <f t="shared" si="1"/>
        <v>#N/A</v>
      </c>
      <c r="Q42" s="407" t="e">
        <f t="shared" si="12"/>
        <v>#N/A</v>
      </c>
      <c r="R42" s="407" t="e">
        <f t="shared" si="2"/>
        <v>#N/A</v>
      </c>
      <c r="S42" s="324">
        <f t="shared" si="3"/>
        <v>0</v>
      </c>
      <c r="T42" s="924" t="str">
        <f t="shared" si="4"/>
        <v/>
      </c>
      <c r="U42" s="1221" t="str">
        <f t="shared" si="13"/>
        <v/>
      </c>
      <c r="W42" s="1098">
        <f t="shared" si="5"/>
        <v>1</v>
      </c>
      <c r="X42" s="1098" t="e">
        <f>INDEX(OSReq,MATCH('Interior Lighting'!D42,LightingSpaceType,0))</f>
        <v>#N/A</v>
      </c>
      <c r="Y42" s="1098" t="e">
        <f t="shared" si="6"/>
        <v>#N/A</v>
      </c>
      <c r="Z42" s="1098" t="e">
        <f t="shared" si="7"/>
        <v>#N/A</v>
      </c>
      <c r="AA42" s="1098" t="e">
        <f>INDEX(Lookup!$O$9:$O$24,MATCH('Interior Lighting'!Z42,Lookup!$K$9:$K$24,0))</f>
        <v>#N/A</v>
      </c>
      <c r="AB42" s="1098" t="e">
        <f>IF(E42="A",INDEX(Lookup!$L$9:$L$24,MATCH(Z42,Lookup!$K$9:$K$24,0)),IF(E42="B",INDEX(Lookup!$M$9:$M$24,MATCH(Z42,Lookup!$K$9:$K$24,0)),IF(E42="C",INDEX(Lookup!$N$9:$N$24,MATCH(Z42,Lookup!$K$9:$K$24,0)),"N/A")))</f>
        <v>#N/A</v>
      </c>
    </row>
    <row r="43" spans="1:28">
      <c r="A43" s="338"/>
      <c r="B43" s="69"/>
      <c r="C43" s="323"/>
      <c r="D43" s="323"/>
      <c r="E43" s="324" t="e">
        <f>INDEX(Lookup!$I$9:$I$24,MATCH('Interior Lighting'!D43,Lookup!$C$9:$C$24,0))</f>
        <v>#N/A</v>
      </c>
      <c r="F43" s="69"/>
      <c r="G43" s="69"/>
      <c r="H43" s="69"/>
      <c r="I43" s="324" t="e">
        <f t="shared" si="8"/>
        <v>#N/A</v>
      </c>
      <c r="J43" s="170"/>
      <c r="K43" s="325">
        <f t="shared" si="9"/>
        <v>0</v>
      </c>
      <c r="L43" s="326" t="e">
        <f t="shared" si="10"/>
        <v>#DIV/0!</v>
      </c>
      <c r="M43" s="326" t="str">
        <f>IF(H43="Yes",IF(D43='Drop Down'!$W$4,0.9*L43,IF(D43='Drop Down'!$W$5,0.9*L43,IF(D43='Drop Down'!$W$10,0.9*L43,IF(D43='Drop Down'!$W$16,0.9*L43,"No credit allowed.")))),"N/A")</f>
        <v>N/A</v>
      </c>
      <c r="N43" s="327" t="e">
        <f>IF($D$20="Space-By-Space (90.1-2013)",INDEX(LPD2013SS,MATCH('Interior Lighting'!D43,LightingSpaceType,0)*W43),INDEX(LPD2013WB,MATCH('Interior Lighting'!D43,LightingSpaceType,0)))</f>
        <v>#N/A</v>
      </c>
      <c r="O43" s="327">
        <f t="shared" si="11"/>
        <v>0</v>
      </c>
      <c r="P43" s="407" t="e">
        <f t="shared" si="1"/>
        <v>#N/A</v>
      </c>
      <c r="Q43" s="407" t="e">
        <f t="shared" si="12"/>
        <v>#N/A</v>
      </c>
      <c r="R43" s="407" t="e">
        <f t="shared" si="2"/>
        <v>#N/A</v>
      </c>
      <c r="S43" s="324">
        <f t="shared" si="3"/>
        <v>0</v>
      </c>
      <c r="T43" s="924" t="str">
        <f t="shared" si="4"/>
        <v/>
      </c>
      <c r="U43" s="1221" t="str">
        <f t="shared" si="13"/>
        <v/>
      </c>
      <c r="W43" s="1098">
        <f t="shared" si="5"/>
        <v>1</v>
      </c>
      <c r="X43" s="1098" t="e">
        <f>INDEX(OSReq,MATCH('Interior Lighting'!D43,LightingSpaceType,0))</f>
        <v>#N/A</v>
      </c>
      <c r="Y43" s="1098" t="e">
        <f t="shared" si="6"/>
        <v>#N/A</v>
      </c>
      <c r="Z43" s="1098" t="e">
        <f t="shared" si="7"/>
        <v>#N/A</v>
      </c>
      <c r="AA43" s="1098" t="e">
        <f>INDEX(Lookup!$O$9:$O$24,MATCH('Interior Lighting'!Z43,Lookup!$K$9:$K$24,0))</f>
        <v>#N/A</v>
      </c>
      <c r="AB43" s="1098" t="e">
        <f>IF(E43="A",INDEX(Lookup!$L$9:$L$24,MATCH(Z43,Lookup!$K$9:$K$24,0)),IF(E43="B",INDEX(Lookup!$M$9:$M$24,MATCH(Z43,Lookup!$K$9:$K$24,0)),IF(E43="C",INDEX(Lookup!$N$9:$N$24,MATCH(Z43,Lookup!$K$9:$K$24,0)),"N/A")))</f>
        <v>#N/A</v>
      </c>
    </row>
    <row r="44" spans="1:28">
      <c r="A44" s="338"/>
      <c r="B44" s="69"/>
      <c r="C44" s="323"/>
      <c r="D44" s="323"/>
      <c r="E44" s="324" t="e">
        <f>INDEX(Lookup!$I$9:$I$24,MATCH('Interior Lighting'!D44,Lookup!$C$9:$C$24,0))</f>
        <v>#N/A</v>
      </c>
      <c r="F44" s="69"/>
      <c r="G44" s="69"/>
      <c r="H44" s="69"/>
      <c r="I44" s="324" t="e">
        <f t="shared" si="8"/>
        <v>#N/A</v>
      </c>
      <c r="J44" s="170"/>
      <c r="K44" s="325">
        <f t="shared" si="9"/>
        <v>0</v>
      </c>
      <c r="L44" s="326" t="e">
        <f t="shared" si="10"/>
        <v>#DIV/0!</v>
      </c>
      <c r="M44" s="326" t="str">
        <f>IF(H44="Yes",IF(D44='Drop Down'!$W$4,0.9*L44,IF(D44='Drop Down'!$W$5,0.9*L44,IF(D44='Drop Down'!$W$10,0.9*L44,IF(D44='Drop Down'!$W$16,0.9*L44,"No credit allowed.")))),"N/A")</f>
        <v>N/A</v>
      </c>
      <c r="N44" s="327" t="e">
        <f>IF($D$20="Space-By-Space (90.1-2013)",INDEX(LPD2013SS,MATCH('Interior Lighting'!D44,LightingSpaceType,0)*W44),INDEX(LPD2013WB,MATCH('Interior Lighting'!D44,LightingSpaceType,0)))</f>
        <v>#N/A</v>
      </c>
      <c r="O44" s="327">
        <f t="shared" si="11"/>
        <v>0</v>
      </c>
      <c r="P44" s="407" t="e">
        <f t="shared" si="1"/>
        <v>#N/A</v>
      </c>
      <c r="Q44" s="407" t="e">
        <f t="shared" si="12"/>
        <v>#N/A</v>
      </c>
      <c r="R44" s="407" t="e">
        <f t="shared" si="2"/>
        <v>#N/A</v>
      </c>
      <c r="S44" s="324">
        <f t="shared" si="3"/>
        <v>0</v>
      </c>
      <c r="T44" s="924" t="str">
        <f t="shared" si="4"/>
        <v/>
      </c>
      <c r="U44" s="1221" t="str">
        <f t="shared" si="13"/>
        <v/>
      </c>
      <c r="W44" s="1098">
        <f t="shared" si="5"/>
        <v>1</v>
      </c>
      <c r="X44" s="1098" t="e">
        <f>INDEX(OSReq,MATCH('Interior Lighting'!D44,LightingSpaceType,0))</f>
        <v>#N/A</v>
      </c>
      <c r="Y44" s="1098" t="e">
        <f t="shared" si="6"/>
        <v>#N/A</v>
      </c>
      <c r="Z44" s="1098" t="e">
        <f t="shared" si="7"/>
        <v>#N/A</v>
      </c>
      <c r="AA44" s="1098" t="e">
        <f>INDEX(Lookup!$O$9:$O$24,MATCH('Interior Lighting'!Z44,Lookup!$K$9:$K$24,0))</f>
        <v>#N/A</v>
      </c>
      <c r="AB44" s="1098" t="e">
        <f>IF(E44="A",INDEX(Lookup!$L$9:$L$24,MATCH(Z44,Lookup!$K$9:$K$24,0)),IF(E44="B",INDEX(Lookup!$M$9:$M$24,MATCH(Z44,Lookup!$K$9:$K$24,0)),IF(E44="C",INDEX(Lookup!$N$9:$N$24,MATCH(Z44,Lookup!$K$9:$K$24,0)),"N/A")))</f>
        <v>#N/A</v>
      </c>
    </row>
    <row r="45" spans="1:28">
      <c r="A45" s="338"/>
      <c r="B45" s="69"/>
      <c r="C45" s="323"/>
      <c r="D45" s="323"/>
      <c r="E45" s="324" t="e">
        <f>INDEX(Lookup!$I$9:$I$24,MATCH('Interior Lighting'!D45,Lookup!$C$9:$C$24,0))</f>
        <v>#N/A</v>
      </c>
      <c r="F45" s="69"/>
      <c r="G45" s="69"/>
      <c r="H45" s="69"/>
      <c r="I45" s="324" t="e">
        <f t="shared" si="8"/>
        <v>#N/A</v>
      </c>
      <c r="J45" s="170"/>
      <c r="K45" s="325">
        <f t="shared" si="9"/>
        <v>0</v>
      </c>
      <c r="L45" s="326" t="e">
        <f t="shared" si="10"/>
        <v>#DIV/0!</v>
      </c>
      <c r="M45" s="326" t="str">
        <f>IF(H45="Yes",IF(D45='Drop Down'!$W$4,0.9*L45,IF(D45='Drop Down'!$W$5,0.9*L45,IF(D45='Drop Down'!$W$10,0.9*L45,IF(D45='Drop Down'!$W$16,0.9*L45,"No credit allowed.")))),"N/A")</f>
        <v>N/A</v>
      </c>
      <c r="N45" s="327" t="e">
        <f>IF($D$20="Space-By-Space (90.1-2013)",INDEX(LPD2013SS,MATCH('Interior Lighting'!D45,LightingSpaceType,0)*W45),INDEX(LPD2013WB,MATCH('Interior Lighting'!D45,LightingSpaceType,0)))</f>
        <v>#N/A</v>
      </c>
      <c r="O45" s="327">
        <f t="shared" si="11"/>
        <v>0</v>
      </c>
      <c r="P45" s="407" t="e">
        <f t="shared" si="1"/>
        <v>#N/A</v>
      </c>
      <c r="Q45" s="407" t="e">
        <f t="shared" si="12"/>
        <v>#N/A</v>
      </c>
      <c r="R45" s="407" t="e">
        <f t="shared" si="2"/>
        <v>#N/A</v>
      </c>
      <c r="S45" s="324">
        <f t="shared" si="3"/>
        <v>0</v>
      </c>
      <c r="T45" s="924" t="str">
        <f t="shared" si="4"/>
        <v/>
      </c>
      <c r="U45" s="1221" t="str">
        <f t="shared" si="13"/>
        <v/>
      </c>
      <c r="W45" s="1098">
        <f t="shared" si="5"/>
        <v>1</v>
      </c>
      <c r="X45" s="1098" t="e">
        <f>INDEX(OSReq,MATCH('Interior Lighting'!D45,LightingSpaceType,0))</f>
        <v>#N/A</v>
      </c>
      <c r="Y45" s="1098" t="e">
        <f t="shared" si="6"/>
        <v>#N/A</v>
      </c>
      <c r="Z45" s="1098" t="e">
        <f t="shared" si="7"/>
        <v>#N/A</v>
      </c>
      <c r="AA45" s="1098" t="e">
        <f>INDEX(Lookup!$O$9:$O$24,MATCH('Interior Lighting'!Z45,Lookup!$K$9:$K$24,0))</f>
        <v>#N/A</v>
      </c>
      <c r="AB45" s="1098" t="e">
        <f>IF(E45="A",INDEX(Lookup!$L$9:$L$24,MATCH(Z45,Lookup!$K$9:$K$24,0)),IF(E45="B",INDEX(Lookup!$M$9:$M$24,MATCH(Z45,Lookup!$K$9:$K$24,0)),IF(E45="C",INDEX(Lookup!$N$9:$N$24,MATCH(Z45,Lookup!$K$9:$K$24,0)),"N/A")))</f>
        <v>#N/A</v>
      </c>
    </row>
    <row r="46" spans="1:28">
      <c r="A46" s="338"/>
      <c r="B46" s="69"/>
      <c r="C46" s="323"/>
      <c r="D46" s="323"/>
      <c r="E46" s="324" t="e">
        <f>INDEX(Lookup!$I$9:$I$24,MATCH('Interior Lighting'!D46,Lookup!$C$9:$C$24,0))</f>
        <v>#N/A</v>
      </c>
      <c r="F46" s="69"/>
      <c r="G46" s="69"/>
      <c r="H46" s="69"/>
      <c r="I46" s="324" t="e">
        <f t="shared" si="8"/>
        <v>#N/A</v>
      </c>
      <c r="J46" s="170"/>
      <c r="K46" s="325">
        <f t="shared" si="9"/>
        <v>0</v>
      </c>
      <c r="L46" s="326" t="e">
        <f t="shared" si="10"/>
        <v>#DIV/0!</v>
      </c>
      <c r="M46" s="326" t="str">
        <f>IF(H46="Yes",IF(D46='Drop Down'!$W$4,0.9*L46,IF(D46='Drop Down'!$W$5,0.9*L46,IF(D46='Drop Down'!$W$10,0.9*L46,IF(D46='Drop Down'!$W$16,0.9*L46,"No credit allowed.")))),"N/A")</f>
        <v>N/A</v>
      </c>
      <c r="N46" s="327" t="e">
        <f>IF($D$20="Space-By-Space (90.1-2013)",INDEX(LPD2013SS,MATCH('Interior Lighting'!D46,LightingSpaceType,0)*W46),INDEX(LPD2013WB,MATCH('Interior Lighting'!D46,LightingSpaceType,0)))</f>
        <v>#N/A</v>
      </c>
      <c r="O46" s="327">
        <f t="shared" si="11"/>
        <v>0</v>
      </c>
      <c r="P46" s="407" t="e">
        <f t="shared" si="1"/>
        <v>#N/A</v>
      </c>
      <c r="Q46" s="407" t="e">
        <f t="shared" si="12"/>
        <v>#N/A</v>
      </c>
      <c r="R46" s="407" t="e">
        <f t="shared" si="2"/>
        <v>#N/A</v>
      </c>
      <c r="S46" s="324">
        <f t="shared" si="3"/>
        <v>0</v>
      </c>
      <c r="T46" s="924" t="str">
        <f t="shared" si="4"/>
        <v/>
      </c>
      <c r="U46" s="1221" t="str">
        <f t="shared" si="13"/>
        <v/>
      </c>
      <c r="W46" s="1098">
        <f t="shared" si="5"/>
        <v>1</v>
      </c>
      <c r="X46" s="1098" t="e">
        <f>INDEX(OSReq,MATCH('Interior Lighting'!D46,LightingSpaceType,0))</f>
        <v>#N/A</v>
      </c>
      <c r="Y46" s="1098" t="e">
        <f t="shared" si="6"/>
        <v>#N/A</v>
      </c>
      <c r="Z46" s="1098" t="e">
        <f t="shared" si="7"/>
        <v>#N/A</v>
      </c>
      <c r="AA46" s="1098" t="e">
        <f>INDEX(Lookup!$O$9:$O$24,MATCH('Interior Lighting'!Z46,Lookup!$K$9:$K$24,0))</f>
        <v>#N/A</v>
      </c>
      <c r="AB46" s="1098" t="e">
        <f>IF(E46="A",INDEX(Lookup!$L$9:$L$24,MATCH(Z46,Lookup!$K$9:$K$24,0)),IF(E46="B",INDEX(Lookup!$M$9:$M$24,MATCH(Z46,Lookup!$K$9:$K$24,0)),IF(E46="C",INDEX(Lookup!$N$9:$N$24,MATCH(Z46,Lookup!$K$9:$K$24,0)),"N/A")))</f>
        <v>#N/A</v>
      </c>
    </row>
    <row r="47" spans="1:28">
      <c r="A47" s="338"/>
      <c r="B47" s="69"/>
      <c r="C47" s="323"/>
      <c r="D47" s="323"/>
      <c r="E47" s="324" t="e">
        <f>INDEX(Lookup!$I$9:$I$24,MATCH('Interior Lighting'!D47,Lookup!$C$9:$C$24,0))</f>
        <v>#N/A</v>
      </c>
      <c r="F47" s="69"/>
      <c r="G47" s="69"/>
      <c r="H47" s="69"/>
      <c r="I47" s="324" t="e">
        <f t="shared" si="8"/>
        <v>#N/A</v>
      </c>
      <c r="J47" s="170"/>
      <c r="K47" s="325">
        <f t="shared" si="9"/>
        <v>0</v>
      </c>
      <c r="L47" s="326" t="e">
        <f t="shared" si="10"/>
        <v>#DIV/0!</v>
      </c>
      <c r="M47" s="326" t="str">
        <f>IF(H47="Yes",IF(D47='Drop Down'!$W$4,0.9*L47,IF(D47='Drop Down'!$W$5,0.9*L47,IF(D47='Drop Down'!$W$10,0.9*L47,IF(D47='Drop Down'!$W$16,0.9*L47,"No credit allowed.")))),"N/A")</f>
        <v>N/A</v>
      </c>
      <c r="N47" s="327" t="e">
        <f>IF($D$20="Space-By-Space (90.1-2013)",INDEX(LPD2013SS,MATCH('Interior Lighting'!D47,LightingSpaceType,0)*W47),INDEX(LPD2013WB,MATCH('Interior Lighting'!D47,LightingSpaceType,0)))</f>
        <v>#N/A</v>
      </c>
      <c r="O47" s="327">
        <f t="shared" si="11"/>
        <v>0</v>
      </c>
      <c r="P47" s="407" t="e">
        <f t="shared" si="1"/>
        <v>#N/A</v>
      </c>
      <c r="Q47" s="407" t="e">
        <f t="shared" si="12"/>
        <v>#N/A</v>
      </c>
      <c r="R47" s="407" t="e">
        <f t="shared" si="2"/>
        <v>#N/A</v>
      </c>
      <c r="S47" s="324">
        <f t="shared" si="3"/>
        <v>0</v>
      </c>
      <c r="T47" s="924" t="str">
        <f t="shared" si="4"/>
        <v/>
      </c>
      <c r="U47" s="1221" t="str">
        <f t="shared" si="13"/>
        <v/>
      </c>
      <c r="W47" s="1098">
        <f t="shared" si="5"/>
        <v>1</v>
      </c>
      <c r="X47" s="1098" t="e">
        <f>INDEX(OSReq,MATCH('Interior Lighting'!D47,LightingSpaceType,0))</f>
        <v>#N/A</v>
      </c>
      <c r="Y47" s="1098" t="e">
        <f t="shared" si="6"/>
        <v>#N/A</v>
      </c>
      <c r="Z47" s="1098" t="e">
        <f t="shared" si="7"/>
        <v>#N/A</v>
      </c>
      <c r="AA47" s="1098" t="e">
        <f>INDEX(Lookup!$O$9:$O$24,MATCH('Interior Lighting'!Z47,Lookup!$K$9:$K$24,0))</f>
        <v>#N/A</v>
      </c>
      <c r="AB47" s="1098" t="e">
        <f>IF(E47="A",INDEX(Lookup!$L$9:$L$24,MATCH(Z47,Lookup!$K$9:$K$24,0)),IF(E47="B",INDEX(Lookup!$M$9:$M$24,MATCH(Z47,Lookup!$K$9:$K$24,0)),IF(E47="C",INDEX(Lookup!$N$9:$N$24,MATCH(Z47,Lookup!$K$9:$K$24,0)),"N/A")))</f>
        <v>#N/A</v>
      </c>
    </row>
    <row r="48" spans="1:28">
      <c r="A48" s="338"/>
      <c r="B48" s="69"/>
      <c r="C48" s="323"/>
      <c r="D48" s="323"/>
      <c r="E48" s="324" t="e">
        <f>INDEX(Lookup!$I$9:$I$24,MATCH('Interior Lighting'!D48,Lookup!$C$9:$C$24,0))</f>
        <v>#N/A</v>
      </c>
      <c r="F48" s="69"/>
      <c r="G48" s="69"/>
      <c r="H48" s="69"/>
      <c r="I48" s="324" t="e">
        <f t="shared" si="8"/>
        <v>#N/A</v>
      </c>
      <c r="J48" s="170"/>
      <c r="K48" s="325">
        <f t="shared" si="9"/>
        <v>0</v>
      </c>
      <c r="L48" s="326" t="e">
        <f t="shared" si="10"/>
        <v>#DIV/0!</v>
      </c>
      <c r="M48" s="326" t="str">
        <f>IF(H48="Yes",IF(D48='Drop Down'!$W$4,0.9*L48,IF(D48='Drop Down'!$W$5,0.9*L48,IF(D48='Drop Down'!$W$10,0.9*L48,IF(D48='Drop Down'!$W$16,0.9*L48,"No credit allowed.")))),"N/A")</f>
        <v>N/A</v>
      </c>
      <c r="N48" s="327" t="e">
        <f>IF($D$20="Space-By-Space (90.1-2013)",INDEX(LPD2013SS,MATCH('Interior Lighting'!D48,LightingSpaceType,0)*W48),INDEX(LPD2013WB,MATCH('Interior Lighting'!D48,LightingSpaceType,0)))</f>
        <v>#N/A</v>
      </c>
      <c r="O48" s="327">
        <f t="shared" si="11"/>
        <v>0</v>
      </c>
      <c r="P48" s="407" t="e">
        <f t="shared" si="1"/>
        <v>#N/A</v>
      </c>
      <c r="Q48" s="407" t="e">
        <f t="shared" si="12"/>
        <v>#N/A</v>
      </c>
      <c r="R48" s="407" t="e">
        <f t="shared" si="2"/>
        <v>#N/A</v>
      </c>
      <c r="S48" s="324">
        <f t="shared" si="3"/>
        <v>0</v>
      </c>
      <c r="T48" s="924" t="str">
        <f t="shared" si="4"/>
        <v/>
      </c>
      <c r="U48" s="1221" t="str">
        <f t="shared" si="13"/>
        <v/>
      </c>
      <c r="W48" s="1098">
        <f t="shared" si="5"/>
        <v>1</v>
      </c>
      <c r="X48" s="1098" t="e">
        <f>INDEX(OSReq,MATCH('Interior Lighting'!D48,LightingSpaceType,0))</f>
        <v>#N/A</v>
      </c>
      <c r="Y48" s="1098" t="e">
        <f t="shared" si="6"/>
        <v>#N/A</v>
      </c>
      <c r="Z48" s="1098" t="e">
        <f t="shared" si="7"/>
        <v>#N/A</v>
      </c>
      <c r="AA48" s="1098" t="e">
        <f>INDEX(Lookup!$O$9:$O$24,MATCH('Interior Lighting'!Z48,Lookup!$K$9:$K$24,0))</f>
        <v>#N/A</v>
      </c>
      <c r="AB48" s="1098" t="e">
        <f>IF(E48="A",INDEX(Lookup!$L$9:$L$24,MATCH(Z48,Lookup!$K$9:$K$24,0)),IF(E48="B",INDEX(Lookup!$M$9:$M$24,MATCH(Z48,Lookup!$K$9:$K$24,0)),IF(E48="C",INDEX(Lookup!$N$9:$N$24,MATCH(Z48,Lookup!$K$9:$K$24,0)),"N/A")))</f>
        <v>#N/A</v>
      </c>
    </row>
    <row r="49" spans="1:28">
      <c r="A49" s="338"/>
      <c r="B49" s="69"/>
      <c r="C49" s="323"/>
      <c r="D49" s="323"/>
      <c r="E49" s="324" t="e">
        <f>INDEX(Lookup!$I$9:$I$24,MATCH('Interior Lighting'!D49,Lookup!$C$9:$C$24,0))</f>
        <v>#N/A</v>
      </c>
      <c r="F49" s="69"/>
      <c r="G49" s="69"/>
      <c r="H49" s="69"/>
      <c r="I49" s="324" t="e">
        <f t="shared" si="8"/>
        <v>#N/A</v>
      </c>
      <c r="J49" s="170"/>
      <c r="K49" s="325">
        <f t="shared" si="9"/>
        <v>0</v>
      </c>
      <c r="L49" s="326" t="e">
        <f t="shared" si="10"/>
        <v>#DIV/0!</v>
      </c>
      <c r="M49" s="326" t="str">
        <f>IF(H49="Yes",IF(D49='Drop Down'!$W$4,0.9*L49,IF(D49='Drop Down'!$W$5,0.9*L49,IF(D49='Drop Down'!$W$10,0.9*L49,IF(D49='Drop Down'!$W$16,0.9*L49,"No credit allowed.")))),"N/A")</f>
        <v>N/A</v>
      </c>
      <c r="N49" s="327" t="e">
        <f>IF($D$20="Space-By-Space (90.1-2013)",INDEX(LPD2013SS,MATCH('Interior Lighting'!D49,LightingSpaceType,0)*W49),INDEX(LPD2013WB,MATCH('Interior Lighting'!D49,LightingSpaceType,0)))</f>
        <v>#N/A</v>
      </c>
      <c r="O49" s="327">
        <f t="shared" si="11"/>
        <v>0</v>
      </c>
      <c r="P49" s="407" t="e">
        <f t="shared" si="1"/>
        <v>#N/A</v>
      </c>
      <c r="Q49" s="407" t="e">
        <f t="shared" si="12"/>
        <v>#N/A</v>
      </c>
      <c r="R49" s="407" t="e">
        <f t="shared" si="2"/>
        <v>#N/A</v>
      </c>
      <c r="S49" s="324">
        <f t="shared" si="3"/>
        <v>0</v>
      </c>
      <c r="T49" s="924" t="str">
        <f t="shared" si="4"/>
        <v/>
      </c>
      <c r="U49" s="1221" t="str">
        <f t="shared" si="13"/>
        <v/>
      </c>
      <c r="W49" s="1098">
        <f t="shared" si="5"/>
        <v>1</v>
      </c>
      <c r="X49" s="1098" t="e">
        <f>INDEX(OSReq,MATCH('Interior Lighting'!D49,LightingSpaceType,0))</f>
        <v>#N/A</v>
      </c>
      <c r="Y49" s="1098" t="e">
        <f t="shared" si="6"/>
        <v>#N/A</v>
      </c>
      <c r="Z49" s="1098" t="e">
        <f t="shared" si="7"/>
        <v>#N/A</v>
      </c>
      <c r="AA49" s="1098" t="e">
        <f>INDEX(Lookup!$O$9:$O$24,MATCH('Interior Lighting'!Z49,Lookup!$K$9:$K$24,0))</f>
        <v>#N/A</v>
      </c>
      <c r="AB49" s="1098" t="e">
        <f>IF(E49="A",INDEX(Lookup!$L$9:$L$24,MATCH(Z49,Lookup!$K$9:$K$24,0)),IF(E49="B",INDEX(Lookup!$M$9:$M$24,MATCH(Z49,Lookup!$K$9:$K$24,0)),IF(E49="C",INDEX(Lookup!$N$9:$N$24,MATCH(Z49,Lookup!$K$9:$K$24,0)),"N/A")))</f>
        <v>#N/A</v>
      </c>
    </row>
    <row r="50" spans="1:28">
      <c r="A50" s="1103"/>
      <c r="B50" s="69"/>
      <c r="C50" s="323"/>
      <c r="D50" s="323"/>
      <c r="E50" s="324" t="e">
        <f>INDEX(Lookup!$I$9:$I$24,MATCH('Interior Lighting'!D50,Lookup!$C$9:$C$24,0))</f>
        <v>#N/A</v>
      </c>
      <c r="F50" s="69"/>
      <c r="G50" s="69"/>
      <c r="H50" s="69"/>
      <c r="I50" s="324" t="e">
        <f t="shared" si="8"/>
        <v>#N/A</v>
      </c>
      <c r="J50" s="170"/>
      <c r="K50" s="325">
        <f t="shared" si="9"/>
        <v>0</v>
      </c>
      <c r="L50" s="326" t="e">
        <f t="shared" si="10"/>
        <v>#DIV/0!</v>
      </c>
      <c r="M50" s="326" t="str">
        <f>IF(H50="Yes",IF(D50='Drop Down'!$W$4,0.9*L50,IF(D50='Drop Down'!$W$5,0.9*L50,IF(D50='Drop Down'!$W$10,0.9*L50,IF(D50='Drop Down'!$W$16,0.9*L50,"No credit allowed.")))),"N/A")</f>
        <v>N/A</v>
      </c>
      <c r="N50" s="327" t="e">
        <f>IF($D$20="Space-By-Space (90.1-2013)",INDEX(LPD2013SS,MATCH('Interior Lighting'!D50,LightingSpaceType,0)*W50),INDEX(LPD2013WB,MATCH('Interior Lighting'!D50,LightingSpaceType,0)))</f>
        <v>#N/A</v>
      </c>
      <c r="O50" s="327">
        <f t="shared" si="11"/>
        <v>0</v>
      </c>
      <c r="P50" s="407" t="e">
        <f t="shared" si="1"/>
        <v>#N/A</v>
      </c>
      <c r="Q50" s="407" t="e">
        <f t="shared" si="12"/>
        <v>#N/A</v>
      </c>
      <c r="R50" s="407" t="e">
        <f t="shared" si="2"/>
        <v>#N/A</v>
      </c>
      <c r="S50" s="324">
        <f t="shared" si="3"/>
        <v>0</v>
      </c>
      <c r="T50" s="924" t="str">
        <f t="shared" si="4"/>
        <v/>
      </c>
      <c r="U50" s="1221" t="str">
        <f t="shared" si="13"/>
        <v/>
      </c>
      <c r="W50" s="1098">
        <f t="shared" si="5"/>
        <v>1</v>
      </c>
      <c r="X50" s="1098" t="e">
        <f>INDEX(OSReq,MATCH('Interior Lighting'!D50,LightingSpaceType,0))</f>
        <v>#N/A</v>
      </c>
      <c r="Y50" s="1098" t="e">
        <f t="shared" si="6"/>
        <v>#N/A</v>
      </c>
      <c r="Z50" s="1098" t="e">
        <f t="shared" si="7"/>
        <v>#N/A</v>
      </c>
      <c r="AA50" s="1098" t="e">
        <f>INDEX(Lookup!$O$9:$O$24,MATCH('Interior Lighting'!Z50,Lookup!$K$9:$K$24,0))</f>
        <v>#N/A</v>
      </c>
      <c r="AB50" s="1098" t="e">
        <f>IF(E50="A",INDEX(Lookup!$L$9:$L$24,MATCH(Z50,Lookup!$K$9:$K$24,0)),IF(E50="B",INDEX(Lookup!$M$9:$M$24,MATCH(Z50,Lookup!$K$9:$K$24,0)),IF(E50="C",INDEX(Lookup!$N$9:$N$24,MATCH(Z50,Lookup!$K$9:$K$24,0)),"N/A")))</f>
        <v>#N/A</v>
      </c>
    </row>
    <row r="51" spans="1:28">
      <c r="A51" s="338"/>
      <c r="B51" s="69"/>
      <c r="C51" s="323"/>
      <c r="D51" s="323"/>
      <c r="E51" s="324" t="e">
        <f>INDEX(Lookup!$I$9:$I$24,MATCH('Interior Lighting'!D51,Lookup!$C$9:$C$24,0))</f>
        <v>#N/A</v>
      </c>
      <c r="F51" s="69"/>
      <c r="G51" s="69"/>
      <c r="H51" s="69"/>
      <c r="I51" s="324" t="e">
        <f t="shared" si="8"/>
        <v>#N/A</v>
      </c>
      <c r="J51" s="170"/>
      <c r="K51" s="325">
        <f t="shared" si="9"/>
        <v>0</v>
      </c>
      <c r="L51" s="326" t="e">
        <f t="shared" si="10"/>
        <v>#DIV/0!</v>
      </c>
      <c r="M51" s="326" t="str">
        <f>IF(H51="Yes",IF(D51='Drop Down'!$W$4,0.9*L51,IF(D51='Drop Down'!$W$5,0.9*L51,IF(D51='Drop Down'!$W$10,0.9*L51,IF(D51='Drop Down'!$W$16,0.9*L51,"No credit allowed.")))),"N/A")</f>
        <v>N/A</v>
      </c>
      <c r="N51" s="327" t="e">
        <f>IF($D$20="Space-By-Space (90.1-2013)",INDEX(LPD2013SS,MATCH('Interior Lighting'!D51,LightingSpaceType,0)*W51),INDEX(LPD2013WB,MATCH('Interior Lighting'!D51,LightingSpaceType,0)))</f>
        <v>#N/A</v>
      </c>
      <c r="O51" s="327">
        <f t="shared" si="11"/>
        <v>0</v>
      </c>
      <c r="P51" s="407" t="e">
        <f t="shared" si="1"/>
        <v>#N/A</v>
      </c>
      <c r="Q51" s="407" t="e">
        <f t="shared" si="12"/>
        <v>#N/A</v>
      </c>
      <c r="R51" s="407" t="e">
        <f t="shared" si="2"/>
        <v>#N/A</v>
      </c>
      <c r="S51" s="324">
        <f t="shared" si="3"/>
        <v>0</v>
      </c>
      <c r="T51" s="924" t="str">
        <f t="shared" si="4"/>
        <v/>
      </c>
      <c r="U51" s="1221" t="str">
        <f t="shared" si="13"/>
        <v/>
      </c>
      <c r="W51" s="1098">
        <f t="shared" si="5"/>
        <v>1</v>
      </c>
      <c r="X51" s="1098" t="e">
        <f>INDEX(OSReq,MATCH('Interior Lighting'!D51,LightingSpaceType,0))</f>
        <v>#N/A</v>
      </c>
      <c r="Y51" s="1098" t="e">
        <f t="shared" si="6"/>
        <v>#N/A</v>
      </c>
      <c r="Z51" s="1098" t="e">
        <f t="shared" si="7"/>
        <v>#N/A</v>
      </c>
      <c r="AA51" s="1098" t="e">
        <f>INDEX(Lookup!$O$9:$O$24,MATCH('Interior Lighting'!Z51,Lookup!$K$9:$K$24,0))</f>
        <v>#N/A</v>
      </c>
      <c r="AB51" s="1098" t="e">
        <f>IF(E51="A",INDEX(Lookup!$L$9:$L$24,MATCH(Z51,Lookup!$K$9:$K$24,0)),IF(E51="B",INDEX(Lookup!$M$9:$M$24,MATCH(Z51,Lookup!$K$9:$K$24,0)),IF(E51="C",INDEX(Lookup!$N$9:$N$24,MATCH(Z51,Lookup!$K$9:$K$24,0)),"N/A")))</f>
        <v>#N/A</v>
      </c>
    </row>
    <row r="52" spans="1:28">
      <c r="A52" s="338"/>
      <c r="B52" s="69"/>
      <c r="C52" s="323"/>
      <c r="D52" s="323"/>
      <c r="E52" s="324" t="e">
        <f>INDEX(Lookup!$I$9:$I$24,MATCH('Interior Lighting'!D52,Lookup!$C$9:$C$24,0))</f>
        <v>#N/A</v>
      </c>
      <c r="F52" s="69"/>
      <c r="G52" s="69"/>
      <c r="H52" s="69"/>
      <c r="I52" s="324" t="e">
        <f t="shared" si="8"/>
        <v>#N/A</v>
      </c>
      <c r="J52" s="170"/>
      <c r="K52" s="325">
        <f t="shared" si="9"/>
        <v>0</v>
      </c>
      <c r="L52" s="326" t="e">
        <f t="shared" si="10"/>
        <v>#DIV/0!</v>
      </c>
      <c r="M52" s="326" t="str">
        <f>IF(H52="Yes",IF(D52='Drop Down'!$W$4,0.9*L52,IF(D52='Drop Down'!$W$5,0.9*L52,IF(D52='Drop Down'!$W$10,0.9*L52,IF(D52='Drop Down'!$W$16,0.9*L52,"No credit allowed.")))),"N/A")</f>
        <v>N/A</v>
      </c>
      <c r="N52" s="327" t="e">
        <f>IF($D$20="Space-By-Space (90.1-2013)",INDEX(LPD2013SS,MATCH('Interior Lighting'!D52,LightingSpaceType,0)*W52),INDEX(LPD2013WB,MATCH('Interior Lighting'!D52,LightingSpaceType,0)))</f>
        <v>#N/A</v>
      </c>
      <c r="O52" s="327">
        <f t="shared" si="11"/>
        <v>0</v>
      </c>
      <c r="P52" s="407" t="e">
        <f t="shared" si="1"/>
        <v>#N/A</v>
      </c>
      <c r="Q52" s="407" t="e">
        <f t="shared" si="12"/>
        <v>#N/A</v>
      </c>
      <c r="R52" s="407" t="e">
        <f t="shared" si="2"/>
        <v>#N/A</v>
      </c>
      <c r="S52" s="324">
        <f t="shared" si="3"/>
        <v>0</v>
      </c>
      <c r="T52" s="924" t="str">
        <f t="shared" si="4"/>
        <v/>
      </c>
      <c r="U52" s="1221" t="str">
        <f t="shared" si="13"/>
        <v/>
      </c>
      <c r="W52" s="1098">
        <f t="shared" si="5"/>
        <v>1</v>
      </c>
      <c r="X52" s="1098" t="e">
        <f>INDEX(OSReq,MATCH('Interior Lighting'!D52,LightingSpaceType,0))</f>
        <v>#N/A</v>
      </c>
      <c r="Y52" s="1098" t="e">
        <f t="shared" si="6"/>
        <v>#N/A</v>
      </c>
      <c r="Z52" s="1098" t="e">
        <f t="shared" si="7"/>
        <v>#N/A</v>
      </c>
      <c r="AA52" s="1098" t="e">
        <f>INDEX(Lookup!$O$9:$O$24,MATCH('Interior Lighting'!Z52,Lookup!$K$9:$K$24,0))</f>
        <v>#N/A</v>
      </c>
      <c r="AB52" s="1098" t="e">
        <f>IF(E52="A",INDEX(Lookup!$L$9:$L$24,MATCH(Z52,Lookup!$K$9:$K$24,0)),IF(E52="B",INDEX(Lookup!$M$9:$M$24,MATCH(Z52,Lookup!$K$9:$K$24,0)),IF(E52="C",INDEX(Lookup!$N$9:$N$24,MATCH(Z52,Lookup!$K$9:$K$24,0)),"N/A")))</f>
        <v>#N/A</v>
      </c>
    </row>
    <row r="53" spans="1:28">
      <c r="A53" s="338"/>
      <c r="B53" s="69"/>
      <c r="C53" s="323"/>
      <c r="D53" s="323"/>
      <c r="E53" s="324" t="e">
        <f>INDEX(Lookup!$I$9:$I$24,MATCH('Interior Lighting'!D53,Lookup!$C$9:$C$24,0))</f>
        <v>#N/A</v>
      </c>
      <c r="F53" s="69"/>
      <c r="G53" s="69"/>
      <c r="H53" s="69"/>
      <c r="I53" s="324" t="e">
        <f t="shared" si="8"/>
        <v>#N/A</v>
      </c>
      <c r="J53" s="170"/>
      <c r="K53" s="325">
        <f t="shared" si="9"/>
        <v>0</v>
      </c>
      <c r="L53" s="326" t="e">
        <f t="shared" si="10"/>
        <v>#DIV/0!</v>
      </c>
      <c r="M53" s="326" t="str">
        <f>IF(H53="Yes",IF(D53='Drop Down'!$W$4,0.9*L53,IF(D53='Drop Down'!$W$5,0.9*L53,IF(D53='Drop Down'!$W$10,0.9*L53,IF(D53='Drop Down'!$W$16,0.9*L53,"No credit allowed.")))),"N/A")</f>
        <v>N/A</v>
      </c>
      <c r="N53" s="327" t="e">
        <f>IF($D$20="Space-By-Space (90.1-2013)",INDEX(LPD2013SS,MATCH('Interior Lighting'!D53,LightingSpaceType,0)*W53),INDEX(LPD2013WB,MATCH('Interior Lighting'!D53,LightingSpaceType,0)))</f>
        <v>#N/A</v>
      </c>
      <c r="O53" s="327">
        <f t="shared" si="11"/>
        <v>0</v>
      </c>
      <c r="P53" s="407" t="e">
        <f t="shared" si="1"/>
        <v>#N/A</v>
      </c>
      <c r="Q53" s="407" t="e">
        <f t="shared" si="12"/>
        <v>#N/A</v>
      </c>
      <c r="R53" s="407" t="e">
        <f t="shared" si="2"/>
        <v>#N/A</v>
      </c>
      <c r="S53" s="324">
        <f t="shared" si="3"/>
        <v>0</v>
      </c>
      <c r="T53" s="924" t="str">
        <f t="shared" si="4"/>
        <v/>
      </c>
      <c r="U53" s="1221" t="str">
        <f t="shared" si="13"/>
        <v/>
      </c>
      <c r="W53" s="1098">
        <f t="shared" si="5"/>
        <v>1</v>
      </c>
      <c r="X53" s="1098" t="e">
        <f>INDEX(OSReq,MATCH('Interior Lighting'!D53,LightingSpaceType,0))</f>
        <v>#N/A</v>
      </c>
      <c r="Y53" s="1098" t="e">
        <f t="shared" si="6"/>
        <v>#N/A</v>
      </c>
      <c r="Z53" s="1098" t="e">
        <f t="shared" si="7"/>
        <v>#N/A</v>
      </c>
      <c r="AA53" s="1098" t="e">
        <f>INDEX(Lookup!$O$9:$O$24,MATCH('Interior Lighting'!Z53,Lookup!$K$9:$K$24,0))</f>
        <v>#N/A</v>
      </c>
      <c r="AB53" s="1098" t="e">
        <f>IF(E53="A",INDEX(Lookup!$L$9:$L$24,MATCH(Z53,Lookup!$K$9:$K$24,0)),IF(E53="B",INDEX(Lookup!$M$9:$M$24,MATCH(Z53,Lookup!$K$9:$K$24,0)),IF(E53="C",INDEX(Lookup!$N$9:$N$24,MATCH(Z53,Lookup!$K$9:$K$24,0)),"N/A")))</f>
        <v>#N/A</v>
      </c>
    </row>
    <row r="54" spans="1:28">
      <c r="A54" s="338"/>
      <c r="B54" s="69"/>
      <c r="C54" s="323"/>
      <c r="D54" s="323"/>
      <c r="E54" s="324" t="e">
        <f>INDEX(Lookup!$I$9:$I$24,MATCH('Interior Lighting'!D54,Lookup!$C$9:$C$24,0))</f>
        <v>#N/A</v>
      </c>
      <c r="F54" s="69"/>
      <c r="G54" s="69"/>
      <c r="H54" s="69"/>
      <c r="I54" s="324" t="e">
        <f t="shared" si="8"/>
        <v>#N/A</v>
      </c>
      <c r="J54" s="170"/>
      <c r="K54" s="325">
        <f t="shared" si="9"/>
        <v>0</v>
      </c>
      <c r="L54" s="326" t="e">
        <f t="shared" si="10"/>
        <v>#DIV/0!</v>
      </c>
      <c r="M54" s="326" t="str">
        <f>IF(H54="Yes",IF(D54='Drop Down'!$W$4,0.9*L54,IF(D54='Drop Down'!$W$5,0.9*L54,IF(D54='Drop Down'!$W$10,0.9*L54,IF(D54='Drop Down'!$W$16,0.9*L54,"No credit allowed.")))),"N/A")</f>
        <v>N/A</v>
      </c>
      <c r="N54" s="327" t="e">
        <f>IF($D$20="Space-By-Space (90.1-2013)",INDEX(LPD2013SS,MATCH('Interior Lighting'!D54,LightingSpaceType,0)*W54),INDEX(LPD2013WB,MATCH('Interior Lighting'!D54,LightingSpaceType,0)))</f>
        <v>#N/A</v>
      </c>
      <c r="O54" s="327">
        <f t="shared" si="11"/>
        <v>0</v>
      </c>
      <c r="P54" s="407" t="e">
        <f t="shared" si="1"/>
        <v>#N/A</v>
      </c>
      <c r="Q54" s="407" t="e">
        <f t="shared" si="12"/>
        <v>#N/A</v>
      </c>
      <c r="R54" s="407" t="e">
        <f t="shared" si="2"/>
        <v>#N/A</v>
      </c>
      <c r="S54" s="324">
        <f t="shared" si="3"/>
        <v>0</v>
      </c>
      <c r="T54" s="924" t="str">
        <f t="shared" si="4"/>
        <v/>
      </c>
      <c r="U54" s="1221" t="str">
        <f t="shared" si="13"/>
        <v/>
      </c>
      <c r="W54" s="1098">
        <f t="shared" si="5"/>
        <v>1</v>
      </c>
      <c r="X54" s="1098" t="e">
        <f>INDEX(OSReq,MATCH('Interior Lighting'!D54,LightingSpaceType,0))</f>
        <v>#N/A</v>
      </c>
      <c r="Y54" s="1098" t="e">
        <f t="shared" si="6"/>
        <v>#N/A</v>
      </c>
      <c r="Z54" s="1098" t="e">
        <f t="shared" si="7"/>
        <v>#N/A</v>
      </c>
      <c r="AA54" s="1098" t="e">
        <f>INDEX(Lookup!$O$9:$O$24,MATCH('Interior Lighting'!Z54,Lookup!$K$9:$K$24,0))</f>
        <v>#N/A</v>
      </c>
      <c r="AB54" s="1098" t="e">
        <f>IF(E54="A",INDEX(Lookup!$L$9:$L$24,MATCH(Z54,Lookup!$K$9:$K$24,0)),IF(E54="B",INDEX(Lookup!$M$9:$M$24,MATCH(Z54,Lookup!$K$9:$K$24,0)),IF(E54="C",INDEX(Lookup!$N$9:$N$24,MATCH(Z54,Lookup!$K$9:$K$24,0)),"N/A")))</f>
        <v>#N/A</v>
      </c>
    </row>
    <row r="55" spans="1:28">
      <c r="A55" s="1006"/>
      <c r="B55" s="69"/>
      <c r="C55" s="323"/>
      <c r="D55" s="323"/>
      <c r="E55" s="324" t="e">
        <f>INDEX(Lookup!$I$9:$I$24,MATCH('Interior Lighting'!D55,Lookup!$C$9:$C$24,0))</f>
        <v>#N/A</v>
      </c>
      <c r="F55" s="69"/>
      <c r="G55" s="69"/>
      <c r="H55" s="69"/>
      <c r="I55" s="324" t="e">
        <f t="shared" si="8"/>
        <v>#N/A</v>
      </c>
      <c r="J55" s="170"/>
      <c r="K55" s="325">
        <f t="shared" si="9"/>
        <v>0</v>
      </c>
      <c r="L55" s="326" t="e">
        <f t="shared" si="10"/>
        <v>#DIV/0!</v>
      </c>
      <c r="M55" s="326" t="str">
        <f>IF(H55="Yes",IF(D55='Drop Down'!$W$4,0.9*L55,IF(D55='Drop Down'!$W$5,0.9*L55,IF(D55='Drop Down'!$W$10,0.9*L55,IF(D55='Drop Down'!$W$16,0.9*L55,"No credit allowed.")))),"N/A")</f>
        <v>N/A</v>
      </c>
      <c r="N55" s="327" t="e">
        <f>IF($D$20="Space-By-Space (90.1-2013)",INDEX(LPD2013SS,MATCH('Interior Lighting'!D55,LightingSpaceType,0)*W55),INDEX(LPD2013WB,MATCH('Interior Lighting'!D55,LightingSpaceType,0)))</f>
        <v>#N/A</v>
      </c>
      <c r="O55" s="327">
        <f t="shared" si="11"/>
        <v>0</v>
      </c>
      <c r="P55" s="407" t="e">
        <f t="shared" si="1"/>
        <v>#N/A</v>
      </c>
      <c r="Q55" s="407" t="e">
        <f t="shared" si="12"/>
        <v>#N/A</v>
      </c>
      <c r="R55" s="407" t="e">
        <f t="shared" si="2"/>
        <v>#N/A</v>
      </c>
      <c r="S55" s="324">
        <f t="shared" si="3"/>
        <v>0</v>
      </c>
      <c r="T55" s="924" t="str">
        <f t="shared" si="4"/>
        <v/>
      </c>
      <c r="U55" s="1221" t="str">
        <f t="shared" si="13"/>
        <v/>
      </c>
      <c r="W55" s="1098">
        <f t="shared" si="5"/>
        <v>1</v>
      </c>
      <c r="X55" s="1098" t="e">
        <f>INDEX(OSReq,MATCH('Interior Lighting'!D55,LightingSpaceType,0))</f>
        <v>#N/A</v>
      </c>
      <c r="Y55" s="1098" t="e">
        <f t="shared" si="6"/>
        <v>#N/A</v>
      </c>
      <c r="Z55" s="1098" t="e">
        <f t="shared" si="7"/>
        <v>#N/A</v>
      </c>
      <c r="AA55" s="1098" t="e">
        <f>INDEX(Lookup!$O$9:$O$24,MATCH('Interior Lighting'!Z55,Lookup!$K$9:$K$24,0))</f>
        <v>#N/A</v>
      </c>
      <c r="AB55" s="1098" t="e">
        <f>IF(E55="A",INDEX(Lookup!$L$9:$L$24,MATCH(Z55,Lookup!$K$9:$K$24,0)),IF(E55="B",INDEX(Lookup!$M$9:$M$24,MATCH(Z55,Lookup!$K$9:$K$24,0)),IF(E55="C",INDEX(Lookup!$N$9:$N$24,MATCH(Z55,Lookup!$K$9:$K$24,0)),"N/A")))</f>
        <v>#N/A</v>
      </c>
    </row>
    <row r="56" spans="1:28">
      <c r="A56" s="1006"/>
      <c r="B56" s="69"/>
      <c r="C56" s="330"/>
      <c r="D56" s="323"/>
      <c r="E56" s="324" t="e">
        <f>INDEX(Lookup!$I$9:$I$24,MATCH('Interior Lighting'!D56,Lookup!$C$9:$C$24,0))</f>
        <v>#N/A</v>
      </c>
      <c r="F56" s="69"/>
      <c r="G56" s="69"/>
      <c r="H56" s="69"/>
      <c r="I56" s="324" t="e">
        <f t="shared" si="8"/>
        <v>#N/A</v>
      </c>
      <c r="J56" s="170"/>
      <c r="K56" s="325">
        <f t="shared" si="9"/>
        <v>0</v>
      </c>
      <c r="L56" s="326" t="e">
        <f t="shared" si="10"/>
        <v>#DIV/0!</v>
      </c>
      <c r="M56" s="326" t="str">
        <f>IF(H56="Yes",IF(D56='Drop Down'!$W$4,0.9*L56,IF(D56='Drop Down'!$W$5,0.9*L56,IF(D56='Drop Down'!$W$10,0.9*L56,IF(D56='Drop Down'!$W$16,0.9*L56,"No credit allowed.")))),"N/A")</f>
        <v>N/A</v>
      </c>
      <c r="N56" s="327" t="e">
        <f>IF($D$20="Space-By-Space (90.1-2013)",INDEX(LPD2013SS,MATCH('Interior Lighting'!D56,LightingSpaceType,0)*W56),INDEX(LPD2013WB,MATCH('Interior Lighting'!D56,LightingSpaceType,0)))</f>
        <v>#N/A</v>
      </c>
      <c r="O56" s="327">
        <f t="shared" si="11"/>
        <v>0</v>
      </c>
      <c r="P56" s="407" t="e">
        <f t="shared" si="1"/>
        <v>#N/A</v>
      </c>
      <c r="Q56" s="407" t="e">
        <f t="shared" si="12"/>
        <v>#N/A</v>
      </c>
      <c r="R56" s="407" t="e">
        <f t="shared" si="2"/>
        <v>#N/A</v>
      </c>
      <c r="S56" s="324">
        <f t="shared" si="3"/>
        <v>0</v>
      </c>
      <c r="T56" s="924" t="str">
        <f t="shared" si="4"/>
        <v/>
      </c>
      <c r="U56" s="1221" t="str">
        <f t="shared" si="13"/>
        <v/>
      </c>
      <c r="W56" s="1098">
        <f t="shared" si="5"/>
        <v>1</v>
      </c>
      <c r="X56" s="1098" t="e">
        <f>INDEX(OSReq,MATCH('Interior Lighting'!D56,LightingSpaceType,0))</f>
        <v>#N/A</v>
      </c>
      <c r="Y56" s="1098" t="e">
        <f t="shared" si="6"/>
        <v>#N/A</v>
      </c>
      <c r="Z56" s="1098" t="e">
        <f t="shared" si="7"/>
        <v>#N/A</v>
      </c>
      <c r="AA56" s="1098" t="e">
        <f>INDEX(Lookup!$O$9:$O$24,MATCH('Interior Lighting'!Z56,Lookup!$K$9:$K$24,0))</f>
        <v>#N/A</v>
      </c>
      <c r="AB56" s="1098" t="e">
        <f>IF(E56="A",INDEX(Lookup!$L$9:$L$24,MATCH(Z56,Lookup!$K$9:$K$24,0)),IF(E56="B",INDEX(Lookup!$M$9:$M$24,MATCH(Z56,Lookup!$K$9:$K$24,0)),IF(E56="C",INDEX(Lookup!$N$9:$N$24,MATCH(Z56,Lookup!$K$9:$K$24,0)),"N/A")))</f>
        <v>#N/A</v>
      </c>
    </row>
    <row r="57" spans="1:28">
      <c r="A57" s="1006"/>
      <c r="B57" s="69"/>
      <c r="C57" s="323"/>
      <c r="D57" s="323"/>
      <c r="E57" s="324" t="e">
        <f>INDEX(Lookup!$I$9:$I$24,MATCH('Interior Lighting'!D57,Lookup!$C$9:$C$24,0))</f>
        <v>#N/A</v>
      </c>
      <c r="F57" s="69"/>
      <c r="G57" s="69"/>
      <c r="H57" s="69"/>
      <c r="I57" s="324" t="e">
        <f t="shared" si="8"/>
        <v>#N/A</v>
      </c>
      <c r="J57" s="170"/>
      <c r="K57" s="325">
        <f t="shared" si="9"/>
        <v>0</v>
      </c>
      <c r="L57" s="326" t="e">
        <f t="shared" si="10"/>
        <v>#DIV/0!</v>
      </c>
      <c r="M57" s="326" t="str">
        <f>IF(H57="Yes",IF(D57='Drop Down'!$W$4,0.9*L57,IF(D57='Drop Down'!$W$5,0.9*L57,IF(D57='Drop Down'!$W$10,0.9*L57,IF(D57='Drop Down'!$W$16,0.9*L57,"No credit allowed.")))),"N/A")</f>
        <v>N/A</v>
      </c>
      <c r="N57" s="327" t="e">
        <f>IF($D$20="Space-By-Space (90.1-2013)",INDEX(LPD2013SS,MATCH('Interior Lighting'!D57,LightingSpaceType,0)*W57),INDEX(LPD2013WB,MATCH('Interior Lighting'!D57,LightingSpaceType,0)))</f>
        <v>#N/A</v>
      </c>
      <c r="O57" s="327">
        <f t="shared" si="11"/>
        <v>0</v>
      </c>
      <c r="P57" s="407" t="e">
        <f t="shared" si="1"/>
        <v>#N/A</v>
      </c>
      <c r="Q57" s="407" t="e">
        <f t="shared" si="12"/>
        <v>#N/A</v>
      </c>
      <c r="R57" s="407" t="e">
        <f t="shared" si="2"/>
        <v>#N/A</v>
      </c>
      <c r="S57" s="324">
        <f t="shared" si="3"/>
        <v>0</v>
      </c>
      <c r="T57" s="924" t="str">
        <f t="shared" si="4"/>
        <v/>
      </c>
      <c r="U57" s="1221" t="str">
        <f t="shared" si="13"/>
        <v/>
      </c>
      <c r="W57" s="1098">
        <f t="shared" si="5"/>
        <v>1</v>
      </c>
      <c r="X57" s="1098" t="e">
        <f>INDEX(OSReq,MATCH('Interior Lighting'!D57,LightingSpaceType,0))</f>
        <v>#N/A</v>
      </c>
      <c r="Y57" s="1098" t="e">
        <f t="shared" si="6"/>
        <v>#N/A</v>
      </c>
      <c r="Z57" s="1098" t="e">
        <f t="shared" si="7"/>
        <v>#N/A</v>
      </c>
      <c r="AA57" s="1098" t="e">
        <f>INDEX(Lookup!$O$9:$O$24,MATCH('Interior Lighting'!Z57,Lookup!$K$9:$K$24,0))</f>
        <v>#N/A</v>
      </c>
      <c r="AB57" s="1098" t="e">
        <f>IF(E57="A",INDEX(Lookup!$L$9:$L$24,MATCH(Z57,Lookup!$K$9:$K$24,0)),IF(E57="B",INDEX(Lookup!$M$9:$M$24,MATCH(Z57,Lookup!$K$9:$K$24,0)),IF(E57="C",INDEX(Lookup!$N$9:$N$24,MATCH(Z57,Lookup!$K$9:$K$24,0)),"N/A")))</f>
        <v>#N/A</v>
      </c>
    </row>
    <row r="58" spans="1:28">
      <c r="A58" s="1006"/>
      <c r="B58" s="69"/>
      <c r="C58" s="323"/>
      <c r="D58" s="323"/>
      <c r="E58" s="324" t="e">
        <f>INDEX(Lookup!$I$9:$I$24,MATCH('Interior Lighting'!D58,Lookup!$C$9:$C$24,0))</f>
        <v>#N/A</v>
      </c>
      <c r="F58" s="69"/>
      <c r="G58" s="69"/>
      <c r="H58" s="69"/>
      <c r="I58" s="324" t="e">
        <f t="shared" si="8"/>
        <v>#N/A</v>
      </c>
      <c r="J58" s="170"/>
      <c r="K58" s="325">
        <f t="shared" si="9"/>
        <v>0</v>
      </c>
      <c r="L58" s="326" t="e">
        <f t="shared" si="10"/>
        <v>#DIV/0!</v>
      </c>
      <c r="M58" s="326" t="str">
        <f>IF(H58="Yes",IF(D58='Drop Down'!$W$4,0.9*L58,IF(D58='Drop Down'!$W$5,0.9*L58,IF(D58='Drop Down'!$W$10,0.9*L58,IF(D58='Drop Down'!$W$16,0.9*L58,"No credit allowed.")))),"N/A")</f>
        <v>N/A</v>
      </c>
      <c r="N58" s="327" t="e">
        <f>IF($D$20="Space-By-Space (90.1-2013)",INDEX(LPD2013SS,MATCH('Interior Lighting'!D58,LightingSpaceType,0)*W58),INDEX(LPD2013WB,MATCH('Interior Lighting'!D58,LightingSpaceType,0)))</f>
        <v>#N/A</v>
      </c>
      <c r="O58" s="327">
        <f t="shared" si="11"/>
        <v>0</v>
      </c>
      <c r="P58" s="407" t="e">
        <f t="shared" si="1"/>
        <v>#N/A</v>
      </c>
      <c r="Q58" s="407" t="e">
        <f t="shared" si="12"/>
        <v>#N/A</v>
      </c>
      <c r="R58" s="407" t="e">
        <f t="shared" si="2"/>
        <v>#N/A</v>
      </c>
      <c r="S58" s="324">
        <f t="shared" si="3"/>
        <v>0</v>
      </c>
      <c r="T58" s="924" t="str">
        <f t="shared" si="4"/>
        <v/>
      </c>
      <c r="U58" s="1221" t="str">
        <f t="shared" si="13"/>
        <v/>
      </c>
      <c r="W58" s="1098">
        <f t="shared" si="5"/>
        <v>1</v>
      </c>
      <c r="X58" s="1098" t="e">
        <f>INDEX(OSReq,MATCH('Interior Lighting'!D58,LightingSpaceType,0))</f>
        <v>#N/A</v>
      </c>
      <c r="Y58" s="1098" t="e">
        <f t="shared" si="6"/>
        <v>#N/A</v>
      </c>
      <c r="Z58" s="1098" t="e">
        <f t="shared" si="7"/>
        <v>#N/A</v>
      </c>
      <c r="AA58" s="1098" t="e">
        <f>INDEX(Lookup!$O$9:$O$24,MATCH('Interior Lighting'!Z58,Lookup!$K$9:$K$24,0))</f>
        <v>#N/A</v>
      </c>
      <c r="AB58" s="1098" t="e">
        <f>IF(E58="A",INDEX(Lookup!$L$9:$L$24,MATCH(Z58,Lookup!$K$9:$K$24,0)),IF(E58="B",INDEX(Lookup!$M$9:$M$24,MATCH(Z58,Lookup!$K$9:$K$24,0)),IF(E58="C",INDEX(Lookup!$N$9:$N$24,MATCH(Z58,Lookup!$K$9:$K$24,0)),"N/A")))</f>
        <v>#N/A</v>
      </c>
    </row>
    <row r="59" spans="1:28">
      <c r="A59" s="1006"/>
      <c r="B59" s="69"/>
      <c r="C59" s="323"/>
      <c r="D59" s="323"/>
      <c r="E59" s="324" t="e">
        <f>INDEX(Lookup!$I$9:$I$24,MATCH('Interior Lighting'!D59,Lookup!$C$9:$C$24,0))</f>
        <v>#N/A</v>
      </c>
      <c r="F59" s="69"/>
      <c r="G59" s="69"/>
      <c r="H59" s="69"/>
      <c r="I59" s="324" t="e">
        <f t="shared" si="8"/>
        <v>#N/A</v>
      </c>
      <c r="J59" s="170"/>
      <c r="K59" s="325">
        <f t="shared" si="9"/>
        <v>0</v>
      </c>
      <c r="L59" s="326" t="e">
        <f t="shared" si="10"/>
        <v>#DIV/0!</v>
      </c>
      <c r="M59" s="326" t="str">
        <f>IF(H59="Yes",IF(D59='Drop Down'!$W$4,0.9*L59,IF(D59='Drop Down'!$W$5,0.9*L59,IF(D59='Drop Down'!$W$10,0.9*L59,IF(D59='Drop Down'!$W$16,0.9*L59,"No credit allowed.")))),"N/A")</f>
        <v>N/A</v>
      </c>
      <c r="N59" s="327" t="e">
        <f>IF($D$20="Space-By-Space (90.1-2013)",INDEX(LPD2013SS,MATCH('Interior Lighting'!D59,LightingSpaceType,0)*W59),INDEX(LPD2013WB,MATCH('Interior Lighting'!D59,LightingSpaceType,0)))</f>
        <v>#N/A</v>
      </c>
      <c r="O59" s="327">
        <f t="shared" si="11"/>
        <v>0</v>
      </c>
      <c r="P59" s="407" t="e">
        <f t="shared" si="1"/>
        <v>#N/A</v>
      </c>
      <c r="Q59" s="407" t="e">
        <f t="shared" si="12"/>
        <v>#N/A</v>
      </c>
      <c r="R59" s="407" t="e">
        <f t="shared" si="2"/>
        <v>#N/A</v>
      </c>
      <c r="S59" s="324">
        <f t="shared" si="3"/>
        <v>0</v>
      </c>
      <c r="T59" s="924" t="str">
        <f t="shared" si="4"/>
        <v/>
      </c>
      <c r="U59" s="1221" t="str">
        <f t="shared" si="13"/>
        <v/>
      </c>
      <c r="W59" s="1098">
        <f t="shared" si="5"/>
        <v>1</v>
      </c>
      <c r="X59" s="1098" t="e">
        <f>INDEX(OSReq,MATCH('Interior Lighting'!D59,LightingSpaceType,0))</f>
        <v>#N/A</v>
      </c>
      <c r="Y59" s="1098" t="e">
        <f t="shared" si="6"/>
        <v>#N/A</v>
      </c>
      <c r="Z59" s="1098" t="e">
        <f t="shared" si="7"/>
        <v>#N/A</v>
      </c>
      <c r="AA59" s="1098" t="e">
        <f>INDEX(Lookup!$O$9:$O$24,MATCH('Interior Lighting'!Z59,Lookup!$K$9:$K$24,0))</f>
        <v>#N/A</v>
      </c>
      <c r="AB59" s="1098" t="e">
        <f>IF(E59="A",INDEX(Lookup!$L$9:$L$24,MATCH(Z59,Lookup!$K$9:$K$24,0)),IF(E59="B",INDEX(Lookup!$M$9:$M$24,MATCH(Z59,Lookup!$K$9:$K$24,0)),IF(E59="C",INDEX(Lookup!$N$9:$N$24,MATCH(Z59,Lookup!$K$9:$K$24,0)),"N/A")))</f>
        <v>#N/A</v>
      </c>
    </row>
    <row r="60" spans="1:28">
      <c r="A60" s="1006"/>
      <c r="B60" s="69"/>
      <c r="C60" s="323"/>
      <c r="D60" s="323"/>
      <c r="E60" s="324" t="e">
        <f>INDEX(Lookup!$I$9:$I$24,MATCH('Interior Lighting'!D60,Lookup!$C$9:$C$24,0))</f>
        <v>#N/A</v>
      </c>
      <c r="F60" s="69"/>
      <c r="G60" s="69"/>
      <c r="H60" s="69"/>
      <c r="I60" s="324" t="e">
        <f t="shared" si="8"/>
        <v>#N/A</v>
      </c>
      <c r="J60" s="170"/>
      <c r="K60" s="325">
        <f t="shared" si="9"/>
        <v>0</v>
      </c>
      <c r="L60" s="326" t="e">
        <f t="shared" si="10"/>
        <v>#DIV/0!</v>
      </c>
      <c r="M60" s="326" t="str">
        <f>IF(H60="Yes",IF(D60='Drop Down'!$W$4,0.9*L60,IF(D60='Drop Down'!$W$5,0.9*L60,IF(D60='Drop Down'!$W$10,0.9*L60,IF(D60='Drop Down'!$W$16,0.9*L60,"No credit allowed.")))),"N/A")</f>
        <v>N/A</v>
      </c>
      <c r="N60" s="327" t="e">
        <f>IF($D$20="Space-By-Space (90.1-2013)",INDEX(LPD2013SS,MATCH('Interior Lighting'!D60,LightingSpaceType,0)*W60),INDEX(LPD2013WB,MATCH('Interior Lighting'!D60,LightingSpaceType,0)))</f>
        <v>#N/A</v>
      </c>
      <c r="O60" s="327">
        <f t="shared" si="11"/>
        <v>0</v>
      </c>
      <c r="P60" s="407" t="e">
        <f t="shared" si="1"/>
        <v>#N/A</v>
      </c>
      <c r="Q60" s="407" t="e">
        <f t="shared" si="12"/>
        <v>#N/A</v>
      </c>
      <c r="R60" s="407" t="e">
        <f t="shared" si="2"/>
        <v>#N/A</v>
      </c>
      <c r="S60" s="324">
        <f t="shared" si="3"/>
        <v>0</v>
      </c>
      <c r="T60" s="924" t="str">
        <f t="shared" si="4"/>
        <v/>
      </c>
      <c r="U60" s="1221" t="str">
        <f t="shared" si="13"/>
        <v/>
      </c>
      <c r="W60" s="1098">
        <f t="shared" si="5"/>
        <v>1</v>
      </c>
      <c r="X60" s="1098" t="e">
        <f>INDEX(OSReq,MATCH('Interior Lighting'!D60,LightingSpaceType,0))</f>
        <v>#N/A</v>
      </c>
      <c r="Y60" s="1098" t="e">
        <f t="shared" si="6"/>
        <v>#N/A</v>
      </c>
      <c r="Z60" s="1098" t="e">
        <f t="shared" si="7"/>
        <v>#N/A</v>
      </c>
      <c r="AA60" s="1098" t="e">
        <f>INDEX(Lookup!$O$9:$O$24,MATCH('Interior Lighting'!Z60,Lookup!$K$9:$K$24,0))</f>
        <v>#N/A</v>
      </c>
      <c r="AB60" s="1098" t="e">
        <f>IF(E60="A",INDEX(Lookup!$L$9:$L$24,MATCH(Z60,Lookup!$K$9:$K$24,0)),IF(E60="B",INDEX(Lookup!$M$9:$M$24,MATCH(Z60,Lookup!$K$9:$K$24,0)),IF(E60="C",INDEX(Lookup!$N$9:$N$24,MATCH(Z60,Lookup!$K$9:$K$24,0)),"N/A")))</f>
        <v>#N/A</v>
      </c>
    </row>
    <row r="61" spans="1:28">
      <c r="A61" s="1006"/>
      <c r="B61" s="69"/>
      <c r="C61" s="323"/>
      <c r="D61" s="323"/>
      <c r="E61" s="324" t="e">
        <f>INDEX(Lookup!$I$9:$I$24,MATCH('Interior Lighting'!D61,Lookup!$C$9:$C$24,0))</f>
        <v>#N/A</v>
      </c>
      <c r="F61" s="69"/>
      <c r="G61" s="69"/>
      <c r="H61" s="69"/>
      <c r="I61" s="324" t="e">
        <f t="shared" si="8"/>
        <v>#N/A</v>
      </c>
      <c r="J61" s="170"/>
      <c r="K61" s="325">
        <f t="shared" si="9"/>
        <v>0</v>
      </c>
      <c r="L61" s="326" t="e">
        <f t="shared" si="10"/>
        <v>#DIV/0!</v>
      </c>
      <c r="M61" s="326" t="str">
        <f>IF(H61="Yes",IF(D61='Drop Down'!$W$4,0.9*L61,IF(D61='Drop Down'!$W$5,0.9*L61,IF(D61='Drop Down'!$W$10,0.9*L61,IF(D61='Drop Down'!$W$16,0.9*L61,"No credit allowed.")))),"N/A")</f>
        <v>N/A</v>
      </c>
      <c r="N61" s="327" t="e">
        <f>IF($D$20="Space-By-Space (90.1-2013)",INDEX(LPD2013SS,MATCH('Interior Lighting'!D61,LightingSpaceType,0)*W61),INDEX(LPD2013WB,MATCH('Interior Lighting'!D61,LightingSpaceType,0)))</f>
        <v>#N/A</v>
      </c>
      <c r="O61" s="327">
        <f t="shared" si="11"/>
        <v>0</v>
      </c>
      <c r="P61" s="407" t="e">
        <f t="shared" si="1"/>
        <v>#N/A</v>
      </c>
      <c r="Q61" s="407" t="e">
        <f t="shared" si="12"/>
        <v>#N/A</v>
      </c>
      <c r="R61" s="407" t="e">
        <f t="shared" si="2"/>
        <v>#N/A</v>
      </c>
      <c r="S61" s="324">
        <f t="shared" si="3"/>
        <v>0</v>
      </c>
      <c r="T61" s="924" t="str">
        <f t="shared" si="4"/>
        <v/>
      </c>
      <c r="U61" s="1221" t="str">
        <f t="shared" si="13"/>
        <v/>
      </c>
      <c r="W61" s="1098">
        <f t="shared" si="5"/>
        <v>1</v>
      </c>
      <c r="X61" s="1098" t="e">
        <f>INDEX(OSReq,MATCH('Interior Lighting'!D61,LightingSpaceType,0))</f>
        <v>#N/A</v>
      </c>
      <c r="Y61" s="1098" t="e">
        <f t="shared" si="6"/>
        <v>#N/A</v>
      </c>
      <c r="Z61" s="1098" t="e">
        <f t="shared" si="7"/>
        <v>#N/A</v>
      </c>
      <c r="AA61" s="1098" t="e">
        <f>INDEX(Lookup!$O$9:$O$24,MATCH('Interior Lighting'!Z61,Lookup!$K$9:$K$24,0))</f>
        <v>#N/A</v>
      </c>
      <c r="AB61" s="1098" t="e">
        <f>IF(E61="A",INDEX(Lookup!$L$9:$L$24,MATCH(Z61,Lookup!$K$9:$K$24,0)),IF(E61="B",INDEX(Lookup!$M$9:$M$24,MATCH(Z61,Lookup!$K$9:$K$24,0)),IF(E61="C",INDEX(Lookup!$N$9:$N$24,MATCH(Z61,Lookup!$K$9:$K$24,0)),"N/A")))</f>
        <v>#N/A</v>
      </c>
    </row>
    <row r="62" spans="1:28">
      <c r="A62" s="1006"/>
      <c r="B62" s="69"/>
      <c r="C62" s="330"/>
      <c r="D62" s="323"/>
      <c r="E62" s="324" t="e">
        <f>INDEX(Lookup!$I$9:$I$24,MATCH('Interior Lighting'!D62,Lookup!$C$9:$C$24,0))</f>
        <v>#N/A</v>
      </c>
      <c r="F62" s="69"/>
      <c r="G62" s="69"/>
      <c r="H62" s="69"/>
      <c r="I62" s="324" t="e">
        <f t="shared" si="8"/>
        <v>#N/A</v>
      </c>
      <c r="J62" s="170"/>
      <c r="K62" s="325">
        <f t="shared" si="9"/>
        <v>0</v>
      </c>
      <c r="L62" s="326" t="e">
        <f t="shared" si="10"/>
        <v>#DIV/0!</v>
      </c>
      <c r="M62" s="326" t="str">
        <f>IF(H62="Yes",IF(D62='Drop Down'!$W$4,0.9*L62,IF(D62='Drop Down'!$W$5,0.9*L62,IF(D62='Drop Down'!$W$10,0.9*L62,IF(D62='Drop Down'!$W$16,0.9*L62,"No credit allowed.")))),"N/A")</f>
        <v>N/A</v>
      </c>
      <c r="N62" s="327" t="e">
        <f>IF($D$20="Space-By-Space (90.1-2013)",INDEX(LPD2013SS,MATCH('Interior Lighting'!D62,LightingSpaceType,0)*W62),INDEX(LPD2013WB,MATCH('Interior Lighting'!D62,LightingSpaceType,0)))</f>
        <v>#N/A</v>
      </c>
      <c r="O62" s="327">
        <f t="shared" si="11"/>
        <v>0</v>
      </c>
      <c r="P62" s="407" t="e">
        <f t="shared" si="1"/>
        <v>#N/A</v>
      </c>
      <c r="Q62" s="407" t="e">
        <f t="shared" si="12"/>
        <v>#N/A</v>
      </c>
      <c r="R62" s="407" t="e">
        <f t="shared" si="2"/>
        <v>#N/A</v>
      </c>
      <c r="S62" s="324">
        <f t="shared" si="3"/>
        <v>0</v>
      </c>
      <c r="T62" s="924" t="str">
        <f t="shared" si="4"/>
        <v/>
      </c>
      <c r="U62" s="1221" t="str">
        <f t="shared" si="13"/>
        <v/>
      </c>
      <c r="W62" s="1098">
        <f t="shared" si="5"/>
        <v>1</v>
      </c>
      <c r="X62" s="1098" t="e">
        <f>INDEX(OSReq,MATCH('Interior Lighting'!D62,LightingSpaceType,0))</f>
        <v>#N/A</v>
      </c>
      <c r="Y62" s="1098" t="e">
        <f t="shared" si="6"/>
        <v>#N/A</v>
      </c>
      <c r="Z62" s="1098" t="e">
        <f t="shared" si="7"/>
        <v>#N/A</v>
      </c>
      <c r="AA62" s="1098" t="e">
        <f>INDEX(Lookup!$O$9:$O$24,MATCH('Interior Lighting'!Z62,Lookup!$K$9:$K$24,0))</f>
        <v>#N/A</v>
      </c>
      <c r="AB62" s="1098" t="e">
        <f>IF(E62="A",INDEX(Lookup!$L$9:$L$24,MATCH(Z62,Lookup!$K$9:$K$24,0)),IF(E62="B",INDEX(Lookup!$M$9:$M$24,MATCH(Z62,Lookup!$K$9:$K$24,0)),IF(E62="C",INDEX(Lookup!$N$9:$N$24,MATCH(Z62,Lookup!$K$9:$K$24,0)),"N/A")))</f>
        <v>#N/A</v>
      </c>
    </row>
    <row r="63" spans="1:28">
      <c r="A63" s="1006"/>
      <c r="B63" s="69"/>
      <c r="C63" s="323"/>
      <c r="D63" s="323"/>
      <c r="E63" s="324" t="e">
        <f>INDEX(Lookup!$I$9:$I$24,MATCH('Interior Lighting'!D63,Lookup!$C$9:$C$24,0))</f>
        <v>#N/A</v>
      </c>
      <c r="F63" s="69"/>
      <c r="G63" s="69"/>
      <c r="H63" s="69"/>
      <c r="I63" s="324" t="e">
        <f t="shared" si="8"/>
        <v>#N/A</v>
      </c>
      <c r="J63" s="170"/>
      <c r="K63" s="325">
        <f t="shared" si="9"/>
        <v>0</v>
      </c>
      <c r="L63" s="326" t="e">
        <f t="shared" si="10"/>
        <v>#DIV/0!</v>
      </c>
      <c r="M63" s="326" t="str">
        <f>IF(H63="Yes",IF(D63='Drop Down'!$W$4,0.9*L63,IF(D63='Drop Down'!$W$5,0.9*L63,IF(D63='Drop Down'!$W$10,0.9*L63,IF(D63='Drop Down'!$W$16,0.9*L63,"No credit allowed.")))),"N/A")</f>
        <v>N/A</v>
      </c>
      <c r="N63" s="327" t="e">
        <f>IF($D$20="Space-By-Space (90.1-2013)",INDEX(LPD2013SS,MATCH('Interior Lighting'!D63,LightingSpaceType,0)*W63),INDEX(LPD2013WB,MATCH('Interior Lighting'!D63,LightingSpaceType,0)))</f>
        <v>#N/A</v>
      </c>
      <c r="O63" s="327">
        <f t="shared" si="11"/>
        <v>0</v>
      </c>
      <c r="P63" s="407" t="e">
        <f t="shared" si="1"/>
        <v>#N/A</v>
      </c>
      <c r="Q63" s="407" t="e">
        <f t="shared" si="12"/>
        <v>#N/A</v>
      </c>
      <c r="R63" s="407" t="e">
        <f t="shared" si="2"/>
        <v>#N/A</v>
      </c>
      <c r="S63" s="324">
        <f t="shared" si="3"/>
        <v>0</v>
      </c>
      <c r="T63" s="924" t="str">
        <f t="shared" si="4"/>
        <v/>
      </c>
      <c r="U63" s="1221" t="str">
        <f t="shared" si="13"/>
        <v/>
      </c>
      <c r="W63" s="1098">
        <f t="shared" si="5"/>
        <v>1</v>
      </c>
      <c r="X63" s="1098" t="e">
        <f>INDEX(OSReq,MATCH('Interior Lighting'!D63,LightingSpaceType,0))</f>
        <v>#N/A</v>
      </c>
      <c r="Y63" s="1098" t="e">
        <f t="shared" si="6"/>
        <v>#N/A</v>
      </c>
      <c r="Z63" s="1098" t="e">
        <f t="shared" si="7"/>
        <v>#N/A</v>
      </c>
      <c r="AA63" s="1098" t="e">
        <f>INDEX(Lookup!$O$9:$O$24,MATCH('Interior Lighting'!Z63,Lookup!$K$9:$K$24,0))</f>
        <v>#N/A</v>
      </c>
      <c r="AB63" s="1098" t="e">
        <f>IF(E63="A",INDEX(Lookup!$L$9:$L$24,MATCH(Z63,Lookup!$K$9:$K$24,0)),IF(E63="B",INDEX(Lookup!$M$9:$M$24,MATCH(Z63,Lookup!$K$9:$K$24,0)),IF(E63="C",INDEX(Lookup!$N$9:$N$24,MATCH(Z63,Lookup!$K$9:$K$24,0)),"N/A")))</f>
        <v>#N/A</v>
      </c>
    </row>
    <row r="64" spans="1:28">
      <c r="A64" s="1006"/>
      <c r="B64" s="69"/>
      <c r="C64" s="323"/>
      <c r="D64" s="323"/>
      <c r="E64" s="324" t="e">
        <f>INDEX(Lookup!$I$9:$I$24,MATCH('Interior Lighting'!D64,Lookup!$C$9:$C$24,0))</f>
        <v>#N/A</v>
      </c>
      <c r="F64" s="69"/>
      <c r="G64" s="69"/>
      <c r="H64" s="69"/>
      <c r="I64" s="324" t="e">
        <f t="shared" si="8"/>
        <v>#N/A</v>
      </c>
      <c r="J64" s="170"/>
      <c r="K64" s="325">
        <f t="shared" si="9"/>
        <v>0</v>
      </c>
      <c r="L64" s="326" t="e">
        <f t="shared" si="10"/>
        <v>#DIV/0!</v>
      </c>
      <c r="M64" s="326" t="str">
        <f>IF(H64="Yes",IF(D64='Drop Down'!$W$4,0.9*L64,IF(D64='Drop Down'!$W$5,0.9*L64,IF(D64='Drop Down'!$W$10,0.9*L64,IF(D64='Drop Down'!$W$16,0.9*L64,"No credit allowed.")))),"N/A")</f>
        <v>N/A</v>
      </c>
      <c r="N64" s="327" t="e">
        <f>IF($D$20="Space-By-Space (90.1-2013)",INDEX(LPD2013SS,MATCH('Interior Lighting'!D64,LightingSpaceType,0)*W64),INDEX(LPD2013WB,MATCH('Interior Lighting'!D64,LightingSpaceType,0)))</f>
        <v>#N/A</v>
      </c>
      <c r="O64" s="327">
        <f t="shared" si="11"/>
        <v>0</v>
      </c>
      <c r="P64" s="407" t="e">
        <f t="shared" si="1"/>
        <v>#N/A</v>
      </c>
      <c r="Q64" s="407" t="e">
        <f t="shared" si="12"/>
        <v>#N/A</v>
      </c>
      <c r="R64" s="407" t="e">
        <f t="shared" si="2"/>
        <v>#N/A</v>
      </c>
      <c r="S64" s="324">
        <f t="shared" si="3"/>
        <v>0</v>
      </c>
      <c r="T64" s="924" t="str">
        <f t="shared" si="4"/>
        <v/>
      </c>
      <c r="U64" s="1221" t="str">
        <f t="shared" si="13"/>
        <v/>
      </c>
      <c r="W64" s="1098">
        <f t="shared" si="5"/>
        <v>1</v>
      </c>
      <c r="X64" s="1098" t="e">
        <f>INDEX(OSReq,MATCH('Interior Lighting'!D64,LightingSpaceType,0))</f>
        <v>#N/A</v>
      </c>
      <c r="Y64" s="1098" t="e">
        <f t="shared" si="6"/>
        <v>#N/A</v>
      </c>
      <c r="Z64" s="1098" t="e">
        <f t="shared" si="7"/>
        <v>#N/A</v>
      </c>
      <c r="AA64" s="1098" t="e">
        <f>INDEX(Lookup!$O$9:$O$24,MATCH('Interior Lighting'!Z64,Lookup!$K$9:$K$24,0))</f>
        <v>#N/A</v>
      </c>
      <c r="AB64" s="1098" t="e">
        <f>IF(E64="A",INDEX(Lookup!$L$9:$L$24,MATCH(Z64,Lookup!$K$9:$K$24,0)),IF(E64="B",INDEX(Lookup!$M$9:$M$24,MATCH(Z64,Lookup!$K$9:$K$24,0)),IF(E64="C",INDEX(Lookup!$N$9:$N$24,MATCH(Z64,Lookup!$K$9:$K$24,0)),"N/A")))</f>
        <v>#N/A</v>
      </c>
    </row>
    <row r="65" spans="1:28">
      <c r="A65" s="1006"/>
      <c r="B65" s="69"/>
      <c r="C65" s="323"/>
      <c r="D65" s="323"/>
      <c r="E65" s="324" t="e">
        <f>INDEX(Lookup!$I$9:$I$24,MATCH('Interior Lighting'!D65,Lookup!$C$9:$C$24,0))</f>
        <v>#N/A</v>
      </c>
      <c r="F65" s="69"/>
      <c r="G65" s="69"/>
      <c r="H65" s="69"/>
      <c r="I65" s="324" t="e">
        <f t="shared" si="8"/>
        <v>#N/A</v>
      </c>
      <c r="J65" s="170"/>
      <c r="K65" s="325">
        <f t="shared" si="9"/>
        <v>0</v>
      </c>
      <c r="L65" s="326" t="e">
        <f t="shared" si="10"/>
        <v>#DIV/0!</v>
      </c>
      <c r="M65" s="326" t="str">
        <f>IF(H65="Yes",IF(D65='Drop Down'!$W$4,0.9*L65,IF(D65='Drop Down'!$W$5,0.9*L65,IF(D65='Drop Down'!$W$10,0.9*L65,IF(D65='Drop Down'!$W$16,0.9*L65,"No credit allowed.")))),"N/A")</f>
        <v>N/A</v>
      </c>
      <c r="N65" s="327" t="e">
        <f>IF($D$20="Space-By-Space (90.1-2013)",INDEX(LPD2013SS,MATCH('Interior Lighting'!D65,LightingSpaceType,0)*W65),INDEX(LPD2013WB,MATCH('Interior Lighting'!D65,LightingSpaceType,0)))</f>
        <v>#N/A</v>
      </c>
      <c r="O65" s="327">
        <f t="shared" si="11"/>
        <v>0</v>
      </c>
      <c r="P65" s="407" t="e">
        <f t="shared" si="1"/>
        <v>#N/A</v>
      </c>
      <c r="Q65" s="407" t="e">
        <f t="shared" si="12"/>
        <v>#N/A</v>
      </c>
      <c r="R65" s="407" t="e">
        <f t="shared" si="2"/>
        <v>#N/A</v>
      </c>
      <c r="S65" s="324">
        <f t="shared" si="3"/>
        <v>0</v>
      </c>
      <c r="T65" s="924" t="str">
        <f t="shared" si="4"/>
        <v/>
      </c>
      <c r="U65" s="1221" t="str">
        <f t="shared" si="13"/>
        <v/>
      </c>
      <c r="W65" s="1098">
        <f t="shared" si="5"/>
        <v>1</v>
      </c>
      <c r="X65" s="1098" t="e">
        <f>INDEX(OSReq,MATCH('Interior Lighting'!D65,LightingSpaceType,0))</f>
        <v>#N/A</v>
      </c>
      <c r="Y65" s="1098" t="e">
        <f t="shared" si="6"/>
        <v>#N/A</v>
      </c>
      <c r="Z65" s="1098" t="e">
        <f t="shared" si="7"/>
        <v>#N/A</v>
      </c>
      <c r="AA65" s="1098" t="e">
        <f>INDEX(Lookup!$O$9:$O$24,MATCH('Interior Lighting'!Z65,Lookup!$K$9:$K$24,0))</f>
        <v>#N/A</v>
      </c>
      <c r="AB65" s="1098" t="e">
        <f>IF(E65="A",INDEX(Lookup!$L$9:$L$24,MATCH(Z65,Lookup!$K$9:$K$24,0)),IF(E65="B",INDEX(Lookup!$M$9:$M$24,MATCH(Z65,Lookup!$K$9:$K$24,0)),IF(E65="C",INDEX(Lookup!$N$9:$N$24,MATCH(Z65,Lookup!$K$9:$K$24,0)),"N/A")))</f>
        <v>#N/A</v>
      </c>
    </row>
    <row r="66" spans="1:28">
      <c r="A66" s="1006"/>
      <c r="B66" s="69"/>
      <c r="C66" s="323"/>
      <c r="D66" s="323"/>
      <c r="E66" s="324" t="e">
        <f>INDEX(Lookup!$I$9:$I$24,MATCH('Interior Lighting'!D66,Lookup!$C$9:$C$24,0))</f>
        <v>#N/A</v>
      </c>
      <c r="F66" s="69"/>
      <c r="G66" s="69"/>
      <c r="H66" s="69"/>
      <c r="I66" s="324" t="e">
        <f t="shared" si="8"/>
        <v>#N/A</v>
      </c>
      <c r="J66" s="170"/>
      <c r="K66" s="325">
        <f t="shared" si="9"/>
        <v>0</v>
      </c>
      <c r="L66" s="326" t="e">
        <f t="shared" si="10"/>
        <v>#DIV/0!</v>
      </c>
      <c r="M66" s="326" t="str">
        <f>IF(H66="Yes",IF(D66='Drop Down'!$W$4,0.9*L66,IF(D66='Drop Down'!$W$5,0.9*L66,IF(D66='Drop Down'!$W$10,0.9*L66,IF(D66='Drop Down'!$W$16,0.9*L66,"No credit allowed.")))),"N/A")</f>
        <v>N/A</v>
      </c>
      <c r="N66" s="327" t="e">
        <f>IF($D$20="Space-By-Space (90.1-2013)",INDEX(LPD2013SS,MATCH('Interior Lighting'!D66,LightingSpaceType,0)*W66),INDEX(LPD2013WB,MATCH('Interior Lighting'!D66,LightingSpaceType,0)))</f>
        <v>#N/A</v>
      </c>
      <c r="O66" s="327">
        <f t="shared" si="11"/>
        <v>0</v>
      </c>
      <c r="P66" s="407" t="e">
        <f t="shared" si="1"/>
        <v>#N/A</v>
      </c>
      <c r="Q66" s="407" t="e">
        <f t="shared" si="12"/>
        <v>#N/A</v>
      </c>
      <c r="R66" s="407" t="e">
        <f t="shared" si="2"/>
        <v>#N/A</v>
      </c>
      <c r="S66" s="324">
        <f t="shared" si="3"/>
        <v>0</v>
      </c>
      <c r="T66" s="924" t="str">
        <f t="shared" si="4"/>
        <v/>
      </c>
      <c r="U66" s="1221" t="str">
        <f t="shared" si="13"/>
        <v/>
      </c>
      <c r="W66" s="1098">
        <f t="shared" si="5"/>
        <v>1</v>
      </c>
      <c r="X66" s="1098" t="e">
        <f>INDEX(OSReq,MATCH('Interior Lighting'!D66,LightingSpaceType,0))</f>
        <v>#N/A</v>
      </c>
      <c r="Y66" s="1098" t="e">
        <f t="shared" si="6"/>
        <v>#N/A</v>
      </c>
      <c r="Z66" s="1098" t="e">
        <f t="shared" si="7"/>
        <v>#N/A</v>
      </c>
      <c r="AA66" s="1098" t="e">
        <f>INDEX(Lookup!$O$9:$O$24,MATCH('Interior Lighting'!Z66,Lookup!$K$9:$K$24,0))</f>
        <v>#N/A</v>
      </c>
      <c r="AB66" s="1098" t="e">
        <f>IF(E66="A",INDEX(Lookup!$L$9:$L$24,MATCH(Z66,Lookup!$K$9:$K$24,0)),IF(E66="B",INDEX(Lookup!$M$9:$M$24,MATCH(Z66,Lookup!$K$9:$K$24,0)),IF(E66="C",INDEX(Lookup!$N$9:$N$24,MATCH(Z66,Lookup!$K$9:$K$24,0)),"N/A")))</f>
        <v>#N/A</v>
      </c>
    </row>
    <row r="67" spans="1:28">
      <c r="A67" s="1006"/>
      <c r="B67" s="69"/>
      <c r="C67" s="323"/>
      <c r="D67" s="323"/>
      <c r="E67" s="324" t="e">
        <f>INDEX(Lookup!$I$9:$I$24,MATCH('Interior Lighting'!D67,Lookup!$C$9:$C$24,0))</f>
        <v>#N/A</v>
      </c>
      <c r="F67" s="69"/>
      <c r="G67" s="69"/>
      <c r="H67" s="69"/>
      <c r="I67" s="324" t="e">
        <f t="shared" si="8"/>
        <v>#N/A</v>
      </c>
      <c r="J67" s="170"/>
      <c r="K67" s="325">
        <f t="shared" si="9"/>
        <v>0</v>
      </c>
      <c r="L67" s="326" t="e">
        <f t="shared" si="10"/>
        <v>#DIV/0!</v>
      </c>
      <c r="M67" s="326" t="str">
        <f>IF(H67="Yes",IF(D67='Drop Down'!$W$4,0.9*L67,IF(D67='Drop Down'!$W$5,0.9*L67,IF(D67='Drop Down'!$W$10,0.9*L67,IF(D67='Drop Down'!$W$16,0.9*L67,"No credit allowed.")))),"N/A")</f>
        <v>N/A</v>
      </c>
      <c r="N67" s="327" t="e">
        <f>IF($D$20="Space-By-Space (90.1-2013)",INDEX(LPD2013SS,MATCH('Interior Lighting'!D67,LightingSpaceType,0)*W67),INDEX(LPD2013WB,MATCH('Interior Lighting'!D67,LightingSpaceType,0)))</f>
        <v>#N/A</v>
      </c>
      <c r="O67" s="327">
        <f t="shared" si="11"/>
        <v>0</v>
      </c>
      <c r="P67" s="407" t="e">
        <f t="shared" si="1"/>
        <v>#N/A</v>
      </c>
      <c r="Q67" s="407" t="e">
        <f t="shared" si="12"/>
        <v>#N/A</v>
      </c>
      <c r="R67" s="407" t="e">
        <f t="shared" si="2"/>
        <v>#N/A</v>
      </c>
      <c r="S67" s="324">
        <f t="shared" si="3"/>
        <v>0</v>
      </c>
      <c r="T67" s="924" t="str">
        <f t="shared" si="4"/>
        <v/>
      </c>
      <c r="U67" s="1221" t="str">
        <f t="shared" si="13"/>
        <v/>
      </c>
      <c r="W67" s="1098">
        <f t="shared" si="5"/>
        <v>1</v>
      </c>
      <c r="X67" s="1098" t="e">
        <f>INDEX(OSReq,MATCH('Interior Lighting'!D67,LightingSpaceType,0))</f>
        <v>#N/A</v>
      </c>
      <c r="Y67" s="1098" t="e">
        <f t="shared" si="6"/>
        <v>#N/A</v>
      </c>
      <c r="Z67" s="1098" t="e">
        <f t="shared" si="7"/>
        <v>#N/A</v>
      </c>
      <c r="AA67" s="1098" t="e">
        <f>INDEX(Lookup!$O$9:$O$24,MATCH('Interior Lighting'!Z67,Lookup!$K$9:$K$24,0))</f>
        <v>#N/A</v>
      </c>
      <c r="AB67" s="1098" t="e">
        <f>IF(E67="A",INDEX(Lookup!$L$9:$L$24,MATCH(Z67,Lookup!$K$9:$K$24,0)),IF(E67="B",INDEX(Lookup!$M$9:$M$24,MATCH(Z67,Lookup!$K$9:$K$24,0)),IF(E67="C",INDEX(Lookup!$N$9:$N$24,MATCH(Z67,Lookup!$K$9:$K$24,0)),"N/A")))</f>
        <v>#N/A</v>
      </c>
    </row>
    <row r="68" spans="1:28">
      <c r="A68" s="1006"/>
      <c r="B68" s="69"/>
      <c r="C68" s="330"/>
      <c r="D68" s="323"/>
      <c r="E68" s="324" t="e">
        <f>INDEX(Lookup!$I$9:$I$24,MATCH('Interior Lighting'!D68,Lookup!$C$9:$C$24,0))</f>
        <v>#N/A</v>
      </c>
      <c r="F68" s="69"/>
      <c r="G68" s="69"/>
      <c r="H68" s="69"/>
      <c r="I68" s="324" t="e">
        <f t="shared" si="8"/>
        <v>#N/A</v>
      </c>
      <c r="J68" s="170"/>
      <c r="K68" s="325">
        <f t="shared" si="9"/>
        <v>0</v>
      </c>
      <c r="L68" s="326" t="e">
        <f t="shared" si="10"/>
        <v>#DIV/0!</v>
      </c>
      <c r="M68" s="326" t="str">
        <f>IF(H68="Yes",IF(D68='Drop Down'!$W$4,0.9*L68,IF(D68='Drop Down'!$W$5,0.9*L68,IF(D68='Drop Down'!$W$10,0.9*L68,IF(D68='Drop Down'!$W$16,0.9*L68,"No credit allowed.")))),"N/A")</f>
        <v>N/A</v>
      </c>
      <c r="N68" s="327" t="e">
        <f>IF($D$20="Space-By-Space (90.1-2013)",INDEX(LPD2013SS,MATCH('Interior Lighting'!D68,LightingSpaceType,0)*W68),INDEX(LPD2013WB,MATCH('Interior Lighting'!D68,LightingSpaceType,0)))</f>
        <v>#N/A</v>
      </c>
      <c r="O68" s="327">
        <f t="shared" si="11"/>
        <v>0</v>
      </c>
      <c r="P68" s="407" t="e">
        <f t="shared" si="1"/>
        <v>#N/A</v>
      </c>
      <c r="Q68" s="407" t="e">
        <f t="shared" si="12"/>
        <v>#N/A</v>
      </c>
      <c r="R68" s="407" t="e">
        <f t="shared" si="2"/>
        <v>#N/A</v>
      </c>
      <c r="S68" s="324">
        <f t="shared" si="3"/>
        <v>0</v>
      </c>
      <c r="T68" s="924" t="str">
        <f t="shared" si="4"/>
        <v/>
      </c>
      <c r="U68" s="1221" t="str">
        <f t="shared" si="13"/>
        <v/>
      </c>
      <c r="W68" s="1098">
        <f t="shared" si="5"/>
        <v>1</v>
      </c>
      <c r="X68" s="1098" t="e">
        <f>INDEX(OSReq,MATCH('Interior Lighting'!D68,LightingSpaceType,0))</f>
        <v>#N/A</v>
      </c>
      <c r="Y68" s="1098" t="e">
        <f t="shared" si="6"/>
        <v>#N/A</v>
      </c>
      <c r="Z68" s="1098" t="e">
        <f t="shared" si="7"/>
        <v>#N/A</v>
      </c>
      <c r="AA68" s="1098" t="e">
        <f>INDEX(Lookup!$O$9:$O$24,MATCH('Interior Lighting'!Z68,Lookup!$K$9:$K$24,0))</f>
        <v>#N/A</v>
      </c>
      <c r="AB68" s="1098" t="e">
        <f>IF(E68="A",INDEX(Lookup!$L$9:$L$24,MATCH(Z68,Lookup!$K$9:$K$24,0)),IF(E68="B",INDEX(Lookup!$M$9:$M$24,MATCH(Z68,Lookup!$K$9:$K$24,0)),IF(E68="C",INDEX(Lookup!$N$9:$N$24,MATCH(Z68,Lookup!$K$9:$K$24,0)),"N/A")))</f>
        <v>#N/A</v>
      </c>
    </row>
    <row r="69" spans="1:28">
      <c r="A69" s="1006"/>
      <c r="B69" s="69"/>
      <c r="C69" s="323"/>
      <c r="D69" s="323"/>
      <c r="E69" s="324" t="e">
        <f>INDEX(Lookup!$I$9:$I$24,MATCH('Interior Lighting'!D69,Lookup!$C$9:$C$24,0))</f>
        <v>#N/A</v>
      </c>
      <c r="F69" s="69"/>
      <c r="G69" s="69"/>
      <c r="H69" s="69"/>
      <c r="I69" s="324" t="e">
        <f t="shared" si="8"/>
        <v>#N/A</v>
      </c>
      <c r="J69" s="170"/>
      <c r="K69" s="325">
        <f t="shared" si="9"/>
        <v>0</v>
      </c>
      <c r="L69" s="326" t="e">
        <f t="shared" si="10"/>
        <v>#DIV/0!</v>
      </c>
      <c r="M69" s="326" t="str">
        <f>IF(H69="Yes",IF(D69='Drop Down'!$W$4,0.9*L69,IF(D69='Drop Down'!$W$5,0.9*L69,IF(D69='Drop Down'!$W$10,0.9*L69,IF(D69='Drop Down'!$W$16,0.9*L69,"No credit allowed.")))),"N/A")</f>
        <v>N/A</v>
      </c>
      <c r="N69" s="327" t="e">
        <f>IF($D$20="Space-By-Space (90.1-2013)",INDEX(LPD2013SS,MATCH('Interior Lighting'!D69,LightingSpaceType,0)*W69),INDEX(LPD2013WB,MATCH('Interior Lighting'!D69,LightingSpaceType,0)))</f>
        <v>#N/A</v>
      </c>
      <c r="O69" s="327">
        <f t="shared" si="11"/>
        <v>0</v>
      </c>
      <c r="P69" s="407" t="e">
        <f t="shared" si="1"/>
        <v>#N/A</v>
      </c>
      <c r="Q69" s="407" t="e">
        <f t="shared" si="12"/>
        <v>#N/A</v>
      </c>
      <c r="R69" s="407" t="e">
        <f t="shared" si="2"/>
        <v>#N/A</v>
      </c>
      <c r="S69" s="324">
        <f t="shared" si="3"/>
        <v>0</v>
      </c>
      <c r="T69" s="924" t="str">
        <f t="shared" si="4"/>
        <v/>
      </c>
      <c r="U69" s="1221" t="str">
        <f t="shared" si="13"/>
        <v/>
      </c>
      <c r="W69" s="1098">
        <f t="shared" si="5"/>
        <v>1</v>
      </c>
      <c r="X69" s="1098" t="e">
        <f>INDEX(OSReq,MATCH('Interior Lighting'!D69,LightingSpaceType,0))</f>
        <v>#N/A</v>
      </c>
      <c r="Y69" s="1098" t="e">
        <f t="shared" si="6"/>
        <v>#N/A</v>
      </c>
      <c r="Z69" s="1098" t="e">
        <f t="shared" si="7"/>
        <v>#N/A</v>
      </c>
      <c r="AA69" s="1098" t="e">
        <f>INDEX(Lookup!$O$9:$O$24,MATCH('Interior Lighting'!Z69,Lookup!$K$9:$K$24,0))</f>
        <v>#N/A</v>
      </c>
      <c r="AB69" s="1098" t="e">
        <f>IF(E69="A",INDEX(Lookup!$L$9:$L$24,MATCH(Z69,Lookup!$K$9:$K$24,0)),IF(E69="B",INDEX(Lookup!$M$9:$M$24,MATCH(Z69,Lookup!$K$9:$K$24,0)),IF(E69="C",INDEX(Lookup!$N$9:$N$24,MATCH(Z69,Lookup!$K$9:$K$24,0)),"N/A")))</f>
        <v>#N/A</v>
      </c>
    </row>
    <row r="70" spans="1:28">
      <c r="A70" s="1006"/>
      <c r="B70" s="69"/>
      <c r="C70" s="323"/>
      <c r="D70" s="323"/>
      <c r="E70" s="324" t="e">
        <f>INDEX(Lookup!$I$9:$I$24,MATCH('Interior Lighting'!D70,Lookup!$C$9:$C$24,0))</f>
        <v>#N/A</v>
      </c>
      <c r="F70" s="69"/>
      <c r="G70" s="69"/>
      <c r="H70" s="69"/>
      <c r="I70" s="324" t="e">
        <f t="shared" si="8"/>
        <v>#N/A</v>
      </c>
      <c r="J70" s="170"/>
      <c r="K70" s="325">
        <f t="shared" si="9"/>
        <v>0</v>
      </c>
      <c r="L70" s="326" t="e">
        <f t="shared" si="10"/>
        <v>#DIV/0!</v>
      </c>
      <c r="M70" s="326" t="str">
        <f>IF(H70="Yes",IF(D70='Drop Down'!$W$4,0.9*L70,IF(D70='Drop Down'!$W$5,0.9*L70,IF(D70='Drop Down'!$W$10,0.9*L70,IF(D70='Drop Down'!$W$16,0.9*L70,"No credit allowed.")))),"N/A")</f>
        <v>N/A</v>
      </c>
      <c r="N70" s="327" t="e">
        <f>IF($D$20="Space-By-Space (90.1-2013)",INDEX(LPD2013SS,MATCH('Interior Lighting'!D70,LightingSpaceType,0)*W70),INDEX(LPD2013WB,MATCH('Interior Lighting'!D70,LightingSpaceType,0)))</f>
        <v>#N/A</v>
      </c>
      <c r="O70" s="327">
        <f t="shared" si="11"/>
        <v>0</v>
      </c>
      <c r="P70" s="407" t="e">
        <f t="shared" si="1"/>
        <v>#N/A</v>
      </c>
      <c r="Q70" s="407" t="e">
        <f t="shared" si="12"/>
        <v>#N/A</v>
      </c>
      <c r="R70" s="407" t="e">
        <f t="shared" si="2"/>
        <v>#N/A</v>
      </c>
      <c r="S70" s="324">
        <f t="shared" si="3"/>
        <v>0</v>
      </c>
      <c r="T70" s="924" t="str">
        <f t="shared" si="4"/>
        <v/>
      </c>
      <c r="U70" s="1221" t="str">
        <f t="shared" si="13"/>
        <v/>
      </c>
      <c r="W70" s="1098">
        <f t="shared" si="5"/>
        <v>1</v>
      </c>
      <c r="X70" s="1098" t="e">
        <f>INDEX(OSReq,MATCH('Interior Lighting'!D70,LightingSpaceType,0))</f>
        <v>#N/A</v>
      </c>
      <c r="Y70" s="1098" t="e">
        <f t="shared" si="6"/>
        <v>#N/A</v>
      </c>
      <c r="Z70" s="1098" t="e">
        <f t="shared" si="7"/>
        <v>#N/A</v>
      </c>
      <c r="AA70" s="1098" t="e">
        <f>INDEX(Lookup!$O$9:$O$24,MATCH('Interior Lighting'!Z70,Lookup!$K$9:$K$24,0))</f>
        <v>#N/A</v>
      </c>
      <c r="AB70" s="1098" t="e">
        <f>IF(E70="A",INDEX(Lookup!$L$9:$L$24,MATCH(Z70,Lookup!$K$9:$K$24,0)),IF(E70="B",INDEX(Lookup!$M$9:$M$24,MATCH(Z70,Lookup!$K$9:$K$24,0)),IF(E70="C",INDEX(Lookup!$N$9:$N$24,MATCH(Z70,Lookup!$K$9:$K$24,0)),"N/A")))</f>
        <v>#N/A</v>
      </c>
    </row>
    <row r="71" spans="1:28">
      <c r="A71" s="1006"/>
      <c r="B71" s="69"/>
      <c r="C71" s="323"/>
      <c r="D71" s="323"/>
      <c r="E71" s="324" t="e">
        <f>INDEX(Lookup!$I$9:$I$24,MATCH('Interior Lighting'!D71,Lookup!$C$9:$C$24,0))</f>
        <v>#N/A</v>
      </c>
      <c r="F71" s="69"/>
      <c r="G71" s="69"/>
      <c r="H71" s="69"/>
      <c r="I71" s="324" t="e">
        <f t="shared" si="8"/>
        <v>#N/A</v>
      </c>
      <c r="J71" s="170"/>
      <c r="K71" s="325">
        <f t="shared" si="9"/>
        <v>0</v>
      </c>
      <c r="L71" s="326" t="e">
        <f t="shared" si="10"/>
        <v>#DIV/0!</v>
      </c>
      <c r="M71" s="326" t="str">
        <f>IF(H71="Yes",IF(D71='Drop Down'!$W$4,0.9*L71,IF(D71='Drop Down'!$W$5,0.9*L71,IF(D71='Drop Down'!$W$10,0.9*L71,IF(D71='Drop Down'!$W$16,0.9*L71,"No credit allowed.")))),"N/A")</f>
        <v>N/A</v>
      </c>
      <c r="N71" s="327" t="e">
        <f>IF($D$20="Space-By-Space (90.1-2013)",INDEX(LPD2013SS,MATCH('Interior Lighting'!D71,LightingSpaceType,0)*W71),INDEX(LPD2013WB,MATCH('Interior Lighting'!D71,LightingSpaceType,0)))</f>
        <v>#N/A</v>
      </c>
      <c r="O71" s="327">
        <f t="shared" si="11"/>
        <v>0</v>
      </c>
      <c r="P71" s="407" t="e">
        <f t="shared" si="1"/>
        <v>#N/A</v>
      </c>
      <c r="Q71" s="407" t="e">
        <f t="shared" si="12"/>
        <v>#N/A</v>
      </c>
      <c r="R71" s="407" t="e">
        <f t="shared" si="2"/>
        <v>#N/A</v>
      </c>
      <c r="S71" s="324">
        <f t="shared" si="3"/>
        <v>0</v>
      </c>
      <c r="T71" s="924" t="str">
        <f t="shared" si="4"/>
        <v/>
      </c>
      <c r="U71" s="1221" t="str">
        <f t="shared" si="13"/>
        <v/>
      </c>
      <c r="W71" s="1098">
        <f t="shared" si="5"/>
        <v>1</v>
      </c>
      <c r="X71" s="1098" t="e">
        <f>INDEX(OSReq,MATCH('Interior Lighting'!D71,LightingSpaceType,0))</f>
        <v>#N/A</v>
      </c>
      <c r="Y71" s="1098" t="e">
        <f t="shared" si="6"/>
        <v>#N/A</v>
      </c>
      <c r="Z71" s="1098" t="e">
        <f t="shared" si="7"/>
        <v>#N/A</v>
      </c>
      <c r="AA71" s="1098" t="e">
        <f>INDEX(Lookup!$O$9:$O$24,MATCH('Interior Lighting'!Z71,Lookup!$K$9:$K$24,0))</f>
        <v>#N/A</v>
      </c>
      <c r="AB71" s="1098" t="e">
        <f>IF(E71="A",INDEX(Lookup!$L$9:$L$24,MATCH(Z71,Lookup!$K$9:$K$24,0)),IF(E71="B",INDEX(Lookup!$M$9:$M$24,MATCH(Z71,Lookup!$K$9:$K$24,0)),IF(E71="C",INDEX(Lookup!$N$9:$N$24,MATCH(Z71,Lookup!$K$9:$K$24,0)),"N/A")))</f>
        <v>#N/A</v>
      </c>
    </row>
    <row r="72" spans="1:28">
      <c r="A72" s="1006"/>
      <c r="B72" s="69"/>
      <c r="C72" s="323"/>
      <c r="D72" s="323"/>
      <c r="E72" s="324" t="e">
        <f>INDEX(Lookup!$I$9:$I$24,MATCH('Interior Lighting'!D72,Lookup!$C$9:$C$24,0))</f>
        <v>#N/A</v>
      </c>
      <c r="F72" s="69"/>
      <c r="G72" s="69"/>
      <c r="H72" s="69"/>
      <c r="I72" s="324" t="e">
        <f t="shared" si="8"/>
        <v>#N/A</v>
      </c>
      <c r="J72" s="170"/>
      <c r="K72" s="325">
        <f t="shared" si="9"/>
        <v>0</v>
      </c>
      <c r="L72" s="326" t="e">
        <f t="shared" si="10"/>
        <v>#DIV/0!</v>
      </c>
      <c r="M72" s="326" t="str">
        <f>IF(H72="Yes",IF(D72='Drop Down'!$W$4,0.9*L72,IF(D72='Drop Down'!$W$5,0.9*L72,IF(D72='Drop Down'!$W$10,0.9*L72,IF(D72='Drop Down'!$W$16,0.9*L72,"No credit allowed.")))),"N/A")</f>
        <v>N/A</v>
      </c>
      <c r="N72" s="327" t="e">
        <f>IF($D$20="Space-By-Space (90.1-2013)",INDEX(LPD2013SS,MATCH('Interior Lighting'!D72,LightingSpaceType,0)*W72),INDEX(LPD2013WB,MATCH('Interior Lighting'!D72,LightingSpaceType,0)))</f>
        <v>#N/A</v>
      </c>
      <c r="O72" s="327">
        <f t="shared" si="11"/>
        <v>0</v>
      </c>
      <c r="P72" s="407" t="e">
        <f t="shared" si="1"/>
        <v>#N/A</v>
      </c>
      <c r="Q72" s="407" t="e">
        <f t="shared" si="12"/>
        <v>#N/A</v>
      </c>
      <c r="R72" s="407" t="e">
        <f t="shared" si="2"/>
        <v>#N/A</v>
      </c>
      <c r="S72" s="324">
        <f t="shared" si="3"/>
        <v>0</v>
      </c>
      <c r="T72" s="924" t="str">
        <f t="shared" si="4"/>
        <v/>
      </c>
      <c r="U72" s="1221" t="str">
        <f t="shared" si="13"/>
        <v/>
      </c>
      <c r="W72" s="1098">
        <f t="shared" si="5"/>
        <v>1</v>
      </c>
      <c r="X72" s="1098" t="e">
        <f>INDEX(OSReq,MATCH('Interior Lighting'!D72,LightingSpaceType,0))</f>
        <v>#N/A</v>
      </c>
      <c r="Y72" s="1098" t="e">
        <f t="shared" si="6"/>
        <v>#N/A</v>
      </c>
      <c r="Z72" s="1098" t="e">
        <f t="shared" si="7"/>
        <v>#N/A</v>
      </c>
      <c r="AA72" s="1098" t="e">
        <f>INDEX(Lookup!$O$9:$O$24,MATCH('Interior Lighting'!Z72,Lookup!$K$9:$K$24,0))</f>
        <v>#N/A</v>
      </c>
      <c r="AB72" s="1098" t="e">
        <f>IF(E72="A",INDEX(Lookup!$L$9:$L$24,MATCH(Z72,Lookup!$K$9:$K$24,0)),IF(E72="B",INDEX(Lookup!$M$9:$M$24,MATCH(Z72,Lookup!$K$9:$K$24,0)),IF(E72="C",INDEX(Lookup!$N$9:$N$24,MATCH(Z72,Lookup!$K$9:$K$24,0)),"N/A")))</f>
        <v>#N/A</v>
      </c>
    </row>
    <row r="73" spans="1:28">
      <c r="A73" s="1006"/>
      <c r="B73" s="69"/>
      <c r="C73" s="323"/>
      <c r="D73" s="323"/>
      <c r="E73" s="324" t="e">
        <f>INDEX(Lookup!$I$9:$I$24,MATCH('Interior Lighting'!D73,Lookup!$C$9:$C$24,0))</f>
        <v>#N/A</v>
      </c>
      <c r="F73" s="69"/>
      <c r="G73" s="69"/>
      <c r="H73" s="69"/>
      <c r="I73" s="324" t="e">
        <f t="shared" si="8"/>
        <v>#N/A</v>
      </c>
      <c r="J73" s="170"/>
      <c r="K73" s="325">
        <f t="shared" si="9"/>
        <v>0</v>
      </c>
      <c r="L73" s="326" t="e">
        <f t="shared" si="10"/>
        <v>#DIV/0!</v>
      </c>
      <c r="M73" s="326" t="str">
        <f>IF(H73="Yes",IF(D73='Drop Down'!$W$4,0.9*L73,IF(D73='Drop Down'!$W$5,0.9*L73,IF(D73='Drop Down'!$W$10,0.9*L73,IF(D73='Drop Down'!$W$16,0.9*L73,"No credit allowed.")))),"N/A")</f>
        <v>N/A</v>
      </c>
      <c r="N73" s="327" t="e">
        <f>IF($D$20="Space-By-Space (90.1-2013)",INDEX(LPD2013SS,MATCH('Interior Lighting'!D73,LightingSpaceType,0)*W73),INDEX(LPD2013WB,MATCH('Interior Lighting'!D73,LightingSpaceType,0)))</f>
        <v>#N/A</v>
      </c>
      <c r="O73" s="327">
        <f t="shared" si="11"/>
        <v>0</v>
      </c>
      <c r="P73" s="407" t="e">
        <f t="shared" si="1"/>
        <v>#N/A</v>
      </c>
      <c r="Q73" s="407" t="e">
        <f t="shared" si="12"/>
        <v>#N/A</v>
      </c>
      <c r="R73" s="407" t="e">
        <f t="shared" si="2"/>
        <v>#N/A</v>
      </c>
      <c r="S73" s="324">
        <f t="shared" si="3"/>
        <v>0</v>
      </c>
      <c r="T73" s="924" t="str">
        <f t="shared" si="4"/>
        <v/>
      </c>
      <c r="U73" s="1221" t="str">
        <f t="shared" si="13"/>
        <v/>
      </c>
      <c r="W73" s="1098">
        <f t="shared" si="5"/>
        <v>1</v>
      </c>
      <c r="X73" s="1098" t="e">
        <f>INDEX(OSReq,MATCH('Interior Lighting'!D73,LightingSpaceType,0))</f>
        <v>#N/A</v>
      </c>
      <c r="Y73" s="1098" t="e">
        <f t="shared" si="6"/>
        <v>#N/A</v>
      </c>
      <c r="Z73" s="1098" t="e">
        <f t="shared" si="7"/>
        <v>#N/A</v>
      </c>
      <c r="AA73" s="1098" t="e">
        <f>INDEX(Lookup!$O$9:$O$24,MATCH('Interior Lighting'!Z73,Lookup!$K$9:$K$24,0))</f>
        <v>#N/A</v>
      </c>
      <c r="AB73" s="1098" t="e">
        <f>IF(E73="A",INDEX(Lookup!$L$9:$L$24,MATCH(Z73,Lookup!$K$9:$K$24,0)),IF(E73="B",INDEX(Lookup!$M$9:$M$24,MATCH(Z73,Lookup!$K$9:$K$24,0)),IF(E73="C",INDEX(Lookup!$N$9:$N$24,MATCH(Z73,Lookup!$K$9:$K$24,0)),"N/A")))</f>
        <v>#N/A</v>
      </c>
    </row>
    <row r="74" spans="1:28">
      <c r="A74" s="1006"/>
      <c r="B74" s="69"/>
      <c r="C74" s="330"/>
      <c r="D74" s="323"/>
      <c r="E74" s="324" t="e">
        <f>INDEX(Lookup!$I$9:$I$24,MATCH('Interior Lighting'!D74,Lookup!$C$9:$C$24,0))</f>
        <v>#N/A</v>
      </c>
      <c r="F74" s="69"/>
      <c r="G74" s="69"/>
      <c r="H74" s="69"/>
      <c r="I74" s="324" t="e">
        <f t="shared" si="8"/>
        <v>#N/A</v>
      </c>
      <c r="J74" s="170"/>
      <c r="K74" s="325">
        <f t="shared" si="9"/>
        <v>0</v>
      </c>
      <c r="L74" s="326" t="e">
        <f t="shared" si="10"/>
        <v>#DIV/0!</v>
      </c>
      <c r="M74" s="326" t="str">
        <f>IF(H74="Yes",IF(D74='Drop Down'!$W$4,0.9*L74,IF(D74='Drop Down'!$W$5,0.9*L74,IF(D74='Drop Down'!$W$10,0.9*L74,IF(D74='Drop Down'!$W$16,0.9*L74,"No credit allowed.")))),"N/A")</f>
        <v>N/A</v>
      </c>
      <c r="N74" s="327" t="e">
        <f>IF($D$20="Space-By-Space (90.1-2013)",INDEX(LPD2013SS,MATCH('Interior Lighting'!D74,LightingSpaceType,0)*W74),INDEX(LPD2013WB,MATCH('Interior Lighting'!D74,LightingSpaceType,0)))</f>
        <v>#N/A</v>
      </c>
      <c r="O74" s="327">
        <f t="shared" si="11"/>
        <v>0</v>
      </c>
      <c r="P74" s="407" t="e">
        <f t="shared" si="1"/>
        <v>#N/A</v>
      </c>
      <c r="Q74" s="407" t="e">
        <f t="shared" si="12"/>
        <v>#N/A</v>
      </c>
      <c r="R74" s="407" t="e">
        <f t="shared" si="2"/>
        <v>#N/A</v>
      </c>
      <c r="S74" s="324">
        <f t="shared" si="3"/>
        <v>0</v>
      </c>
      <c r="T74" s="924" t="str">
        <f t="shared" si="4"/>
        <v/>
      </c>
      <c r="U74" s="1221" t="str">
        <f t="shared" si="13"/>
        <v/>
      </c>
      <c r="W74" s="1098">
        <f t="shared" si="5"/>
        <v>1</v>
      </c>
      <c r="X74" s="1098" t="e">
        <f>INDEX(OSReq,MATCH('Interior Lighting'!D74,LightingSpaceType,0))</f>
        <v>#N/A</v>
      </c>
      <c r="Y74" s="1098" t="e">
        <f t="shared" si="6"/>
        <v>#N/A</v>
      </c>
      <c r="Z74" s="1098" t="e">
        <f t="shared" si="7"/>
        <v>#N/A</v>
      </c>
      <c r="AA74" s="1098" t="e">
        <f>INDEX(Lookup!$O$9:$O$24,MATCH('Interior Lighting'!Z74,Lookup!$K$9:$K$24,0))</f>
        <v>#N/A</v>
      </c>
      <c r="AB74" s="1098" t="e">
        <f>IF(E74="A",INDEX(Lookup!$L$9:$L$24,MATCH(Z74,Lookup!$K$9:$K$24,0)),IF(E74="B",INDEX(Lookup!$M$9:$M$24,MATCH(Z74,Lookup!$K$9:$K$24,0)),IF(E74="C",INDEX(Lookup!$N$9:$N$24,MATCH(Z74,Lookup!$K$9:$K$24,0)),"N/A")))</f>
        <v>#N/A</v>
      </c>
    </row>
    <row r="75" spans="1:28" ht="12" customHeight="1">
      <c r="A75" s="1006"/>
      <c r="B75" s="69"/>
      <c r="C75" s="323"/>
      <c r="D75" s="323"/>
      <c r="E75" s="324" t="e">
        <f>INDEX(Lookup!$I$9:$I$24,MATCH('Interior Lighting'!D75,Lookup!$C$9:$C$24,0))</f>
        <v>#N/A</v>
      </c>
      <c r="F75" s="69"/>
      <c r="G75" s="69"/>
      <c r="H75" s="69"/>
      <c r="I75" s="324" t="e">
        <f t="shared" si="8"/>
        <v>#N/A</v>
      </c>
      <c r="J75" s="170"/>
      <c r="K75" s="325">
        <f t="shared" si="9"/>
        <v>0</v>
      </c>
      <c r="L75" s="326" t="e">
        <f t="shared" si="10"/>
        <v>#DIV/0!</v>
      </c>
      <c r="M75" s="326" t="str">
        <f>IF(H75="Yes",IF(D75='Drop Down'!$W$4,0.9*L75,IF(D75='Drop Down'!$W$5,0.9*L75,IF(D75='Drop Down'!$W$10,0.9*L75,IF(D75='Drop Down'!$W$16,0.9*L75,"No credit allowed.")))),"N/A")</f>
        <v>N/A</v>
      </c>
      <c r="N75" s="327" t="e">
        <f>IF($D$20="Space-By-Space (90.1-2013)",INDEX(LPD2013SS,MATCH('Interior Lighting'!D75,LightingSpaceType,0)*W75),INDEX(LPD2013WB,MATCH('Interior Lighting'!D75,LightingSpaceType,0)))</f>
        <v>#N/A</v>
      </c>
      <c r="O75" s="327">
        <f t="shared" si="11"/>
        <v>0</v>
      </c>
      <c r="P75" s="407" t="e">
        <f t="shared" si="1"/>
        <v>#N/A</v>
      </c>
      <c r="Q75" s="407" t="e">
        <f t="shared" si="12"/>
        <v>#N/A</v>
      </c>
      <c r="R75" s="407" t="e">
        <f t="shared" si="2"/>
        <v>#N/A</v>
      </c>
      <c r="S75" s="324">
        <f t="shared" si="3"/>
        <v>0</v>
      </c>
      <c r="T75" s="924" t="str">
        <f t="shared" si="4"/>
        <v/>
      </c>
      <c r="U75" s="1221" t="str">
        <f t="shared" si="13"/>
        <v/>
      </c>
      <c r="W75" s="1098">
        <f t="shared" si="5"/>
        <v>1</v>
      </c>
      <c r="X75" s="1098" t="e">
        <f>INDEX(OSReq,MATCH('Interior Lighting'!D75,LightingSpaceType,0))</f>
        <v>#N/A</v>
      </c>
      <c r="Y75" s="1098" t="e">
        <f t="shared" si="6"/>
        <v>#N/A</v>
      </c>
      <c r="Z75" s="1098" t="e">
        <f t="shared" si="7"/>
        <v>#N/A</v>
      </c>
      <c r="AA75" s="1098" t="e">
        <f>INDEX(Lookup!$O$9:$O$24,MATCH('Interior Lighting'!Z75,Lookup!$K$9:$K$24,0))</f>
        <v>#N/A</v>
      </c>
      <c r="AB75" s="1098" t="e">
        <f>IF(E75="A",INDEX(Lookup!$L$9:$L$24,MATCH(Z75,Lookup!$K$9:$K$24,0)),IF(E75="B",INDEX(Lookup!$M$9:$M$24,MATCH(Z75,Lookup!$K$9:$K$24,0)),IF(E75="C",INDEX(Lookup!$N$9:$N$24,MATCH(Z75,Lookup!$K$9:$K$24,0)),"N/A")))</f>
        <v>#N/A</v>
      </c>
    </row>
    <row r="76" spans="1:28">
      <c r="A76" s="1006"/>
      <c r="B76" s="69"/>
      <c r="C76" s="323"/>
      <c r="D76" s="323"/>
      <c r="E76" s="324" t="e">
        <f>INDEX(Lookup!$I$9:$I$24,MATCH('Interior Lighting'!D76,Lookup!$C$9:$C$24,0))</f>
        <v>#N/A</v>
      </c>
      <c r="F76" s="69"/>
      <c r="G76" s="69"/>
      <c r="H76" s="69"/>
      <c r="I76" s="324" t="e">
        <f t="shared" si="8"/>
        <v>#N/A</v>
      </c>
      <c r="J76" s="170"/>
      <c r="K76" s="325">
        <f t="shared" si="9"/>
        <v>0</v>
      </c>
      <c r="L76" s="326" t="e">
        <f t="shared" si="10"/>
        <v>#DIV/0!</v>
      </c>
      <c r="M76" s="326" t="str">
        <f>IF(H76="Yes",IF(D76='Drop Down'!$W$4,0.9*L76,IF(D76='Drop Down'!$W$5,0.9*L76,IF(D76='Drop Down'!$W$10,0.9*L76,IF(D76='Drop Down'!$W$16,0.9*L76,"No credit allowed.")))),"N/A")</f>
        <v>N/A</v>
      </c>
      <c r="N76" s="327" t="e">
        <f>IF($D$20="Space-By-Space (90.1-2013)",INDEX(LPD2013SS,MATCH('Interior Lighting'!D76,LightingSpaceType,0)*W76),INDEX(LPD2013WB,MATCH('Interior Lighting'!D76,LightingSpaceType,0)))</f>
        <v>#N/A</v>
      </c>
      <c r="O76" s="327">
        <f t="shared" si="11"/>
        <v>0</v>
      </c>
      <c r="P76" s="407" t="e">
        <f t="shared" si="1"/>
        <v>#N/A</v>
      </c>
      <c r="Q76" s="407" t="e">
        <f t="shared" si="12"/>
        <v>#N/A</v>
      </c>
      <c r="R76" s="407" t="e">
        <f t="shared" si="2"/>
        <v>#N/A</v>
      </c>
      <c r="S76" s="324">
        <f t="shared" si="3"/>
        <v>0</v>
      </c>
      <c r="T76" s="924" t="str">
        <f t="shared" si="4"/>
        <v/>
      </c>
      <c r="U76" s="1221" t="str">
        <f t="shared" si="13"/>
        <v/>
      </c>
      <c r="W76" s="1098">
        <f t="shared" si="5"/>
        <v>1</v>
      </c>
      <c r="X76" s="1098" t="e">
        <f>INDEX(OSReq,MATCH('Interior Lighting'!D76,LightingSpaceType,0))</f>
        <v>#N/A</v>
      </c>
      <c r="Y76" s="1098" t="e">
        <f t="shared" si="6"/>
        <v>#N/A</v>
      </c>
      <c r="Z76" s="1098" t="e">
        <f t="shared" si="7"/>
        <v>#N/A</v>
      </c>
      <c r="AA76" s="1098" t="e">
        <f>INDEX(Lookup!$O$9:$O$24,MATCH('Interior Lighting'!Z76,Lookup!$K$9:$K$24,0))</f>
        <v>#N/A</v>
      </c>
      <c r="AB76" s="1098" t="e">
        <f>IF(E76="A",INDEX(Lookup!$L$9:$L$24,MATCH(Z76,Lookup!$K$9:$K$24,0)),IF(E76="B",INDEX(Lookup!$M$9:$M$24,MATCH(Z76,Lookup!$K$9:$K$24,0)),IF(E76="C",INDEX(Lookup!$N$9:$N$24,MATCH(Z76,Lookup!$K$9:$K$24,0)),"N/A")))</f>
        <v>#N/A</v>
      </c>
    </row>
    <row r="77" spans="1:28">
      <c r="A77" s="1006"/>
      <c r="B77" s="69"/>
      <c r="C77" s="323"/>
      <c r="D77" s="323"/>
      <c r="E77" s="324" t="e">
        <f>INDEX(Lookup!$I$9:$I$24,MATCH('Interior Lighting'!D77,Lookup!$C$9:$C$24,0))</f>
        <v>#N/A</v>
      </c>
      <c r="F77" s="69"/>
      <c r="G77" s="69"/>
      <c r="H77" s="69"/>
      <c r="I77" s="324" t="e">
        <f t="shared" si="8"/>
        <v>#N/A</v>
      </c>
      <c r="J77" s="170"/>
      <c r="K77" s="325">
        <f t="shared" si="9"/>
        <v>0</v>
      </c>
      <c r="L77" s="326" t="e">
        <f t="shared" si="10"/>
        <v>#DIV/0!</v>
      </c>
      <c r="M77" s="326" t="str">
        <f>IF(H77="Yes",IF(D77='Drop Down'!$W$4,0.9*L77,IF(D77='Drop Down'!$W$5,0.9*L77,IF(D77='Drop Down'!$W$10,0.9*L77,IF(D77='Drop Down'!$W$16,0.9*L77,"No credit allowed.")))),"N/A")</f>
        <v>N/A</v>
      </c>
      <c r="N77" s="327" t="e">
        <f>IF($D$20="Space-By-Space (90.1-2013)",INDEX(LPD2013SS,MATCH('Interior Lighting'!D77,LightingSpaceType,0)*W77),INDEX(LPD2013WB,MATCH('Interior Lighting'!D77,LightingSpaceType,0)))</f>
        <v>#N/A</v>
      </c>
      <c r="O77" s="327">
        <f t="shared" si="11"/>
        <v>0</v>
      </c>
      <c r="P77" s="407" t="e">
        <f t="shared" si="1"/>
        <v>#N/A</v>
      </c>
      <c r="Q77" s="407" t="e">
        <f t="shared" si="12"/>
        <v>#N/A</v>
      </c>
      <c r="R77" s="407" t="e">
        <f t="shared" si="2"/>
        <v>#N/A</v>
      </c>
      <c r="S77" s="324">
        <f t="shared" si="3"/>
        <v>0</v>
      </c>
      <c r="T77" s="924" t="str">
        <f t="shared" si="4"/>
        <v/>
      </c>
      <c r="U77" s="1221" t="str">
        <f t="shared" si="13"/>
        <v/>
      </c>
      <c r="W77" s="1098">
        <f t="shared" si="5"/>
        <v>1</v>
      </c>
      <c r="X77" s="1098" t="e">
        <f>INDEX(OSReq,MATCH('Interior Lighting'!D77,LightingSpaceType,0))</f>
        <v>#N/A</v>
      </c>
      <c r="Y77" s="1098" t="e">
        <f t="shared" si="6"/>
        <v>#N/A</v>
      </c>
      <c r="Z77" s="1098" t="e">
        <f t="shared" si="7"/>
        <v>#N/A</v>
      </c>
      <c r="AA77" s="1098" t="e">
        <f>INDEX(Lookup!$O$9:$O$24,MATCH('Interior Lighting'!Z77,Lookup!$K$9:$K$24,0))</f>
        <v>#N/A</v>
      </c>
      <c r="AB77" s="1098" t="e">
        <f>IF(E77="A",INDEX(Lookup!$L$9:$L$24,MATCH(Z77,Lookup!$K$9:$K$24,0)),IF(E77="B",INDEX(Lookup!$M$9:$M$24,MATCH(Z77,Lookup!$K$9:$K$24,0)),IF(E77="C",INDEX(Lookup!$N$9:$N$24,MATCH(Z77,Lookup!$K$9:$K$24,0)),"N/A")))</f>
        <v>#N/A</v>
      </c>
    </row>
    <row r="78" spans="1:28">
      <c r="A78" s="1006"/>
      <c r="B78" s="69"/>
      <c r="C78" s="323"/>
      <c r="D78" s="323"/>
      <c r="E78" s="324" t="e">
        <f>INDEX(Lookup!$I$9:$I$24,MATCH('Interior Lighting'!D78,Lookup!$C$9:$C$24,0))</f>
        <v>#N/A</v>
      </c>
      <c r="F78" s="69"/>
      <c r="G78" s="69"/>
      <c r="H78" s="69"/>
      <c r="I78" s="324" t="e">
        <f t="shared" si="8"/>
        <v>#N/A</v>
      </c>
      <c r="J78" s="170"/>
      <c r="K78" s="325">
        <f t="shared" si="9"/>
        <v>0</v>
      </c>
      <c r="L78" s="326" t="e">
        <f t="shared" si="10"/>
        <v>#DIV/0!</v>
      </c>
      <c r="M78" s="326" t="str">
        <f>IF(H78="Yes",IF(D78='Drop Down'!$W$4,0.9*L78,IF(D78='Drop Down'!$W$5,0.9*L78,IF(D78='Drop Down'!$W$10,0.9*L78,IF(D78='Drop Down'!$W$16,0.9*L78,"No credit allowed.")))),"N/A")</f>
        <v>N/A</v>
      </c>
      <c r="N78" s="327" t="e">
        <f>IF($D$20="Space-By-Space (90.1-2013)",INDEX(LPD2013SS,MATCH('Interior Lighting'!D78,LightingSpaceType,0)*W78),INDEX(LPD2013WB,MATCH('Interior Lighting'!D78,LightingSpaceType,0)))</f>
        <v>#N/A</v>
      </c>
      <c r="O78" s="327">
        <f t="shared" si="11"/>
        <v>0</v>
      </c>
      <c r="P78" s="407" t="e">
        <f t="shared" si="1"/>
        <v>#N/A</v>
      </c>
      <c r="Q78" s="407" t="e">
        <f t="shared" si="12"/>
        <v>#N/A</v>
      </c>
      <c r="R78" s="407" t="e">
        <f t="shared" si="2"/>
        <v>#N/A</v>
      </c>
      <c r="S78" s="324">
        <f t="shared" si="3"/>
        <v>0</v>
      </c>
      <c r="T78" s="924" t="str">
        <f t="shared" si="4"/>
        <v/>
      </c>
      <c r="U78" s="1221" t="str">
        <f t="shared" si="13"/>
        <v/>
      </c>
      <c r="W78" s="1098">
        <f t="shared" si="5"/>
        <v>1</v>
      </c>
      <c r="X78" s="1098" t="e">
        <f>INDEX(OSReq,MATCH('Interior Lighting'!D78,LightingSpaceType,0))</f>
        <v>#N/A</v>
      </c>
      <c r="Y78" s="1098" t="e">
        <f t="shared" si="6"/>
        <v>#N/A</v>
      </c>
      <c r="Z78" s="1098" t="e">
        <f t="shared" si="7"/>
        <v>#N/A</v>
      </c>
      <c r="AA78" s="1098" t="e">
        <f>INDEX(Lookup!$O$9:$O$24,MATCH('Interior Lighting'!Z78,Lookup!$K$9:$K$24,0))</f>
        <v>#N/A</v>
      </c>
      <c r="AB78" s="1098" t="e">
        <f>IF(E78="A",INDEX(Lookup!$L$9:$L$24,MATCH(Z78,Lookup!$K$9:$K$24,0)),IF(E78="B",INDEX(Lookup!$M$9:$M$24,MATCH(Z78,Lookup!$K$9:$K$24,0)),IF(E78="C",INDEX(Lookup!$N$9:$N$24,MATCH(Z78,Lookup!$K$9:$K$24,0)),"N/A")))</f>
        <v>#N/A</v>
      </c>
    </row>
    <row r="79" spans="1:28">
      <c r="A79" s="338"/>
      <c r="B79" s="69"/>
      <c r="C79" s="323"/>
      <c r="D79" s="323"/>
      <c r="E79" s="324" t="e">
        <f>INDEX(Lookup!$I$9:$I$24,MATCH('Interior Lighting'!D79,Lookup!$C$9:$C$24,0))</f>
        <v>#N/A</v>
      </c>
      <c r="F79" s="69"/>
      <c r="G79" s="69"/>
      <c r="H79" s="69"/>
      <c r="I79" s="324" t="e">
        <f t="shared" si="8"/>
        <v>#N/A</v>
      </c>
      <c r="J79" s="170"/>
      <c r="K79" s="325">
        <f t="shared" si="9"/>
        <v>0</v>
      </c>
      <c r="L79" s="326" t="e">
        <f t="shared" si="10"/>
        <v>#DIV/0!</v>
      </c>
      <c r="M79" s="326" t="str">
        <f>IF(H79="Yes",IF(D79='Drop Down'!$W$4,0.9*L79,IF(D79='Drop Down'!$W$5,0.9*L79,IF(D79='Drop Down'!$W$10,0.9*L79,IF(D79='Drop Down'!$W$16,0.9*L79,"No credit allowed.")))),"N/A")</f>
        <v>N/A</v>
      </c>
      <c r="N79" s="327" t="e">
        <f>IF($D$20="Space-By-Space (90.1-2013)",INDEX(LPD2013SS,MATCH('Interior Lighting'!D79,LightingSpaceType,0)*W79),INDEX(LPD2013WB,MATCH('Interior Lighting'!D79,LightingSpaceType,0)))</f>
        <v>#N/A</v>
      </c>
      <c r="O79" s="327">
        <f t="shared" si="11"/>
        <v>0</v>
      </c>
      <c r="P79" s="407" t="e">
        <f t="shared" si="1"/>
        <v>#N/A</v>
      </c>
      <c r="Q79" s="407" t="e">
        <f t="shared" si="12"/>
        <v>#N/A</v>
      </c>
      <c r="R79" s="407" t="e">
        <f t="shared" si="2"/>
        <v>#N/A</v>
      </c>
      <c r="S79" s="324">
        <f t="shared" si="3"/>
        <v>0</v>
      </c>
      <c r="T79" s="924" t="str">
        <f t="shared" si="4"/>
        <v/>
      </c>
      <c r="U79" s="1221" t="str">
        <f t="shared" si="13"/>
        <v/>
      </c>
      <c r="W79" s="1098">
        <f t="shared" si="5"/>
        <v>1</v>
      </c>
      <c r="X79" s="1098" t="e">
        <f>INDEX(OSReq,MATCH('Interior Lighting'!D79,LightingSpaceType,0))</f>
        <v>#N/A</v>
      </c>
      <c r="Y79" s="1098" t="e">
        <f t="shared" si="6"/>
        <v>#N/A</v>
      </c>
      <c r="Z79" s="1098" t="e">
        <f t="shared" si="7"/>
        <v>#N/A</v>
      </c>
      <c r="AA79" s="1098" t="e">
        <f>INDEX(Lookup!$O$9:$O$24,MATCH('Interior Lighting'!Z79,Lookup!$K$9:$K$24,0))</f>
        <v>#N/A</v>
      </c>
      <c r="AB79" s="1098" t="e">
        <f>IF(E79="A",INDEX(Lookup!$L$9:$L$24,MATCH(Z79,Lookup!$K$9:$K$24,0)),IF(E79="B",INDEX(Lookup!$M$9:$M$24,MATCH(Z79,Lookup!$K$9:$K$24,0)),IF(E79="C",INDEX(Lookup!$N$9:$N$24,MATCH(Z79,Lookup!$K$9:$K$24,0)),"N/A")))</f>
        <v>#N/A</v>
      </c>
    </row>
    <row r="80" spans="1:28">
      <c r="A80" s="338"/>
      <c r="B80" s="69"/>
      <c r="C80" s="323"/>
      <c r="D80" s="323"/>
      <c r="E80" s="324" t="e">
        <f>INDEX(Lookup!$I$9:$I$24,MATCH('Interior Lighting'!D80,Lookup!$C$9:$C$24,0))</f>
        <v>#N/A</v>
      </c>
      <c r="F80" s="69"/>
      <c r="G80" s="69"/>
      <c r="H80" s="69"/>
      <c r="I80" s="324" t="e">
        <f t="shared" si="8"/>
        <v>#N/A</v>
      </c>
      <c r="J80" s="170"/>
      <c r="K80" s="325">
        <f t="shared" si="9"/>
        <v>0</v>
      </c>
      <c r="L80" s="326" t="e">
        <f t="shared" si="10"/>
        <v>#DIV/0!</v>
      </c>
      <c r="M80" s="326" t="str">
        <f>IF(H80="Yes",IF(D80='Drop Down'!$W$4,0.9*L80,IF(D80='Drop Down'!$W$5,0.9*L80,IF(D80='Drop Down'!$W$10,0.9*L80,IF(D80='Drop Down'!$W$16,0.9*L80,"No credit allowed.")))),"N/A")</f>
        <v>N/A</v>
      </c>
      <c r="N80" s="327" t="e">
        <f>IF($D$20="Space-By-Space (90.1-2013)",INDEX(LPD2013SS,MATCH('Interior Lighting'!D80,LightingSpaceType,0)*W80),INDEX(LPD2013WB,MATCH('Interior Lighting'!D80,LightingSpaceType,0)))</f>
        <v>#N/A</v>
      </c>
      <c r="O80" s="327">
        <f t="shared" si="11"/>
        <v>0</v>
      </c>
      <c r="P80" s="407" t="e">
        <f t="shared" si="1"/>
        <v>#N/A</v>
      </c>
      <c r="Q80" s="407" t="e">
        <f t="shared" si="12"/>
        <v>#N/A</v>
      </c>
      <c r="R80" s="407" t="e">
        <f t="shared" si="2"/>
        <v>#N/A</v>
      </c>
      <c r="S80" s="324">
        <f t="shared" si="3"/>
        <v>0</v>
      </c>
      <c r="T80" s="924" t="str">
        <f t="shared" si="4"/>
        <v/>
      </c>
      <c r="U80" s="1221" t="str">
        <f t="shared" si="13"/>
        <v/>
      </c>
      <c r="W80" s="1098">
        <f t="shared" si="5"/>
        <v>1</v>
      </c>
      <c r="X80" s="1098" t="e">
        <f>INDEX(OSReq,MATCH('Interior Lighting'!D80,LightingSpaceType,0))</f>
        <v>#N/A</v>
      </c>
      <c r="Y80" s="1098" t="e">
        <f t="shared" si="6"/>
        <v>#N/A</v>
      </c>
      <c r="Z80" s="1098" t="e">
        <f t="shared" si="7"/>
        <v>#N/A</v>
      </c>
      <c r="AA80" s="1098" t="e">
        <f>INDEX(Lookup!$O$9:$O$24,MATCH('Interior Lighting'!Z80,Lookup!$K$9:$K$24,0))</f>
        <v>#N/A</v>
      </c>
      <c r="AB80" s="1098" t="e">
        <f>IF(E80="A",INDEX(Lookup!$L$9:$L$24,MATCH(Z80,Lookup!$K$9:$K$24,0)),IF(E80="B",INDEX(Lookup!$M$9:$M$24,MATCH(Z80,Lookup!$K$9:$K$24,0)),IF(E80="C",INDEX(Lookup!$N$9:$N$24,MATCH(Z80,Lookup!$K$9:$K$24,0)),"N/A")))</f>
        <v>#N/A</v>
      </c>
    </row>
    <row r="81" spans="1:28">
      <c r="A81" s="1103"/>
      <c r="B81" s="69"/>
      <c r="C81" s="323"/>
      <c r="D81" s="323"/>
      <c r="E81" s="324" t="e">
        <f>INDEX(Lookup!$I$9:$I$24,MATCH('Interior Lighting'!D81,Lookup!$C$9:$C$24,0))</f>
        <v>#N/A</v>
      </c>
      <c r="F81" s="69"/>
      <c r="G81" s="69"/>
      <c r="H81" s="69"/>
      <c r="I81" s="324" t="e">
        <f t="shared" si="8"/>
        <v>#N/A</v>
      </c>
      <c r="J81" s="170"/>
      <c r="K81" s="325">
        <f t="shared" si="9"/>
        <v>0</v>
      </c>
      <c r="L81" s="326" t="e">
        <f t="shared" si="10"/>
        <v>#DIV/0!</v>
      </c>
      <c r="M81" s="326" t="str">
        <f>IF(H81="Yes",IF(D81='Drop Down'!$W$4,0.9*L81,IF(D81='Drop Down'!$W$5,0.9*L81,IF(D81='Drop Down'!$W$10,0.9*L81,IF(D81='Drop Down'!$W$16,0.9*L81,"No credit allowed.")))),"N/A")</f>
        <v>N/A</v>
      </c>
      <c r="N81" s="327" t="e">
        <f>IF($D$20="Space-By-Space (90.1-2013)",INDEX(LPD2013SS,MATCH('Interior Lighting'!D81,LightingSpaceType,0)*W81),INDEX(LPD2013WB,MATCH('Interior Lighting'!D81,LightingSpaceType,0)))</f>
        <v>#N/A</v>
      </c>
      <c r="O81" s="327">
        <f t="shared" si="11"/>
        <v>0</v>
      </c>
      <c r="P81" s="407" t="e">
        <f t="shared" si="1"/>
        <v>#N/A</v>
      </c>
      <c r="Q81" s="407" t="e">
        <f t="shared" si="12"/>
        <v>#N/A</v>
      </c>
      <c r="R81" s="407" t="e">
        <f t="shared" si="2"/>
        <v>#N/A</v>
      </c>
      <c r="S81" s="324">
        <f t="shared" si="3"/>
        <v>0</v>
      </c>
      <c r="T81" s="924" t="str">
        <f t="shared" si="4"/>
        <v/>
      </c>
      <c r="U81" s="1221" t="str">
        <f t="shared" si="13"/>
        <v/>
      </c>
      <c r="W81" s="1098">
        <f t="shared" si="5"/>
        <v>1</v>
      </c>
      <c r="X81" s="1098" t="e">
        <f>INDEX(OSReq,MATCH('Interior Lighting'!D81,LightingSpaceType,0))</f>
        <v>#N/A</v>
      </c>
      <c r="Y81" s="1098" t="e">
        <f t="shared" si="6"/>
        <v>#N/A</v>
      </c>
      <c r="Z81" s="1098" t="e">
        <f t="shared" si="7"/>
        <v>#N/A</v>
      </c>
      <c r="AA81" s="1098" t="e">
        <f>INDEX(Lookup!$O$9:$O$24,MATCH('Interior Lighting'!Z81,Lookup!$K$9:$K$24,0))</f>
        <v>#N/A</v>
      </c>
      <c r="AB81" s="1098" t="e">
        <f>IF(E81="A",INDEX(Lookup!$L$9:$L$24,MATCH(Z81,Lookup!$K$9:$K$24,0)),IF(E81="B",INDEX(Lookup!$M$9:$M$24,MATCH(Z81,Lookup!$K$9:$K$24,0)),IF(E81="C",INDEX(Lookup!$N$9:$N$24,MATCH(Z81,Lookup!$K$9:$K$24,0)),"N/A")))</f>
        <v>#N/A</v>
      </c>
    </row>
    <row r="82" spans="1:28">
      <c r="A82" s="338"/>
      <c r="B82" s="69"/>
      <c r="C82" s="323"/>
      <c r="D82" s="323"/>
      <c r="E82" s="324" t="e">
        <f>INDEX(Lookup!$I$9:$I$24,MATCH('Interior Lighting'!D82,Lookup!$C$9:$C$24,0))</f>
        <v>#N/A</v>
      </c>
      <c r="F82" s="69"/>
      <c r="G82" s="69"/>
      <c r="H82" s="69"/>
      <c r="I82" s="324" t="e">
        <f t="shared" si="8"/>
        <v>#N/A</v>
      </c>
      <c r="J82" s="170"/>
      <c r="K82" s="325">
        <f t="shared" si="9"/>
        <v>0</v>
      </c>
      <c r="L82" s="326" t="e">
        <f t="shared" si="10"/>
        <v>#DIV/0!</v>
      </c>
      <c r="M82" s="326" t="str">
        <f>IF(H82="Yes",IF(D82='Drop Down'!$W$4,0.9*L82,IF(D82='Drop Down'!$W$5,0.9*L82,IF(D82='Drop Down'!$W$10,0.9*L82,IF(D82='Drop Down'!$W$16,0.9*L82,"No credit allowed.")))),"N/A")</f>
        <v>N/A</v>
      </c>
      <c r="N82" s="327" t="e">
        <f>IF($D$20="Space-By-Space (90.1-2013)",INDEX(LPD2013SS,MATCH('Interior Lighting'!D82,LightingSpaceType,0)*W82),INDEX(LPD2013WB,MATCH('Interior Lighting'!D82,LightingSpaceType,0)))</f>
        <v>#N/A</v>
      </c>
      <c r="O82" s="327">
        <f t="shared" si="11"/>
        <v>0</v>
      </c>
      <c r="P82" s="407" t="e">
        <f t="shared" si="1"/>
        <v>#N/A</v>
      </c>
      <c r="Q82" s="407" t="e">
        <f t="shared" si="12"/>
        <v>#N/A</v>
      </c>
      <c r="R82" s="407" t="e">
        <f t="shared" si="2"/>
        <v>#N/A</v>
      </c>
      <c r="S82" s="324">
        <f t="shared" si="3"/>
        <v>0</v>
      </c>
      <c r="T82" s="924" t="str">
        <f t="shared" si="4"/>
        <v/>
      </c>
      <c r="U82" s="1221" t="str">
        <f t="shared" si="13"/>
        <v/>
      </c>
      <c r="W82" s="1098">
        <f t="shared" si="5"/>
        <v>1</v>
      </c>
      <c r="X82" s="1098" t="e">
        <f>INDEX(OSReq,MATCH('Interior Lighting'!D82,LightingSpaceType,0))</f>
        <v>#N/A</v>
      </c>
      <c r="Y82" s="1098" t="e">
        <f t="shared" si="6"/>
        <v>#N/A</v>
      </c>
      <c r="Z82" s="1098" t="e">
        <f t="shared" si="7"/>
        <v>#N/A</v>
      </c>
      <c r="AA82" s="1098" t="e">
        <f>INDEX(Lookup!$O$9:$O$24,MATCH('Interior Lighting'!Z82,Lookup!$K$9:$K$24,0))</f>
        <v>#N/A</v>
      </c>
      <c r="AB82" s="1098" t="e">
        <f>IF(E82="A",INDEX(Lookup!$L$9:$L$24,MATCH(Z82,Lookup!$K$9:$K$24,0)),IF(E82="B",INDEX(Lookup!$M$9:$M$24,MATCH(Z82,Lookup!$K$9:$K$24,0)),IF(E82="C",INDEX(Lookup!$N$9:$N$24,MATCH(Z82,Lookup!$K$9:$K$24,0)),"N/A")))</f>
        <v>#N/A</v>
      </c>
    </row>
    <row r="83" spans="1:28">
      <c r="A83" s="338"/>
      <c r="B83" s="69"/>
      <c r="C83" s="323"/>
      <c r="D83" s="323"/>
      <c r="E83" s="324" t="e">
        <f>INDEX(Lookup!$I$9:$I$24,MATCH('Interior Lighting'!D83,Lookup!$C$9:$C$24,0))</f>
        <v>#N/A</v>
      </c>
      <c r="F83" s="69"/>
      <c r="G83" s="69"/>
      <c r="H83" s="69"/>
      <c r="I83" s="324" t="e">
        <f t="shared" si="8"/>
        <v>#N/A</v>
      </c>
      <c r="J83" s="170"/>
      <c r="K83" s="325">
        <f t="shared" si="9"/>
        <v>0</v>
      </c>
      <c r="L83" s="326" t="e">
        <f t="shared" si="10"/>
        <v>#DIV/0!</v>
      </c>
      <c r="M83" s="326" t="str">
        <f>IF(H83="Yes",IF(D83='Drop Down'!$W$4,0.9*L83,IF(D83='Drop Down'!$W$5,0.9*L83,IF(D83='Drop Down'!$W$10,0.9*L83,IF(D83='Drop Down'!$W$16,0.9*L83,"No credit allowed.")))),"N/A")</f>
        <v>N/A</v>
      </c>
      <c r="N83" s="327" t="e">
        <f>IF($D$20="Space-By-Space (90.1-2013)",INDEX(LPD2013SS,MATCH('Interior Lighting'!D83,LightingSpaceType,0)*W83),INDEX(LPD2013WB,MATCH('Interior Lighting'!D83,LightingSpaceType,0)))</f>
        <v>#N/A</v>
      </c>
      <c r="O83" s="327">
        <f t="shared" si="11"/>
        <v>0</v>
      </c>
      <c r="P83" s="407" t="e">
        <f t="shared" si="1"/>
        <v>#N/A</v>
      </c>
      <c r="Q83" s="407" t="e">
        <f t="shared" si="12"/>
        <v>#N/A</v>
      </c>
      <c r="R83" s="407" t="e">
        <f t="shared" si="2"/>
        <v>#N/A</v>
      </c>
      <c r="S83" s="324">
        <f t="shared" si="3"/>
        <v>0</v>
      </c>
      <c r="T83" s="924" t="str">
        <f t="shared" si="4"/>
        <v/>
      </c>
      <c r="U83" s="1221" t="str">
        <f t="shared" si="13"/>
        <v/>
      </c>
      <c r="W83" s="1098">
        <f t="shared" si="5"/>
        <v>1</v>
      </c>
      <c r="X83" s="1098" t="e">
        <f>INDEX(OSReq,MATCH('Interior Lighting'!D83,LightingSpaceType,0))</f>
        <v>#N/A</v>
      </c>
      <c r="Y83" s="1098" t="e">
        <f t="shared" si="6"/>
        <v>#N/A</v>
      </c>
      <c r="Z83" s="1098" t="e">
        <f t="shared" si="7"/>
        <v>#N/A</v>
      </c>
      <c r="AA83" s="1098" t="e">
        <f>INDEX(Lookup!$O$9:$O$24,MATCH('Interior Lighting'!Z83,Lookup!$K$9:$K$24,0))</f>
        <v>#N/A</v>
      </c>
      <c r="AB83" s="1098" t="e">
        <f>IF(E83="A",INDEX(Lookup!$L$9:$L$24,MATCH(Z83,Lookup!$K$9:$K$24,0)),IF(E83="B",INDEX(Lookup!$M$9:$M$24,MATCH(Z83,Lookup!$K$9:$K$24,0)),IF(E83="C",INDEX(Lookup!$N$9:$N$24,MATCH(Z83,Lookup!$K$9:$K$24,0)),"N/A")))</f>
        <v>#N/A</v>
      </c>
    </row>
    <row r="84" spans="1:28">
      <c r="A84" s="338"/>
      <c r="B84" s="69"/>
      <c r="C84" s="330"/>
      <c r="D84" s="323"/>
      <c r="E84" s="324" t="e">
        <f>INDEX(Lookup!$I$9:$I$24,MATCH('Interior Lighting'!D84,Lookup!$C$9:$C$24,0))</f>
        <v>#N/A</v>
      </c>
      <c r="F84" s="69"/>
      <c r="G84" s="69"/>
      <c r="H84" s="69"/>
      <c r="I84" s="324" t="e">
        <f t="shared" si="8"/>
        <v>#N/A</v>
      </c>
      <c r="J84" s="170"/>
      <c r="K84" s="325">
        <f t="shared" si="9"/>
        <v>0</v>
      </c>
      <c r="L84" s="326" t="e">
        <f t="shared" si="10"/>
        <v>#DIV/0!</v>
      </c>
      <c r="M84" s="326" t="str">
        <f>IF(H84="Yes",IF(D84='Drop Down'!$W$4,0.9*L84,IF(D84='Drop Down'!$W$5,0.9*L84,IF(D84='Drop Down'!$W$10,0.9*L84,IF(D84='Drop Down'!$W$16,0.9*L84,"No credit allowed.")))),"N/A")</f>
        <v>N/A</v>
      </c>
      <c r="N84" s="327" t="e">
        <f>IF($D$20="Space-By-Space (90.1-2013)",INDEX(LPD2013SS,MATCH('Interior Lighting'!D84,LightingSpaceType,0)*W84),INDEX(LPD2013WB,MATCH('Interior Lighting'!D84,LightingSpaceType,0)))</f>
        <v>#N/A</v>
      </c>
      <c r="O84" s="327">
        <f t="shared" si="11"/>
        <v>0</v>
      </c>
      <c r="P84" s="407" t="e">
        <f t="shared" si="1"/>
        <v>#N/A</v>
      </c>
      <c r="Q84" s="407" t="e">
        <f t="shared" si="12"/>
        <v>#N/A</v>
      </c>
      <c r="R84" s="407" t="e">
        <f t="shared" si="2"/>
        <v>#N/A</v>
      </c>
      <c r="S84" s="324">
        <f t="shared" si="3"/>
        <v>0</v>
      </c>
      <c r="T84" s="924" t="str">
        <f t="shared" si="4"/>
        <v/>
      </c>
      <c r="U84" s="1221" t="str">
        <f t="shared" si="13"/>
        <v/>
      </c>
      <c r="W84" s="1098">
        <f t="shared" si="5"/>
        <v>1</v>
      </c>
      <c r="X84" s="1098" t="e">
        <f>INDEX(OSReq,MATCH('Interior Lighting'!D84,LightingSpaceType,0))</f>
        <v>#N/A</v>
      </c>
      <c r="Y84" s="1098" t="e">
        <f t="shared" si="6"/>
        <v>#N/A</v>
      </c>
      <c r="Z84" s="1098" t="e">
        <f t="shared" si="7"/>
        <v>#N/A</v>
      </c>
      <c r="AA84" s="1098" t="e">
        <f>INDEX(Lookup!$O$9:$O$24,MATCH('Interior Lighting'!Z84,Lookup!$K$9:$K$24,0))</f>
        <v>#N/A</v>
      </c>
      <c r="AB84" s="1098" t="e">
        <f>IF(E84="A",INDEX(Lookup!$L$9:$L$24,MATCH(Z84,Lookup!$K$9:$K$24,0)),IF(E84="B",INDEX(Lookup!$M$9:$M$24,MATCH(Z84,Lookup!$K$9:$K$24,0)),IF(E84="C",INDEX(Lookup!$N$9:$N$24,MATCH(Z84,Lookup!$K$9:$K$24,0)),"N/A")))</f>
        <v>#N/A</v>
      </c>
    </row>
    <row r="85" spans="1:28">
      <c r="A85" s="338"/>
      <c r="B85" s="69"/>
      <c r="C85" s="323"/>
      <c r="D85" s="323"/>
      <c r="E85" s="324" t="e">
        <f>INDEX(Lookup!$I$9:$I$24,MATCH('Interior Lighting'!D85,Lookup!$C$9:$C$24,0))</f>
        <v>#N/A</v>
      </c>
      <c r="F85" s="69"/>
      <c r="G85" s="69"/>
      <c r="H85" s="69"/>
      <c r="I85" s="324" t="e">
        <f t="shared" si="8"/>
        <v>#N/A</v>
      </c>
      <c r="J85" s="170"/>
      <c r="K85" s="325">
        <f t="shared" si="9"/>
        <v>0</v>
      </c>
      <c r="L85" s="326" t="e">
        <f t="shared" si="10"/>
        <v>#DIV/0!</v>
      </c>
      <c r="M85" s="326" t="str">
        <f>IF(H85="Yes",IF(D85='Drop Down'!$W$4,0.9*L85,IF(D85='Drop Down'!$W$5,0.9*L85,IF(D85='Drop Down'!$W$10,0.9*L85,IF(D85='Drop Down'!$W$16,0.9*L85,"No credit allowed.")))),"N/A")</f>
        <v>N/A</v>
      </c>
      <c r="N85" s="327" t="e">
        <f>IF($D$20="Space-By-Space (90.1-2013)",INDEX(LPD2013SS,MATCH('Interior Lighting'!D85,LightingSpaceType,0)*W85),INDEX(LPD2013WB,MATCH('Interior Lighting'!D85,LightingSpaceType,0)))</f>
        <v>#N/A</v>
      </c>
      <c r="O85" s="327">
        <f t="shared" si="11"/>
        <v>0</v>
      </c>
      <c r="P85" s="407" t="e">
        <f t="shared" si="1"/>
        <v>#N/A</v>
      </c>
      <c r="Q85" s="407" t="e">
        <f t="shared" si="12"/>
        <v>#N/A</v>
      </c>
      <c r="R85" s="407" t="e">
        <f t="shared" si="2"/>
        <v>#N/A</v>
      </c>
      <c r="S85" s="324">
        <f t="shared" si="3"/>
        <v>0</v>
      </c>
      <c r="T85" s="924" t="str">
        <f t="shared" si="4"/>
        <v/>
      </c>
      <c r="U85" s="1221" t="str">
        <f t="shared" si="13"/>
        <v/>
      </c>
      <c r="W85" s="1098">
        <f t="shared" si="5"/>
        <v>1</v>
      </c>
      <c r="X85" s="1098" t="e">
        <f>INDEX(OSReq,MATCH('Interior Lighting'!D85,LightingSpaceType,0))</f>
        <v>#N/A</v>
      </c>
      <c r="Y85" s="1098" t="e">
        <f t="shared" si="6"/>
        <v>#N/A</v>
      </c>
      <c r="Z85" s="1098" t="e">
        <f t="shared" si="7"/>
        <v>#N/A</v>
      </c>
      <c r="AA85" s="1098" t="e">
        <f>INDEX(Lookup!$O$9:$O$24,MATCH('Interior Lighting'!Z85,Lookup!$K$9:$K$24,0))</f>
        <v>#N/A</v>
      </c>
      <c r="AB85" s="1098" t="e">
        <f>IF(E85="A",INDEX(Lookup!$L$9:$L$24,MATCH(Z85,Lookup!$K$9:$K$24,0)),IF(E85="B",INDEX(Lookup!$M$9:$M$24,MATCH(Z85,Lookup!$K$9:$K$24,0)),IF(E85="C",INDEX(Lookup!$N$9:$N$24,MATCH(Z85,Lookup!$K$9:$K$24,0)),"N/A")))</f>
        <v>#N/A</v>
      </c>
    </row>
    <row r="86" spans="1:28">
      <c r="A86" s="338"/>
      <c r="B86" s="69"/>
      <c r="C86" s="323"/>
      <c r="D86" s="323"/>
      <c r="E86" s="324" t="e">
        <f>INDEX(Lookup!$I$9:$I$24,MATCH('Interior Lighting'!D86,Lookup!$C$9:$C$24,0))</f>
        <v>#N/A</v>
      </c>
      <c r="F86" s="69"/>
      <c r="G86" s="69"/>
      <c r="H86" s="69"/>
      <c r="I86" s="324" t="e">
        <f t="shared" si="8"/>
        <v>#N/A</v>
      </c>
      <c r="J86" s="170"/>
      <c r="K86" s="325">
        <f t="shared" si="9"/>
        <v>0</v>
      </c>
      <c r="L86" s="326" t="e">
        <f t="shared" si="10"/>
        <v>#DIV/0!</v>
      </c>
      <c r="M86" s="326" t="str">
        <f>IF(H86="Yes",IF(D86='Drop Down'!$W$4,0.9*L86,IF(D86='Drop Down'!$W$5,0.9*L86,IF(D86='Drop Down'!$W$10,0.9*L86,IF(D86='Drop Down'!$W$16,0.9*L86,"No credit allowed.")))),"N/A")</f>
        <v>N/A</v>
      </c>
      <c r="N86" s="327" t="e">
        <f>IF($D$20="Space-By-Space (90.1-2013)",INDEX(LPD2013SS,MATCH('Interior Lighting'!D86,LightingSpaceType,0)*W86),INDEX(LPD2013WB,MATCH('Interior Lighting'!D86,LightingSpaceType,0)))</f>
        <v>#N/A</v>
      </c>
      <c r="O86" s="327">
        <f t="shared" si="11"/>
        <v>0</v>
      </c>
      <c r="P86" s="407" t="e">
        <f t="shared" si="1"/>
        <v>#N/A</v>
      </c>
      <c r="Q86" s="407" t="e">
        <f t="shared" si="12"/>
        <v>#N/A</v>
      </c>
      <c r="R86" s="407" t="e">
        <f t="shared" si="2"/>
        <v>#N/A</v>
      </c>
      <c r="S86" s="324">
        <f t="shared" si="3"/>
        <v>0</v>
      </c>
      <c r="T86" s="924" t="str">
        <f t="shared" si="4"/>
        <v/>
      </c>
      <c r="U86" s="1221" t="str">
        <f t="shared" si="13"/>
        <v/>
      </c>
      <c r="W86" s="1098">
        <f t="shared" si="5"/>
        <v>1</v>
      </c>
      <c r="X86" s="1098" t="e">
        <f>INDEX(OSReq,MATCH('Interior Lighting'!D86,LightingSpaceType,0))</f>
        <v>#N/A</v>
      </c>
      <c r="Y86" s="1098" t="e">
        <f t="shared" si="6"/>
        <v>#N/A</v>
      </c>
      <c r="Z86" s="1098" t="e">
        <f t="shared" si="7"/>
        <v>#N/A</v>
      </c>
      <c r="AA86" s="1098" t="e">
        <f>INDEX(Lookup!$O$9:$O$24,MATCH('Interior Lighting'!Z86,Lookup!$K$9:$K$24,0))</f>
        <v>#N/A</v>
      </c>
      <c r="AB86" s="1098" t="e">
        <f>IF(E86="A",INDEX(Lookup!$L$9:$L$24,MATCH(Z86,Lookup!$K$9:$K$24,0)),IF(E86="B",INDEX(Lookup!$M$9:$M$24,MATCH(Z86,Lookup!$K$9:$K$24,0)),IF(E86="C",INDEX(Lookup!$N$9:$N$24,MATCH(Z86,Lookup!$K$9:$K$24,0)),"N/A")))</f>
        <v>#N/A</v>
      </c>
    </row>
    <row r="87" spans="1:28">
      <c r="A87" s="338"/>
      <c r="B87" s="69"/>
      <c r="C87" s="330"/>
      <c r="D87" s="323"/>
      <c r="E87" s="324" t="e">
        <f>INDEX(Lookup!$I$9:$I$24,MATCH('Interior Lighting'!D87,Lookup!$C$9:$C$24,0))</f>
        <v>#N/A</v>
      </c>
      <c r="F87" s="69"/>
      <c r="G87" s="69"/>
      <c r="H87" s="69"/>
      <c r="I87" s="324" t="e">
        <f t="shared" si="8"/>
        <v>#N/A</v>
      </c>
      <c r="J87" s="170"/>
      <c r="K87" s="325">
        <f t="shared" si="9"/>
        <v>0</v>
      </c>
      <c r="L87" s="326" t="e">
        <f t="shared" si="10"/>
        <v>#DIV/0!</v>
      </c>
      <c r="M87" s="326" t="str">
        <f>IF(H87="Yes",IF(D87='Drop Down'!$W$4,0.9*L87,IF(D87='Drop Down'!$W$5,0.9*L87,IF(D87='Drop Down'!$W$10,0.9*L87,IF(D87='Drop Down'!$W$16,0.9*L87,"No credit allowed.")))),"N/A")</f>
        <v>N/A</v>
      </c>
      <c r="N87" s="327" t="e">
        <f>IF($D$20="Space-By-Space (90.1-2013)",INDEX(LPD2013SS,MATCH('Interior Lighting'!D87,LightingSpaceType,0)*W87),INDEX(LPD2013WB,MATCH('Interior Lighting'!D87,LightingSpaceType,0)))</f>
        <v>#N/A</v>
      </c>
      <c r="O87" s="327">
        <f t="shared" si="11"/>
        <v>0</v>
      </c>
      <c r="P87" s="407" t="e">
        <f t="shared" si="1"/>
        <v>#N/A</v>
      </c>
      <c r="Q87" s="407" t="e">
        <f t="shared" si="12"/>
        <v>#N/A</v>
      </c>
      <c r="R87" s="407" t="e">
        <f t="shared" si="2"/>
        <v>#N/A</v>
      </c>
      <c r="S87" s="324">
        <f t="shared" si="3"/>
        <v>0</v>
      </c>
      <c r="T87" s="924" t="str">
        <f t="shared" si="4"/>
        <v/>
      </c>
      <c r="U87" s="1221" t="str">
        <f t="shared" si="13"/>
        <v/>
      </c>
      <c r="W87" s="1098">
        <f t="shared" si="5"/>
        <v>1</v>
      </c>
      <c r="X87" s="1098" t="e">
        <f>INDEX(OSReq,MATCH('Interior Lighting'!D87,LightingSpaceType,0))</f>
        <v>#N/A</v>
      </c>
      <c r="Y87" s="1098" t="e">
        <f t="shared" si="6"/>
        <v>#N/A</v>
      </c>
      <c r="Z87" s="1098" t="e">
        <f t="shared" si="7"/>
        <v>#N/A</v>
      </c>
      <c r="AA87" s="1098" t="e">
        <f>INDEX(Lookup!$O$9:$O$24,MATCH('Interior Lighting'!Z87,Lookup!$K$9:$K$24,0))</f>
        <v>#N/A</v>
      </c>
      <c r="AB87" s="1098" t="e">
        <f>IF(E87="A",INDEX(Lookup!$L$9:$L$24,MATCH(Z87,Lookup!$K$9:$K$24,0)),IF(E87="B",INDEX(Lookup!$M$9:$M$24,MATCH(Z87,Lookup!$K$9:$K$24,0)),IF(E87="C",INDEX(Lookup!$N$9:$N$24,MATCH(Z87,Lookup!$K$9:$K$24,0)),"N/A")))</f>
        <v>#N/A</v>
      </c>
    </row>
    <row r="88" spans="1:28">
      <c r="A88" s="338"/>
      <c r="B88" s="69"/>
      <c r="C88" s="323"/>
      <c r="D88" s="323"/>
      <c r="E88" s="324" t="e">
        <f>INDEX(Lookup!$I$9:$I$24,MATCH('Interior Lighting'!D88,Lookup!$C$9:$C$24,0))</f>
        <v>#N/A</v>
      </c>
      <c r="F88" s="69"/>
      <c r="G88" s="69"/>
      <c r="H88" s="69"/>
      <c r="I88" s="324" t="e">
        <f t="shared" si="8"/>
        <v>#N/A</v>
      </c>
      <c r="J88" s="170"/>
      <c r="K88" s="325">
        <f t="shared" si="9"/>
        <v>0</v>
      </c>
      <c r="L88" s="326" t="e">
        <f t="shared" si="10"/>
        <v>#DIV/0!</v>
      </c>
      <c r="M88" s="326" t="str">
        <f>IF(H88="Yes",IF(D88='Drop Down'!$W$4,0.9*L88,IF(D88='Drop Down'!$W$5,0.9*L88,IF(D88='Drop Down'!$W$10,0.9*L88,IF(D88='Drop Down'!$W$16,0.9*L88,"No credit allowed.")))),"N/A")</f>
        <v>N/A</v>
      </c>
      <c r="N88" s="327" t="e">
        <f>IF($D$20="Space-By-Space (90.1-2013)",INDEX(LPD2013SS,MATCH('Interior Lighting'!D88,LightingSpaceType,0)*W88),INDEX(LPD2013WB,MATCH('Interior Lighting'!D88,LightingSpaceType,0)))</f>
        <v>#N/A</v>
      </c>
      <c r="O88" s="327">
        <f t="shared" si="11"/>
        <v>0</v>
      </c>
      <c r="P88" s="407" t="e">
        <f t="shared" si="1"/>
        <v>#N/A</v>
      </c>
      <c r="Q88" s="407" t="e">
        <f t="shared" si="12"/>
        <v>#N/A</v>
      </c>
      <c r="R88" s="407" t="e">
        <f t="shared" si="2"/>
        <v>#N/A</v>
      </c>
      <c r="S88" s="324">
        <f t="shared" si="3"/>
        <v>0</v>
      </c>
      <c r="T88" s="924" t="str">
        <f t="shared" si="4"/>
        <v/>
      </c>
      <c r="U88" s="1221" t="str">
        <f t="shared" si="13"/>
        <v/>
      </c>
      <c r="W88" s="1098">
        <f t="shared" si="5"/>
        <v>1</v>
      </c>
      <c r="X88" s="1098" t="e">
        <f>INDEX(OSReq,MATCH('Interior Lighting'!D88,LightingSpaceType,0))</f>
        <v>#N/A</v>
      </c>
      <c r="Y88" s="1098" t="e">
        <f t="shared" si="6"/>
        <v>#N/A</v>
      </c>
      <c r="Z88" s="1098" t="e">
        <f t="shared" si="7"/>
        <v>#N/A</v>
      </c>
      <c r="AA88" s="1098" t="e">
        <f>INDEX(Lookup!$O$9:$O$24,MATCH('Interior Lighting'!Z88,Lookup!$K$9:$K$24,0))</f>
        <v>#N/A</v>
      </c>
      <c r="AB88" s="1098" t="e">
        <f>IF(E88="A",INDEX(Lookup!$L$9:$L$24,MATCH(Z88,Lookup!$K$9:$K$24,0)),IF(E88="B",INDEX(Lookup!$M$9:$M$24,MATCH(Z88,Lookup!$K$9:$K$24,0)),IF(E88="C",INDEX(Lookup!$N$9:$N$24,MATCH(Z88,Lookup!$K$9:$K$24,0)),"N/A")))</f>
        <v>#N/A</v>
      </c>
    </row>
    <row r="89" spans="1:28">
      <c r="A89" s="338"/>
      <c r="B89" s="69"/>
      <c r="C89" s="330"/>
      <c r="D89" s="323"/>
      <c r="E89" s="324" t="e">
        <f>INDEX(Lookup!$I$9:$I$24,MATCH('Interior Lighting'!D89,Lookup!$C$9:$C$24,0))</f>
        <v>#N/A</v>
      </c>
      <c r="F89" s="69"/>
      <c r="G89" s="69"/>
      <c r="H89" s="69"/>
      <c r="I89" s="324" t="e">
        <f t="shared" si="8"/>
        <v>#N/A</v>
      </c>
      <c r="J89" s="170"/>
      <c r="K89" s="325">
        <f t="shared" si="9"/>
        <v>0</v>
      </c>
      <c r="L89" s="326" t="e">
        <f t="shared" si="10"/>
        <v>#DIV/0!</v>
      </c>
      <c r="M89" s="326" t="str">
        <f>IF(H89="Yes",IF(D89='Drop Down'!$W$4,0.9*L89,IF(D89='Drop Down'!$W$5,0.9*L89,IF(D89='Drop Down'!$W$10,0.9*L89,IF(D89='Drop Down'!$W$16,0.9*L89,"No credit allowed.")))),"N/A")</f>
        <v>N/A</v>
      </c>
      <c r="N89" s="327" t="e">
        <f>IF($D$20="Space-By-Space (90.1-2013)",INDEX(LPD2013SS,MATCH('Interior Lighting'!D89,LightingSpaceType,0)*W89),INDEX(LPD2013WB,MATCH('Interior Lighting'!D89,LightingSpaceType,0)))</f>
        <v>#N/A</v>
      </c>
      <c r="O89" s="327">
        <f t="shared" si="11"/>
        <v>0</v>
      </c>
      <c r="P89" s="407" t="e">
        <f t="shared" si="1"/>
        <v>#N/A</v>
      </c>
      <c r="Q89" s="407" t="e">
        <f t="shared" si="12"/>
        <v>#N/A</v>
      </c>
      <c r="R89" s="407" t="e">
        <f t="shared" si="2"/>
        <v>#N/A</v>
      </c>
      <c r="S89" s="324">
        <f t="shared" si="3"/>
        <v>0</v>
      </c>
      <c r="T89" s="924" t="str">
        <f t="shared" si="4"/>
        <v/>
      </c>
      <c r="U89" s="1221" t="str">
        <f t="shared" si="13"/>
        <v/>
      </c>
      <c r="W89" s="1098">
        <f t="shared" si="5"/>
        <v>1</v>
      </c>
      <c r="X89" s="1098" t="e">
        <f>INDEX(OSReq,MATCH('Interior Lighting'!D89,LightingSpaceType,0))</f>
        <v>#N/A</v>
      </c>
      <c r="Y89" s="1098" t="e">
        <f t="shared" si="6"/>
        <v>#N/A</v>
      </c>
      <c r="Z89" s="1098" t="e">
        <f t="shared" si="7"/>
        <v>#N/A</v>
      </c>
      <c r="AA89" s="1098" t="e">
        <f>INDEX(Lookup!$O$9:$O$24,MATCH('Interior Lighting'!Z89,Lookup!$K$9:$K$24,0))</f>
        <v>#N/A</v>
      </c>
      <c r="AB89" s="1098" t="e">
        <f>IF(E89="A",INDEX(Lookup!$L$9:$L$24,MATCH(Z89,Lookup!$K$9:$K$24,0)),IF(E89="B",INDEX(Lookup!$M$9:$M$24,MATCH(Z89,Lookup!$K$9:$K$24,0)),IF(E89="C",INDEX(Lookup!$N$9:$N$24,MATCH(Z89,Lookup!$K$9:$K$24,0)),"N/A")))</f>
        <v>#N/A</v>
      </c>
    </row>
    <row r="90" spans="1:28">
      <c r="A90" s="338"/>
      <c r="B90" s="69"/>
      <c r="C90" s="323"/>
      <c r="D90" s="323"/>
      <c r="E90" s="324" t="e">
        <f>INDEX(Lookup!$I$9:$I$24,MATCH('Interior Lighting'!D90,Lookup!$C$9:$C$24,0))</f>
        <v>#N/A</v>
      </c>
      <c r="F90" s="69"/>
      <c r="G90" s="69"/>
      <c r="H90" s="69"/>
      <c r="I90" s="324" t="e">
        <f t="shared" si="8"/>
        <v>#N/A</v>
      </c>
      <c r="J90" s="170"/>
      <c r="K90" s="325">
        <f t="shared" si="9"/>
        <v>0</v>
      </c>
      <c r="L90" s="326" t="e">
        <f t="shared" si="10"/>
        <v>#DIV/0!</v>
      </c>
      <c r="M90" s="326" t="str">
        <f>IF(H90="Yes",IF(D90='Drop Down'!$W$4,0.9*L90,IF(D90='Drop Down'!$W$5,0.9*L90,IF(D90='Drop Down'!$W$10,0.9*L90,IF(D90='Drop Down'!$W$16,0.9*L90,"No credit allowed.")))),"N/A")</f>
        <v>N/A</v>
      </c>
      <c r="N90" s="327" t="e">
        <f>IF($D$20="Space-By-Space (90.1-2013)",INDEX(LPD2013SS,MATCH('Interior Lighting'!D90,LightingSpaceType,0)*W90),INDEX(LPD2013WB,MATCH('Interior Lighting'!D90,LightingSpaceType,0)))</f>
        <v>#N/A</v>
      </c>
      <c r="O90" s="327">
        <f t="shared" si="11"/>
        <v>0</v>
      </c>
      <c r="P90" s="407" t="e">
        <f t="shared" si="1"/>
        <v>#N/A</v>
      </c>
      <c r="Q90" s="407" t="e">
        <f t="shared" si="12"/>
        <v>#N/A</v>
      </c>
      <c r="R90" s="407" t="e">
        <f t="shared" si="2"/>
        <v>#N/A</v>
      </c>
      <c r="S90" s="324">
        <f t="shared" si="3"/>
        <v>0</v>
      </c>
      <c r="T90" s="924" t="str">
        <f t="shared" si="4"/>
        <v/>
      </c>
      <c r="U90" s="1221" t="str">
        <f t="shared" si="13"/>
        <v/>
      </c>
      <c r="W90" s="1098">
        <f t="shared" si="5"/>
        <v>1</v>
      </c>
      <c r="X90" s="1098" t="e">
        <f>INDEX(OSReq,MATCH('Interior Lighting'!D90,LightingSpaceType,0))</f>
        <v>#N/A</v>
      </c>
      <c r="Y90" s="1098" t="e">
        <f t="shared" si="6"/>
        <v>#N/A</v>
      </c>
      <c r="Z90" s="1098" t="e">
        <f t="shared" si="7"/>
        <v>#N/A</v>
      </c>
      <c r="AA90" s="1098" t="e">
        <f>INDEX(Lookup!$O$9:$O$24,MATCH('Interior Lighting'!Z90,Lookup!$K$9:$K$24,0))</f>
        <v>#N/A</v>
      </c>
      <c r="AB90" s="1098" t="e">
        <f>IF(E90="A",INDEX(Lookup!$L$9:$L$24,MATCH(Z90,Lookup!$K$9:$K$24,0)),IF(E90="B",INDEX(Lookup!$M$9:$M$24,MATCH(Z90,Lookup!$K$9:$K$24,0)),IF(E90="C",INDEX(Lookup!$N$9:$N$24,MATCH(Z90,Lookup!$K$9:$K$24,0)),"N/A")))</f>
        <v>#N/A</v>
      </c>
    </row>
    <row r="91" spans="1:28">
      <c r="A91" s="1103"/>
      <c r="B91" s="69"/>
      <c r="C91" s="323"/>
      <c r="D91" s="323"/>
      <c r="E91" s="324" t="e">
        <f>INDEX(Lookup!$I$9:$I$24,MATCH('Interior Lighting'!D91,Lookup!$C$9:$C$24,0))</f>
        <v>#N/A</v>
      </c>
      <c r="F91" s="69"/>
      <c r="G91" s="69"/>
      <c r="H91" s="69"/>
      <c r="I91" s="324" t="e">
        <f t="shared" si="8"/>
        <v>#N/A</v>
      </c>
      <c r="J91" s="170"/>
      <c r="K91" s="325">
        <f t="shared" si="9"/>
        <v>0</v>
      </c>
      <c r="L91" s="326" t="e">
        <f t="shared" si="10"/>
        <v>#DIV/0!</v>
      </c>
      <c r="M91" s="326" t="str">
        <f>IF(H91="Yes",IF(D91='Drop Down'!$W$4,0.9*L91,IF(D91='Drop Down'!$W$5,0.9*L91,IF(D91='Drop Down'!$W$10,0.9*L91,IF(D91='Drop Down'!$W$16,0.9*L91,"No credit allowed.")))),"N/A")</f>
        <v>N/A</v>
      </c>
      <c r="N91" s="327" t="e">
        <f>IF($D$20="Space-By-Space (90.1-2013)",INDEX(LPD2013SS,MATCH('Interior Lighting'!D91,LightingSpaceType,0)*W91),INDEX(LPD2013WB,MATCH('Interior Lighting'!D91,LightingSpaceType,0)))</f>
        <v>#N/A</v>
      </c>
      <c r="O91" s="327">
        <f t="shared" si="11"/>
        <v>0</v>
      </c>
      <c r="P91" s="407" t="e">
        <f t="shared" si="1"/>
        <v>#N/A</v>
      </c>
      <c r="Q91" s="407" t="e">
        <f t="shared" si="12"/>
        <v>#N/A</v>
      </c>
      <c r="R91" s="407" t="e">
        <f t="shared" si="2"/>
        <v>#N/A</v>
      </c>
      <c r="S91" s="324">
        <f t="shared" si="3"/>
        <v>0</v>
      </c>
      <c r="T91" s="924" t="str">
        <f t="shared" si="4"/>
        <v/>
      </c>
      <c r="U91" s="1221" t="str">
        <f t="shared" si="13"/>
        <v/>
      </c>
      <c r="W91" s="1098">
        <f t="shared" si="5"/>
        <v>1</v>
      </c>
      <c r="X91" s="1098" t="e">
        <f>INDEX(OSReq,MATCH('Interior Lighting'!D91,LightingSpaceType,0))</f>
        <v>#N/A</v>
      </c>
      <c r="Y91" s="1098" t="e">
        <f t="shared" si="6"/>
        <v>#N/A</v>
      </c>
      <c r="Z91" s="1098" t="e">
        <f t="shared" si="7"/>
        <v>#N/A</v>
      </c>
      <c r="AA91" s="1098" t="e">
        <f>INDEX(Lookup!$O$9:$O$24,MATCH('Interior Lighting'!Z91,Lookup!$K$9:$K$24,0))</f>
        <v>#N/A</v>
      </c>
      <c r="AB91" s="1098" t="e">
        <f>IF(E91="A",INDEX(Lookup!$L$9:$L$24,MATCH(Z91,Lookup!$K$9:$K$24,0)),IF(E91="B",INDEX(Lookup!$M$9:$M$24,MATCH(Z91,Lookup!$K$9:$K$24,0)),IF(E91="C",INDEX(Lookup!$N$9:$N$24,MATCH(Z91,Lookup!$K$9:$K$24,0)),"N/A")))</f>
        <v>#N/A</v>
      </c>
    </row>
    <row r="92" spans="1:28">
      <c r="A92" s="338"/>
      <c r="B92" s="69"/>
      <c r="C92" s="323"/>
      <c r="D92" s="323"/>
      <c r="E92" s="324" t="e">
        <f>INDEX(Lookup!$I$9:$I$24,MATCH('Interior Lighting'!D92,Lookup!$C$9:$C$24,0))</f>
        <v>#N/A</v>
      </c>
      <c r="F92" s="69"/>
      <c r="G92" s="69"/>
      <c r="H92" s="69"/>
      <c r="I92" s="324" t="e">
        <f t="shared" si="8"/>
        <v>#N/A</v>
      </c>
      <c r="J92" s="170"/>
      <c r="K92" s="325">
        <f t="shared" si="9"/>
        <v>0</v>
      </c>
      <c r="L92" s="326" t="e">
        <f t="shared" si="10"/>
        <v>#DIV/0!</v>
      </c>
      <c r="M92" s="326" t="str">
        <f>IF(H92="Yes",IF(D92='Drop Down'!$W$4,0.9*L92,IF(D92='Drop Down'!$W$5,0.9*L92,IF(D92='Drop Down'!$W$10,0.9*L92,IF(D92='Drop Down'!$W$16,0.9*L92,"No credit allowed.")))),"N/A")</f>
        <v>N/A</v>
      </c>
      <c r="N92" s="327" t="e">
        <f>IF($D$20="Space-By-Space (90.1-2013)",INDEX(LPD2013SS,MATCH('Interior Lighting'!D92,LightingSpaceType,0)*W92),INDEX(LPD2013WB,MATCH('Interior Lighting'!D92,LightingSpaceType,0)))</f>
        <v>#N/A</v>
      </c>
      <c r="O92" s="327">
        <f t="shared" si="11"/>
        <v>0</v>
      </c>
      <c r="P92" s="407" t="e">
        <f t="shared" si="1"/>
        <v>#N/A</v>
      </c>
      <c r="Q92" s="407" t="e">
        <f t="shared" si="12"/>
        <v>#N/A</v>
      </c>
      <c r="R92" s="407" t="e">
        <f t="shared" si="2"/>
        <v>#N/A</v>
      </c>
      <c r="S92" s="324">
        <f t="shared" si="3"/>
        <v>0</v>
      </c>
      <c r="T92" s="924" t="str">
        <f t="shared" si="4"/>
        <v/>
      </c>
      <c r="U92" s="1221" t="str">
        <f t="shared" si="13"/>
        <v/>
      </c>
      <c r="W92" s="1098">
        <f t="shared" si="5"/>
        <v>1</v>
      </c>
      <c r="X92" s="1098" t="e">
        <f>INDEX(OSReq,MATCH('Interior Lighting'!D92,LightingSpaceType,0))</f>
        <v>#N/A</v>
      </c>
      <c r="Y92" s="1098" t="e">
        <f t="shared" si="6"/>
        <v>#N/A</v>
      </c>
      <c r="Z92" s="1098" t="e">
        <f t="shared" si="7"/>
        <v>#N/A</v>
      </c>
      <c r="AA92" s="1098" t="e">
        <f>INDEX(Lookup!$O$9:$O$24,MATCH('Interior Lighting'!Z92,Lookup!$K$9:$K$24,0))</f>
        <v>#N/A</v>
      </c>
      <c r="AB92" s="1098" t="e">
        <f>IF(E92="A",INDEX(Lookup!$L$9:$L$24,MATCH(Z92,Lookup!$K$9:$K$24,0)),IF(E92="B",INDEX(Lookup!$M$9:$M$24,MATCH(Z92,Lookup!$K$9:$K$24,0)),IF(E92="C",INDEX(Lookup!$N$9:$N$24,MATCH(Z92,Lookup!$K$9:$K$24,0)),"N/A")))</f>
        <v>#N/A</v>
      </c>
    </row>
    <row r="93" spans="1:28">
      <c r="A93" s="338"/>
      <c r="B93" s="69"/>
      <c r="C93" s="323"/>
      <c r="D93" s="323"/>
      <c r="E93" s="324" t="e">
        <f>INDEX(Lookup!$I$9:$I$24,MATCH('Interior Lighting'!D93,Lookup!$C$9:$C$24,0))</f>
        <v>#N/A</v>
      </c>
      <c r="F93" s="69"/>
      <c r="G93" s="69"/>
      <c r="H93" s="69"/>
      <c r="I93" s="324" t="e">
        <f t="shared" si="8"/>
        <v>#N/A</v>
      </c>
      <c r="J93" s="170"/>
      <c r="K93" s="325">
        <f t="shared" si="9"/>
        <v>0</v>
      </c>
      <c r="L93" s="326" t="e">
        <f t="shared" si="10"/>
        <v>#DIV/0!</v>
      </c>
      <c r="M93" s="326" t="str">
        <f>IF(H93="Yes",IF(D93='Drop Down'!$W$4,0.9*L93,IF(D93='Drop Down'!$W$5,0.9*L93,IF(D93='Drop Down'!$W$10,0.9*L93,IF(D93='Drop Down'!$W$16,0.9*L93,"No credit allowed.")))),"N/A")</f>
        <v>N/A</v>
      </c>
      <c r="N93" s="327" t="e">
        <f>IF($D$20="Space-By-Space (90.1-2013)",INDEX(LPD2013SS,MATCH('Interior Lighting'!D93,LightingSpaceType,0)*W93),INDEX(LPD2013WB,MATCH('Interior Lighting'!D93,LightingSpaceType,0)))</f>
        <v>#N/A</v>
      </c>
      <c r="O93" s="327">
        <f t="shared" si="11"/>
        <v>0</v>
      </c>
      <c r="P93" s="407" t="e">
        <f t="shared" si="1"/>
        <v>#N/A</v>
      </c>
      <c r="Q93" s="407" t="e">
        <f t="shared" si="12"/>
        <v>#N/A</v>
      </c>
      <c r="R93" s="407" t="e">
        <f t="shared" si="2"/>
        <v>#N/A</v>
      </c>
      <c r="S93" s="324">
        <f t="shared" si="3"/>
        <v>0</v>
      </c>
      <c r="T93" s="924" t="str">
        <f t="shared" si="4"/>
        <v/>
      </c>
      <c r="U93" s="1221" t="str">
        <f t="shared" si="13"/>
        <v/>
      </c>
      <c r="W93" s="1098">
        <f t="shared" si="5"/>
        <v>1</v>
      </c>
      <c r="X93" s="1098" t="e">
        <f>INDEX(OSReq,MATCH('Interior Lighting'!D93,LightingSpaceType,0))</f>
        <v>#N/A</v>
      </c>
      <c r="Y93" s="1098" t="e">
        <f t="shared" si="6"/>
        <v>#N/A</v>
      </c>
      <c r="Z93" s="1098" t="e">
        <f t="shared" si="7"/>
        <v>#N/A</v>
      </c>
      <c r="AA93" s="1098" t="e">
        <f>INDEX(Lookup!$O$9:$O$24,MATCH('Interior Lighting'!Z93,Lookup!$K$9:$K$24,0))</f>
        <v>#N/A</v>
      </c>
      <c r="AB93" s="1098" t="e">
        <f>IF(E93="A",INDEX(Lookup!$L$9:$L$24,MATCH(Z93,Lookup!$K$9:$K$24,0)),IF(E93="B",INDEX(Lookup!$M$9:$M$24,MATCH(Z93,Lookup!$K$9:$K$24,0)),IF(E93="C",INDEX(Lookup!$N$9:$N$24,MATCH(Z93,Lookup!$K$9:$K$24,0)),"N/A")))</f>
        <v>#N/A</v>
      </c>
    </row>
    <row r="94" spans="1:28">
      <c r="A94" s="1006"/>
      <c r="B94" s="69"/>
      <c r="C94" s="323"/>
      <c r="D94" s="323"/>
      <c r="E94" s="324" t="e">
        <f>INDEX(Lookup!$I$9:$I$24,MATCH('Interior Lighting'!D94,Lookup!$C$9:$C$24,0))</f>
        <v>#N/A</v>
      </c>
      <c r="F94" s="69"/>
      <c r="G94" s="69"/>
      <c r="H94" s="69"/>
      <c r="I94" s="324" t="e">
        <f t="shared" si="8"/>
        <v>#N/A</v>
      </c>
      <c r="J94" s="170"/>
      <c r="K94" s="325">
        <f t="shared" si="9"/>
        <v>0</v>
      </c>
      <c r="L94" s="326" t="e">
        <f t="shared" si="10"/>
        <v>#DIV/0!</v>
      </c>
      <c r="M94" s="326" t="str">
        <f>IF(H94="Yes",IF(D94='Drop Down'!$W$4,0.9*L94,IF(D94='Drop Down'!$W$5,0.9*L94,IF(D94='Drop Down'!$W$10,0.9*L94,IF(D94='Drop Down'!$W$16,0.9*L94,"No credit allowed.")))),"N/A")</f>
        <v>N/A</v>
      </c>
      <c r="N94" s="327" t="e">
        <f>IF($D$20="Space-By-Space (90.1-2013)",INDEX(LPD2013SS,MATCH('Interior Lighting'!D94,LightingSpaceType,0)*W94),INDEX(LPD2013WB,MATCH('Interior Lighting'!D94,LightingSpaceType,0)))</f>
        <v>#N/A</v>
      </c>
      <c r="O94" s="327">
        <f t="shared" si="11"/>
        <v>0</v>
      </c>
      <c r="P94" s="407" t="e">
        <f t="shared" ref="P94:P157" si="14">Y94*AA94*AB94</f>
        <v>#N/A</v>
      </c>
      <c r="Q94" s="407" t="e">
        <f t="shared" si="12"/>
        <v>#N/A</v>
      </c>
      <c r="R94" s="407" t="e">
        <f t="shared" ref="R94:R157" si="15">INDEX(Footcandles,MATCH(D94,LightingSpaceType,0))</f>
        <v>#N/A</v>
      </c>
      <c r="S94" s="324">
        <f t="shared" ref="S94:S157" si="16">J94*B94</f>
        <v>0</v>
      </c>
      <c r="T94" s="924" t="str">
        <f t="shared" ref="T94:T157" si="17">IF(F94&gt;0, IF(Q94&lt;R94, "Insufficient lighting to meet IESNA footcandle recommendations.", ""), "")</f>
        <v/>
      </c>
      <c r="U94" s="1221" t="str">
        <f t="shared" si="13"/>
        <v/>
      </c>
      <c r="W94" s="1098">
        <f t="shared" ref="W94:W157" si="18">IF(A94="Yes",1.2,1)</f>
        <v>1</v>
      </c>
      <c r="X94" s="1098" t="e">
        <f>INDEX(OSReq,MATCH('Interior Lighting'!D94,LightingSpaceType,0))</f>
        <v>#N/A</v>
      </c>
      <c r="Y94" s="1098" t="e">
        <f t="shared" ref="Y94:Y157" si="19">INDEX($M$4:$M$27,MATCH(G94,$J$4:$J$27,0))</f>
        <v>#N/A</v>
      </c>
      <c r="Z94" s="1098" t="e">
        <f t="shared" ref="Z94:Z157" si="20">INDEX($K$4:$K$27,MATCH(G94,$J$4:$J$27,0))</f>
        <v>#N/A</v>
      </c>
      <c r="AA94" s="1098" t="e">
        <f>INDEX(Lookup!$O$9:$O$24,MATCH('Interior Lighting'!Z94,Lookup!$K$9:$K$24,0))</f>
        <v>#N/A</v>
      </c>
      <c r="AB94" s="1098" t="e">
        <f>IF(E94="A",INDEX(Lookup!$L$9:$L$24,MATCH(Z94,Lookup!$K$9:$K$24,0)),IF(E94="B",INDEX(Lookup!$M$9:$M$24,MATCH(Z94,Lookup!$K$9:$K$24,0)),IF(E94="C",INDEX(Lookup!$N$9:$N$24,MATCH(Z94,Lookup!$K$9:$K$24,0)),"N/A")))</f>
        <v>#N/A</v>
      </c>
    </row>
    <row r="95" spans="1:28">
      <c r="A95" s="1006"/>
      <c r="B95" s="69"/>
      <c r="C95" s="330"/>
      <c r="D95" s="323"/>
      <c r="E95" s="324" t="e">
        <f>INDEX(Lookup!$I$9:$I$24,MATCH('Interior Lighting'!D95,Lookup!$C$9:$C$24,0))</f>
        <v>#N/A</v>
      </c>
      <c r="F95" s="69"/>
      <c r="G95" s="69"/>
      <c r="H95" s="69"/>
      <c r="I95" s="324" t="e">
        <f t="shared" ref="I95:I158" si="21">INDEX($L$4:$L$27,MATCH(G95,$J$4:$J$27,0))</f>
        <v>#N/A</v>
      </c>
      <c r="J95" s="170"/>
      <c r="K95" s="325">
        <f t="shared" ref="K95:K158" si="22">IF(F95&gt;0, F95*I95*J95, 0)</f>
        <v>0</v>
      </c>
      <c r="L95" s="326" t="e">
        <f t="shared" ref="L95:L158" si="23">IF(D95="Exit Signs","convert to kW", K95/S95)</f>
        <v>#DIV/0!</v>
      </c>
      <c r="M95" s="326" t="str">
        <f>IF(H95="Yes",IF(D95='Drop Down'!$W$4,0.9*L95,IF(D95='Drop Down'!$W$5,0.9*L95,IF(D95='Drop Down'!$W$10,0.9*L95,IF(D95='Drop Down'!$W$16,0.9*L95,"No credit allowed.")))),"N/A")</f>
        <v>N/A</v>
      </c>
      <c r="N95" s="327" t="e">
        <f>IF($D$20="Space-By-Space (90.1-2013)",INDEX(LPD2013SS,MATCH('Interior Lighting'!D95,LightingSpaceType,0)*W95),INDEX(LPD2013WB,MATCH('Interior Lighting'!D95,LightingSpaceType,0)))</f>
        <v>#N/A</v>
      </c>
      <c r="O95" s="327">
        <f t="shared" ref="O95:O158" si="24">IF(D95="Exit Signs", 5*F95*J95, IF(B95&gt;0, N95*S95, 0))</f>
        <v>0</v>
      </c>
      <c r="P95" s="407" t="e">
        <f t="shared" si="14"/>
        <v>#N/A</v>
      </c>
      <c r="Q95" s="407" t="e">
        <f t="shared" ref="Q95:Q158" si="25">IF(D95="Exit Signs","NA", K95*P95/S95)</f>
        <v>#N/A</v>
      </c>
      <c r="R95" s="407" t="e">
        <f t="shared" si="15"/>
        <v>#N/A</v>
      </c>
      <c r="S95" s="324">
        <f t="shared" si="16"/>
        <v>0</v>
      </c>
      <c r="T95" s="924" t="str">
        <f t="shared" si="17"/>
        <v/>
      </c>
      <c r="U95" s="1221" t="str">
        <f t="shared" si="13"/>
        <v/>
      </c>
      <c r="W95" s="1098">
        <f t="shared" si="18"/>
        <v>1</v>
      </c>
      <c r="X95" s="1098" t="e">
        <f>INDEX(OSReq,MATCH('Interior Lighting'!D95,LightingSpaceType,0))</f>
        <v>#N/A</v>
      </c>
      <c r="Y95" s="1098" t="e">
        <f t="shared" si="19"/>
        <v>#N/A</v>
      </c>
      <c r="Z95" s="1098" t="e">
        <f t="shared" si="20"/>
        <v>#N/A</v>
      </c>
      <c r="AA95" s="1098" t="e">
        <f>INDEX(Lookup!$O$9:$O$24,MATCH('Interior Lighting'!Z95,Lookup!$K$9:$K$24,0))</f>
        <v>#N/A</v>
      </c>
      <c r="AB95" s="1098" t="e">
        <f>IF(E95="A",INDEX(Lookup!$L$9:$L$24,MATCH(Z95,Lookup!$K$9:$K$24,0)),IF(E95="B",INDEX(Lookup!$M$9:$M$24,MATCH(Z95,Lookup!$K$9:$K$24,0)),IF(E95="C",INDEX(Lookup!$N$9:$N$24,MATCH(Z95,Lookup!$K$9:$K$24,0)),"N/A")))</f>
        <v>#N/A</v>
      </c>
    </row>
    <row r="96" spans="1:28">
      <c r="A96" s="1006"/>
      <c r="B96" s="69"/>
      <c r="C96" s="323"/>
      <c r="D96" s="323"/>
      <c r="E96" s="324" t="e">
        <f>INDEX(Lookup!$I$9:$I$24,MATCH('Interior Lighting'!D96,Lookup!$C$9:$C$24,0))</f>
        <v>#N/A</v>
      </c>
      <c r="F96" s="69"/>
      <c r="G96" s="69"/>
      <c r="H96" s="69"/>
      <c r="I96" s="324" t="e">
        <f t="shared" si="21"/>
        <v>#N/A</v>
      </c>
      <c r="J96" s="170"/>
      <c r="K96" s="325">
        <f t="shared" si="22"/>
        <v>0</v>
      </c>
      <c r="L96" s="326" t="e">
        <f t="shared" si="23"/>
        <v>#DIV/0!</v>
      </c>
      <c r="M96" s="326" t="str">
        <f>IF(H96="Yes",IF(D96='Drop Down'!$W$4,0.9*L96,IF(D96='Drop Down'!$W$5,0.9*L96,IF(D96='Drop Down'!$W$10,0.9*L96,IF(D96='Drop Down'!$W$16,0.9*L96,"No credit allowed.")))),"N/A")</f>
        <v>N/A</v>
      </c>
      <c r="N96" s="327" t="e">
        <f>IF($D$20="Space-By-Space (90.1-2013)",INDEX(LPD2013SS,MATCH('Interior Lighting'!D96,LightingSpaceType,0)*W96),INDEX(LPD2013WB,MATCH('Interior Lighting'!D96,LightingSpaceType,0)))</f>
        <v>#N/A</v>
      </c>
      <c r="O96" s="327">
        <f t="shared" si="24"/>
        <v>0</v>
      </c>
      <c r="P96" s="407" t="e">
        <f t="shared" si="14"/>
        <v>#N/A</v>
      </c>
      <c r="Q96" s="407" t="e">
        <f t="shared" si="25"/>
        <v>#N/A</v>
      </c>
      <c r="R96" s="407" t="e">
        <f t="shared" si="15"/>
        <v>#N/A</v>
      </c>
      <c r="S96" s="324">
        <f t="shared" si="16"/>
        <v>0</v>
      </c>
      <c r="T96" s="924" t="str">
        <f t="shared" si="17"/>
        <v/>
      </c>
      <c r="U96" s="1221" t="str">
        <f t="shared" ref="U96:U159" si="26">IF(H96="","",IF(AND(H96="No",X96="Y"),"Please check ASHRAE Table 9.6.1 to ensure compliance with lighting control requirements for this space type.",""))</f>
        <v/>
      </c>
      <c r="W96" s="1098">
        <f t="shared" si="18"/>
        <v>1</v>
      </c>
      <c r="X96" s="1098" t="e">
        <f>INDEX(OSReq,MATCH('Interior Lighting'!D96,LightingSpaceType,0))</f>
        <v>#N/A</v>
      </c>
      <c r="Y96" s="1098" t="e">
        <f t="shared" si="19"/>
        <v>#N/A</v>
      </c>
      <c r="Z96" s="1098" t="e">
        <f t="shared" si="20"/>
        <v>#N/A</v>
      </c>
      <c r="AA96" s="1098" t="e">
        <f>INDEX(Lookup!$O$9:$O$24,MATCH('Interior Lighting'!Z96,Lookup!$K$9:$K$24,0))</f>
        <v>#N/A</v>
      </c>
      <c r="AB96" s="1098" t="e">
        <f>IF(E96="A",INDEX(Lookup!$L$9:$L$24,MATCH(Z96,Lookup!$K$9:$K$24,0)),IF(E96="B",INDEX(Lookup!$M$9:$M$24,MATCH(Z96,Lookup!$K$9:$K$24,0)),IF(E96="C",INDEX(Lookup!$N$9:$N$24,MATCH(Z96,Lookup!$K$9:$K$24,0)),"N/A")))</f>
        <v>#N/A</v>
      </c>
    </row>
    <row r="97" spans="1:28">
      <c r="A97" s="1006"/>
      <c r="B97" s="69"/>
      <c r="C97" s="323"/>
      <c r="D97" s="323"/>
      <c r="E97" s="324" t="e">
        <f>INDEX(Lookup!$I$9:$I$24,MATCH('Interior Lighting'!D97,Lookup!$C$9:$C$24,0))</f>
        <v>#N/A</v>
      </c>
      <c r="F97" s="69"/>
      <c r="G97" s="69"/>
      <c r="H97" s="69"/>
      <c r="I97" s="324" t="e">
        <f t="shared" si="21"/>
        <v>#N/A</v>
      </c>
      <c r="J97" s="170"/>
      <c r="K97" s="325">
        <f t="shared" si="22"/>
        <v>0</v>
      </c>
      <c r="L97" s="326" t="e">
        <f t="shared" si="23"/>
        <v>#DIV/0!</v>
      </c>
      <c r="M97" s="326" t="str">
        <f>IF(H97="Yes",IF(D97='Drop Down'!$W$4,0.9*L97,IF(D97='Drop Down'!$W$5,0.9*L97,IF(D97='Drop Down'!$W$10,0.9*L97,IF(D97='Drop Down'!$W$16,0.9*L97,"No credit allowed.")))),"N/A")</f>
        <v>N/A</v>
      </c>
      <c r="N97" s="327" t="e">
        <f>IF($D$20="Space-By-Space (90.1-2013)",INDEX(LPD2013SS,MATCH('Interior Lighting'!D97,LightingSpaceType,0)*W97),INDEX(LPD2013WB,MATCH('Interior Lighting'!D97,LightingSpaceType,0)))</f>
        <v>#N/A</v>
      </c>
      <c r="O97" s="327">
        <f t="shared" si="24"/>
        <v>0</v>
      </c>
      <c r="P97" s="407" t="e">
        <f t="shared" si="14"/>
        <v>#N/A</v>
      </c>
      <c r="Q97" s="407" t="e">
        <f t="shared" si="25"/>
        <v>#N/A</v>
      </c>
      <c r="R97" s="407" t="e">
        <f t="shared" si="15"/>
        <v>#N/A</v>
      </c>
      <c r="S97" s="324">
        <f t="shared" si="16"/>
        <v>0</v>
      </c>
      <c r="T97" s="924" t="str">
        <f t="shared" si="17"/>
        <v/>
      </c>
      <c r="U97" s="1221" t="str">
        <f t="shared" si="26"/>
        <v/>
      </c>
      <c r="W97" s="1098">
        <f t="shared" si="18"/>
        <v>1</v>
      </c>
      <c r="X97" s="1098" t="e">
        <f>INDEX(OSReq,MATCH('Interior Lighting'!D97,LightingSpaceType,0))</f>
        <v>#N/A</v>
      </c>
      <c r="Y97" s="1098" t="e">
        <f t="shared" si="19"/>
        <v>#N/A</v>
      </c>
      <c r="Z97" s="1098" t="e">
        <f t="shared" si="20"/>
        <v>#N/A</v>
      </c>
      <c r="AA97" s="1098" t="e">
        <f>INDEX(Lookup!$O$9:$O$24,MATCH('Interior Lighting'!Z97,Lookup!$K$9:$K$24,0))</f>
        <v>#N/A</v>
      </c>
      <c r="AB97" s="1098" t="e">
        <f>IF(E97="A",INDEX(Lookup!$L$9:$L$24,MATCH(Z97,Lookup!$K$9:$K$24,0)),IF(E97="B",INDEX(Lookup!$M$9:$M$24,MATCH(Z97,Lookup!$K$9:$K$24,0)),IF(E97="C",INDEX(Lookup!$N$9:$N$24,MATCH(Z97,Lookup!$K$9:$K$24,0)),"N/A")))</f>
        <v>#N/A</v>
      </c>
    </row>
    <row r="98" spans="1:28">
      <c r="A98" s="1006"/>
      <c r="B98" s="69"/>
      <c r="C98" s="323"/>
      <c r="D98" s="323"/>
      <c r="E98" s="324" t="e">
        <f>INDEX(Lookup!$I$9:$I$24,MATCH('Interior Lighting'!D98,Lookup!$C$9:$C$24,0))</f>
        <v>#N/A</v>
      </c>
      <c r="F98" s="69"/>
      <c r="G98" s="69"/>
      <c r="H98" s="69"/>
      <c r="I98" s="324" t="e">
        <f t="shared" si="21"/>
        <v>#N/A</v>
      </c>
      <c r="J98" s="170"/>
      <c r="K98" s="325">
        <f t="shared" si="22"/>
        <v>0</v>
      </c>
      <c r="L98" s="326" t="e">
        <f t="shared" si="23"/>
        <v>#DIV/0!</v>
      </c>
      <c r="M98" s="326" t="str">
        <f>IF(H98="Yes",IF(D98='Drop Down'!$W$4,0.9*L98,IF(D98='Drop Down'!$W$5,0.9*L98,IF(D98='Drop Down'!$W$10,0.9*L98,IF(D98='Drop Down'!$W$16,0.9*L98,"No credit allowed.")))),"N/A")</f>
        <v>N/A</v>
      </c>
      <c r="N98" s="327" t="e">
        <f>IF($D$20="Space-By-Space (90.1-2013)",INDEX(LPD2013SS,MATCH('Interior Lighting'!D98,LightingSpaceType,0)*W98),INDEX(LPD2013WB,MATCH('Interior Lighting'!D98,LightingSpaceType,0)))</f>
        <v>#N/A</v>
      </c>
      <c r="O98" s="327">
        <f t="shared" si="24"/>
        <v>0</v>
      </c>
      <c r="P98" s="407" t="e">
        <f t="shared" si="14"/>
        <v>#N/A</v>
      </c>
      <c r="Q98" s="407" t="e">
        <f t="shared" si="25"/>
        <v>#N/A</v>
      </c>
      <c r="R98" s="407" t="e">
        <f t="shared" si="15"/>
        <v>#N/A</v>
      </c>
      <c r="S98" s="324">
        <f t="shared" si="16"/>
        <v>0</v>
      </c>
      <c r="T98" s="924" t="str">
        <f t="shared" si="17"/>
        <v/>
      </c>
      <c r="U98" s="1221" t="str">
        <f t="shared" si="26"/>
        <v/>
      </c>
      <c r="W98" s="1098">
        <f t="shared" si="18"/>
        <v>1</v>
      </c>
      <c r="X98" s="1098" t="e">
        <f>INDEX(OSReq,MATCH('Interior Lighting'!D98,LightingSpaceType,0))</f>
        <v>#N/A</v>
      </c>
      <c r="Y98" s="1098" t="e">
        <f t="shared" si="19"/>
        <v>#N/A</v>
      </c>
      <c r="Z98" s="1098" t="e">
        <f t="shared" si="20"/>
        <v>#N/A</v>
      </c>
      <c r="AA98" s="1098" t="e">
        <f>INDEX(Lookup!$O$9:$O$24,MATCH('Interior Lighting'!Z98,Lookup!$K$9:$K$24,0))</f>
        <v>#N/A</v>
      </c>
      <c r="AB98" s="1098" t="e">
        <f>IF(E98="A",INDEX(Lookup!$L$9:$L$24,MATCH(Z98,Lookup!$K$9:$K$24,0)),IF(E98="B",INDEX(Lookup!$M$9:$M$24,MATCH(Z98,Lookup!$K$9:$K$24,0)),IF(E98="C",INDEX(Lookup!$N$9:$N$24,MATCH(Z98,Lookup!$K$9:$K$24,0)),"N/A")))</f>
        <v>#N/A</v>
      </c>
    </row>
    <row r="99" spans="1:28">
      <c r="A99" s="1006"/>
      <c r="B99" s="69"/>
      <c r="C99" s="323"/>
      <c r="D99" s="323"/>
      <c r="E99" s="324" t="e">
        <f>INDEX(Lookup!$I$9:$I$24,MATCH('Interior Lighting'!D99,Lookup!$C$9:$C$24,0))</f>
        <v>#N/A</v>
      </c>
      <c r="F99" s="69"/>
      <c r="G99" s="69"/>
      <c r="H99" s="69"/>
      <c r="I99" s="324" t="e">
        <f t="shared" si="21"/>
        <v>#N/A</v>
      </c>
      <c r="J99" s="170"/>
      <c r="K99" s="325">
        <f t="shared" si="22"/>
        <v>0</v>
      </c>
      <c r="L99" s="326" t="e">
        <f t="shared" si="23"/>
        <v>#DIV/0!</v>
      </c>
      <c r="M99" s="326" t="str">
        <f>IF(H99="Yes",IF(D99='Drop Down'!$W$4,0.9*L99,IF(D99='Drop Down'!$W$5,0.9*L99,IF(D99='Drop Down'!$W$10,0.9*L99,IF(D99='Drop Down'!$W$16,0.9*L99,"No credit allowed.")))),"N/A")</f>
        <v>N/A</v>
      </c>
      <c r="N99" s="327" t="e">
        <f>IF($D$20="Space-By-Space (90.1-2013)",INDEX(LPD2013SS,MATCH('Interior Lighting'!D99,LightingSpaceType,0)*W99),INDEX(LPD2013WB,MATCH('Interior Lighting'!D99,LightingSpaceType,0)))</f>
        <v>#N/A</v>
      </c>
      <c r="O99" s="327">
        <f t="shared" si="24"/>
        <v>0</v>
      </c>
      <c r="P99" s="407" t="e">
        <f t="shared" si="14"/>
        <v>#N/A</v>
      </c>
      <c r="Q99" s="407" t="e">
        <f t="shared" si="25"/>
        <v>#N/A</v>
      </c>
      <c r="R99" s="407" t="e">
        <f t="shared" si="15"/>
        <v>#N/A</v>
      </c>
      <c r="S99" s="324">
        <f t="shared" si="16"/>
        <v>0</v>
      </c>
      <c r="T99" s="924" t="str">
        <f t="shared" si="17"/>
        <v/>
      </c>
      <c r="U99" s="1221" t="str">
        <f t="shared" si="26"/>
        <v/>
      </c>
      <c r="W99" s="1098">
        <f t="shared" si="18"/>
        <v>1</v>
      </c>
      <c r="X99" s="1098" t="e">
        <f>INDEX(OSReq,MATCH('Interior Lighting'!D99,LightingSpaceType,0))</f>
        <v>#N/A</v>
      </c>
      <c r="Y99" s="1098" t="e">
        <f t="shared" si="19"/>
        <v>#N/A</v>
      </c>
      <c r="Z99" s="1098" t="e">
        <f t="shared" si="20"/>
        <v>#N/A</v>
      </c>
      <c r="AA99" s="1098" t="e">
        <f>INDEX(Lookup!$O$9:$O$24,MATCH('Interior Lighting'!Z99,Lookup!$K$9:$K$24,0))</f>
        <v>#N/A</v>
      </c>
      <c r="AB99" s="1098" t="e">
        <f>IF(E99="A",INDEX(Lookup!$L$9:$L$24,MATCH(Z99,Lookup!$K$9:$K$24,0)),IF(E99="B",INDEX(Lookup!$M$9:$M$24,MATCH(Z99,Lookup!$K$9:$K$24,0)),IF(E99="C",INDEX(Lookup!$N$9:$N$24,MATCH(Z99,Lookup!$K$9:$K$24,0)),"N/A")))</f>
        <v>#N/A</v>
      </c>
    </row>
    <row r="100" spans="1:28">
      <c r="A100" s="1006"/>
      <c r="B100" s="69"/>
      <c r="C100" s="323"/>
      <c r="D100" s="323"/>
      <c r="E100" s="324" t="e">
        <f>INDEX(Lookup!$I$9:$I$24,MATCH('Interior Lighting'!D100,Lookup!$C$9:$C$24,0))</f>
        <v>#N/A</v>
      </c>
      <c r="F100" s="69"/>
      <c r="G100" s="69"/>
      <c r="H100" s="69"/>
      <c r="I100" s="324" t="e">
        <f t="shared" si="21"/>
        <v>#N/A</v>
      </c>
      <c r="J100" s="170"/>
      <c r="K100" s="325">
        <f t="shared" si="22"/>
        <v>0</v>
      </c>
      <c r="L100" s="326" t="e">
        <f t="shared" si="23"/>
        <v>#DIV/0!</v>
      </c>
      <c r="M100" s="326" t="str">
        <f>IF(H100="Yes",IF(D100='Drop Down'!$W$4,0.9*L100,IF(D100='Drop Down'!$W$5,0.9*L100,IF(D100='Drop Down'!$W$10,0.9*L100,IF(D100='Drop Down'!$W$16,0.9*L100,"No credit allowed.")))),"N/A")</f>
        <v>N/A</v>
      </c>
      <c r="N100" s="327" t="e">
        <f>IF($D$20="Space-By-Space (90.1-2013)",INDEX(LPD2013SS,MATCH('Interior Lighting'!D100,LightingSpaceType,0)*W100),INDEX(LPD2013WB,MATCH('Interior Lighting'!D100,LightingSpaceType,0)))</f>
        <v>#N/A</v>
      </c>
      <c r="O100" s="327">
        <f t="shared" si="24"/>
        <v>0</v>
      </c>
      <c r="P100" s="407" t="e">
        <f t="shared" si="14"/>
        <v>#N/A</v>
      </c>
      <c r="Q100" s="407" t="e">
        <f t="shared" si="25"/>
        <v>#N/A</v>
      </c>
      <c r="R100" s="407" t="e">
        <f t="shared" si="15"/>
        <v>#N/A</v>
      </c>
      <c r="S100" s="324">
        <f t="shared" si="16"/>
        <v>0</v>
      </c>
      <c r="T100" s="924" t="str">
        <f t="shared" si="17"/>
        <v/>
      </c>
      <c r="U100" s="1221" t="str">
        <f t="shared" si="26"/>
        <v/>
      </c>
      <c r="W100" s="1098">
        <f t="shared" si="18"/>
        <v>1</v>
      </c>
      <c r="X100" s="1098" t="e">
        <f>INDEX(OSReq,MATCH('Interior Lighting'!D100,LightingSpaceType,0))</f>
        <v>#N/A</v>
      </c>
      <c r="Y100" s="1098" t="e">
        <f t="shared" si="19"/>
        <v>#N/A</v>
      </c>
      <c r="Z100" s="1098" t="e">
        <f t="shared" si="20"/>
        <v>#N/A</v>
      </c>
      <c r="AA100" s="1098" t="e">
        <f>INDEX(Lookup!$O$9:$O$24,MATCH('Interior Lighting'!Z100,Lookup!$K$9:$K$24,0))</f>
        <v>#N/A</v>
      </c>
      <c r="AB100" s="1098" t="e">
        <f>IF(E100="A",INDEX(Lookup!$L$9:$L$24,MATCH(Z100,Lookup!$K$9:$K$24,0)),IF(E100="B",INDEX(Lookup!$M$9:$M$24,MATCH(Z100,Lookup!$K$9:$K$24,0)),IF(E100="C",INDEX(Lookup!$N$9:$N$24,MATCH(Z100,Lookup!$K$9:$K$24,0)),"N/A")))</f>
        <v>#N/A</v>
      </c>
    </row>
    <row r="101" spans="1:28">
      <c r="A101" s="1006"/>
      <c r="B101" s="69"/>
      <c r="C101" s="330"/>
      <c r="D101" s="323"/>
      <c r="E101" s="324" t="e">
        <f>INDEX(Lookup!$I$9:$I$24,MATCH('Interior Lighting'!D101,Lookup!$C$9:$C$24,0))</f>
        <v>#N/A</v>
      </c>
      <c r="F101" s="69"/>
      <c r="G101" s="69"/>
      <c r="H101" s="69"/>
      <c r="I101" s="324" t="e">
        <f t="shared" si="21"/>
        <v>#N/A</v>
      </c>
      <c r="J101" s="170"/>
      <c r="K101" s="325">
        <f t="shared" si="22"/>
        <v>0</v>
      </c>
      <c r="L101" s="326" t="e">
        <f t="shared" si="23"/>
        <v>#DIV/0!</v>
      </c>
      <c r="M101" s="326" t="str">
        <f>IF(H101="Yes",IF(D101='Drop Down'!$W$4,0.9*L101,IF(D101='Drop Down'!$W$5,0.9*L101,IF(D101='Drop Down'!$W$10,0.9*L101,IF(D101='Drop Down'!$W$16,0.9*L101,"No credit allowed.")))),"N/A")</f>
        <v>N/A</v>
      </c>
      <c r="N101" s="327" t="e">
        <f>IF($D$20="Space-By-Space (90.1-2013)",INDEX(LPD2013SS,MATCH('Interior Lighting'!D101,LightingSpaceType,0)*W101),INDEX(LPD2013WB,MATCH('Interior Lighting'!D101,LightingSpaceType,0)))</f>
        <v>#N/A</v>
      </c>
      <c r="O101" s="327">
        <f t="shared" si="24"/>
        <v>0</v>
      </c>
      <c r="P101" s="407" t="e">
        <f t="shared" si="14"/>
        <v>#N/A</v>
      </c>
      <c r="Q101" s="407" t="e">
        <f t="shared" si="25"/>
        <v>#N/A</v>
      </c>
      <c r="R101" s="407" t="e">
        <f t="shared" si="15"/>
        <v>#N/A</v>
      </c>
      <c r="S101" s="324">
        <f t="shared" si="16"/>
        <v>0</v>
      </c>
      <c r="T101" s="924" t="str">
        <f t="shared" si="17"/>
        <v/>
      </c>
      <c r="U101" s="1221" t="str">
        <f t="shared" si="26"/>
        <v/>
      </c>
      <c r="W101" s="1098">
        <f t="shared" si="18"/>
        <v>1</v>
      </c>
      <c r="X101" s="1098" t="e">
        <f>INDEX(OSReq,MATCH('Interior Lighting'!D101,LightingSpaceType,0))</f>
        <v>#N/A</v>
      </c>
      <c r="Y101" s="1098" t="e">
        <f t="shared" si="19"/>
        <v>#N/A</v>
      </c>
      <c r="Z101" s="1098" t="e">
        <f t="shared" si="20"/>
        <v>#N/A</v>
      </c>
      <c r="AA101" s="1098" t="e">
        <f>INDEX(Lookup!$O$9:$O$24,MATCH('Interior Lighting'!Z101,Lookup!$K$9:$K$24,0))</f>
        <v>#N/A</v>
      </c>
      <c r="AB101" s="1098" t="e">
        <f>IF(E101="A",INDEX(Lookup!$L$9:$L$24,MATCH(Z101,Lookup!$K$9:$K$24,0)),IF(E101="B",INDEX(Lookup!$M$9:$M$24,MATCH(Z101,Lookup!$K$9:$K$24,0)),IF(E101="C",INDEX(Lookup!$N$9:$N$24,MATCH(Z101,Lookup!$K$9:$K$24,0)),"N/A")))</f>
        <v>#N/A</v>
      </c>
    </row>
    <row r="102" spans="1:28">
      <c r="A102" s="1006"/>
      <c r="B102" s="69"/>
      <c r="C102" s="323"/>
      <c r="D102" s="323"/>
      <c r="E102" s="324" t="e">
        <f>INDEX(Lookup!$I$9:$I$24,MATCH('Interior Lighting'!D102,Lookup!$C$9:$C$24,0))</f>
        <v>#N/A</v>
      </c>
      <c r="F102" s="69"/>
      <c r="G102" s="69"/>
      <c r="H102" s="69"/>
      <c r="I102" s="324" t="e">
        <f t="shared" si="21"/>
        <v>#N/A</v>
      </c>
      <c r="J102" s="170"/>
      <c r="K102" s="325">
        <f t="shared" si="22"/>
        <v>0</v>
      </c>
      <c r="L102" s="326" t="e">
        <f t="shared" si="23"/>
        <v>#DIV/0!</v>
      </c>
      <c r="M102" s="326" t="str">
        <f>IF(H102="Yes",IF(D102='Drop Down'!$W$4,0.9*L102,IF(D102='Drop Down'!$W$5,0.9*L102,IF(D102='Drop Down'!$W$10,0.9*L102,IF(D102='Drop Down'!$W$16,0.9*L102,"No credit allowed.")))),"N/A")</f>
        <v>N/A</v>
      </c>
      <c r="N102" s="327" t="e">
        <f>IF($D$20="Space-By-Space (90.1-2013)",INDEX(LPD2013SS,MATCH('Interior Lighting'!D102,LightingSpaceType,0)*W102),INDEX(LPD2013WB,MATCH('Interior Lighting'!D102,LightingSpaceType,0)))</f>
        <v>#N/A</v>
      </c>
      <c r="O102" s="327">
        <f t="shared" si="24"/>
        <v>0</v>
      </c>
      <c r="P102" s="407" t="e">
        <f t="shared" si="14"/>
        <v>#N/A</v>
      </c>
      <c r="Q102" s="407" t="e">
        <f t="shared" si="25"/>
        <v>#N/A</v>
      </c>
      <c r="R102" s="407" t="e">
        <f t="shared" si="15"/>
        <v>#N/A</v>
      </c>
      <c r="S102" s="324">
        <f t="shared" si="16"/>
        <v>0</v>
      </c>
      <c r="T102" s="924" t="str">
        <f t="shared" si="17"/>
        <v/>
      </c>
      <c r="U102" s="1221" t="str">
        <f t="shared" si="26"/>
        <v/>
      </c>
      <c r="W102" s="1098">
        <f t="shared" si="18"/>
        <v>1</v>
      </c>
      <c r="X102" s="1098" t="e">
        <f>INDEX(OSReq,MATCH('Interior Lighting'!D102,LightingSpaceType,0))</f>
        <v>#N/A</v>
      </c>
      <c r="Y102" s="1098" t="e">
        <f t="shared" si="19"/>
        <v>#N/A</v>
      </c>
      <c r="Z102" s="1098" t="e">
        <f t="shared" si="20"/>
        <v>#N/A</v>
      </c>
      <c r="AA102" s="1098" t="e">
        <f>INDEX(Lookup!$O$9:$O$24,MATCH('Interior Lighting'!Z102,Lookup!$K$9:$K$24,0))</f>
        <v>#N/A</v>
      </c>
      <c r="AB102" s="1098" t="e">
        <f>IF(E102="A",INDEX(Lookup!$L$9:$L$24,MATCH(Z102,Lookup!$K$9:$K$24,0)),IF(E102="B",INDEX(Lookup!$M$9:$M$24,MATCH(Z102,Lookup!$K$9:$K$24,0)),IF(E102="C",INDEX(Lookup!$N$9:$N$24,MATCH(Z102,Lookup!$K$9:$K$24,0)),"N/A")))</f>
        <v>#N/A</v>
      </c>
    </row>
    <row r="103" spans="1:28">
      <c r="A103" s="1006"/>
      <c r="B103" s="69"/>
      <c r="C103" s="323"/>
      <c r="D103" s="323"/>
      <c r="E103" s="324" t="e">
        <f>INDEX(Lookup!$I$9:$I$24,MATCH('Interior Lighting'!D103,Lookup!$C$9:$C$24,0))</f>
        <v>#N/A</v>
      </c>
      <c r="F103" s="69"/>
      <c r="G103" s="69"/>
      <c r="H103" s="69"/>
      <c r="I103" s="324" t="e">
        <f t="shared" si="21"/>
        <v>#N/A</v>
      </c>
      <c r="J103" s="170"/>
      <c r="K103" s="325">
        <f t="shared" si="22"/>
        <v>0</v>
      </c>
      <c r="L103" s="326" t="e">
        <f t="shared" si="23"/>
        <v>#DIV/0!</v>
      </c>
      <c r="M103" s="326" t="str">
        <f>IF(H103="Yes",IF(D103='Drop Down'!$W$4,0.9*L103,IF(D103='Drop Down'!$W$5,0.9*L103,IF(D103='Drop Down'!$W$10,0.9*L103,IF(D103='Drop Down'!$W$16,0.9*L103,"No credit allowed.")))),"N/A")</f>
        <v>N/A</v>
      </c>
      <c r="N103" s="327" t="e">
        <f>IF($D$20="Space-By-Space (90.1-2013)",INDEX(LPD2013SS,MATCH('Interior Lighting'!D103,LightingSpaceType,0)*W103),INDEX(LPD2013WB,MATCH('Interior Lighting'!D103,LightingSpaceType,0)))</f>
        <v>#N/A</v>
      </c>
      <c r="O103" s="327">
        <f t="shared" si="24"/>
        <v>0</v>
      </c>
      <c r="P103" s="407" t="e">
        <f t="shared" si="14"/>
        <v>#N/A</v>
      </c>
      <c r="Q103" s="407" t="e">
        <f t="shared" si="25"/>
        <v>#N/A</v>
      </c>
      <c r="R103" s="407" t="e">
        <f t="shared" si="15"/>
        <v>#N/A</v>
      </c>
      <c r="S103" s="324">
        <f t="shared" si="16"/>
        <v>0</v>
      </c>
      <c r="T103" s="924" t="str">
        <f t="shared" si="17"/>
        <v/>
      </c>
      <c r="U103" s="1221" t="str">
        <f t="shared" si="26"/>
        <v/>
      </c>
      <c r="W103" s="1098">
        <f t="shared" si="18"/>
        <v>1</v>
      </c>
      <c r="X103" s="1098" t="e">
        <f>INDEX(OSReq,MATCH('Interior Lighting'!D103,LightingSpaceType,0))</f>
        <v>#N/A</v>
      </c>
      <c r="Y103" s="1098" t="e">
        <f t="shared" si="19"/>
        <v>#N/A</v>
      </c>
      <c r="Z103" s="1098" t="e">
        <f t="shared" si="20"/>
        <v>#N/A</v>
      </c>
      <c r="AA103" s="1098" t="e">
        <f>INDEX(Lookup!$O$9:$O$24,MATCH('Interior Lighting'!Z103,Lookup!$K$9:$K$24,0))</f>
        <v>#N/A</v>
      </c>
      <c r="AB103" s="1098" t="e">
        <f>IF(E103="A",INDEX(Lookup!$L$9:$L$24,MATCH(Z103,Lookup!$K$9:$K$24,0)),IF(E103="B",INDEX(Lookup!$M$9:$M$24,MATCH(Z103,Lookup!$K$9:$K$24,0)),IF(E103="C",INDEX(Lookup!$N$9:$N$24,MATCH(Z103,Lookup!$K$9:$K$24,0)),"N/A")))</f>
        <v>#N/A</v>
      </c>
    </row>
    <row r="104" spans="1:28">
      <c r="A104" s="1006"/>
      <c r="B104" s="69"/>
      <c r="C104" s="323"/>
      <c r="D104" s="323"/>
      <c r="E104" s="324" t="e">
        <f>INDEX(Lookup!$I$9:$I$24,MATCH('Interior Lighting'!D104,Lookup!$C$9:$C$24,0))</f>
        <v>#N/A</v>
      </c>
      <c r="F104" s="69"/>
      <c r="G104" s="69"/>
      <c r="H104" s="69"/>
      <c r="I104" s="324" t="e">
        <f t="shared" si="21"/>
        <v>#N/A</v>
      </c>
      <c r="J104" s="170"/>
      <c r="K104" s="325">
        <f t="shared" si="22"/>
        <v>0</v>
      </c>
      <c r="L104" s="326" t="e">
        <f t="shared" si="23"/>
        <v>#DIV/0!</v>
      </c>
      <c r="M104" s="326" t="str">
        <f>IF(H104="Yes",IF(D104='Drop Down'!$W$4,0.9*L104,IF(D104='Drop Down'!$W$5,0.9*L104,IF(D104='Drop Down'!$W$10,0.9*L104,IF(D104='Drop Down'!$W$16,0.9*L104,"No credit allowed.")))),"N/A")</f>
        <v>N/A</v>
      </c>
      <c r="N104" s="327" t="e">
        <f>IF($D$20="Space-By-Space (90.1-2013)",INDEX(LPD2013SS,MATCH('Interior Lighting'!D104,LightingSpaceType,0)*W104),INDEX(LPD2013WB,MATCH('Interior Lighting'!D104,LightingSpaceType,0)))</f>
        <v>#N/A</v>
      </c>
      <c r="O104" s="327">
        <f t="shared" si="24"/>
        <v>0</v>
      </c>
      <c r="P104" s="407" t="e">
        <f t="shared" si="14"/>
        <v>#N/A</v>
      </c>
      <c r="Q104" s="407" t="e">
        <f t="shared" si="25"/>
        <v>#N/A</v>
      </c>
      <c r="R104" s="407" t="e">
        <f t="shared" si="15"/>
        <v>#N/A</v>
      </c>
      <c r="S104" s="324">
        <f t="shared" si="16"/>
        <v>0</v>
      </c>
      <c r="T104" s="924" t="str">
        <f t="shared" si="17"/>
        <v/>
      </c>
      <c r="U104" s="1221" t="str">
        <f t="shared" si="26"/>
        <v/>
      </c>
      <c r="W104" s="1098">
        <f t="shared" si="18"/>
        <v>1</v>
      </c>
      <c r="X104" s="1098" t="e">
        <f>INDEX(OSReq,MATCH('Interior Lighting'!D104,LightingSpaceType,0))</f>
        <v>#N/A</v>
      </c>
      <c r="Y104" s="1098" t="e">
        <f t="shared" si="19"/>
        <v>#N/A</v>
      </c>
      <c r="Z104" s="1098" t="e">
        <f t="shared" si="20"/>
        <v>#N/A</v>
      </c>
      <c r="AA104" s="1098" t="e">
        <f>INDEX(Lookup!$O$9:$O$24,MATCH('Interior Lighting'!Z104,Lookup!$K$9:$K$24,0))</f>
        <v>#N/A</v>
      </c>
      <c r="AB104" s="1098" t="e">
        <f>IF(E104="A",INDEX(Lookup!$L$9:$L$24,MATCH(Z104,Lookup!$K$9:$K$24,0)),IF(E104="B",INDEX(Lookup!$M$9:$M$24,MATCH(Z104,Lookup!$K$9:$K$24,0)),IF(E104="C",INDEX(Lookup!$N$9:$N$24,MATCH(Z104,Lookup!$K$9:$K$24,0)),"N/A")))</f>
        <v>#N/A</v>
      </c>
    </row>
    <row r="105" spans="1:28">
      <c r="A105" s="1006"/>
      <c r="B105" s="69"/>
      <c r="C105" s="323"/>
      <c r="D105" s="323"/>
      <c r="E105" s="324" t="e">
        <f>INDEX(Lookup!$I$9:$I$24,MATCH('Interior Lighting'!D105,Lookup!$C$9:$C$24,0))</f>
        <v>#N/A</v>
      </c>
      <c r="F105" s="69"/>
      <c r="G105" s="69"/>
      <c r="H105" s="69"/>
      <c r="I105" s="324" t="e">
        <f t="shared" si="21"/>
        <v>#N/A</v>
      </c>
      <c r="J105" s="170"/>
      <c r="K105" s="325">
        <f t="shared" si="22"/>
        <v>0</v>
      </c>
      <c r="L105" s="326" t="e">
        <f t="shared" si="23"/>
        <v>#DIV/0!</v>
      </c>
      <c r="M105" s="326" t="str">
        <f>IF(H105="Yes",IF(D105='Drop Down'!$W$4,0.9*L105,IF(D105='Drop Down'!$W$5,0.9*L105,IF(D105='Drop Down'!$W$10,0.9*L105,IF(D105='Drop Down'!$W$16,0.9*L105,"No credit allowed.")))),"N/A")</f>
        <v>N/A</v>
      </c>
      <c r="N105" s="327" t="e">
        <f>IF($D$20="Space-By-Space (90.1-2013)",INDEX(LPD2013SS,MATCH('Interior Lighting'!D105,LightingSpaceType,0)*W105),INDEX(LPD2013WB,MATCH('Interior Lighting'!D105,LightingSpaceType,0)))</f>
        <v>#N/A</v>
      </c>
      <c r="O105" s="327">
        <f t="shared" si="24"/>
        <v>0</v>
      </c>
      <c r="P105" s="407" t="e">
        <f t="shared" si="14"/>
        <v>#N/A</v>
      </c>
      <c r="Q105" s="407" t="e">
        <f t="shared" si="25"/>
        <v>#N/A</v>
      </c>
      <c r="R105" s="407" t="e">
        <f t="shared" si="15"/>
        <v>#N/A</v>
      </c>
      <c r="S105" s="324">
        <f t="shared" si="16"/>
        <v>0</v>
      </c>
      <c r="T105" s="924" t="str">
        <f t="shared" si="17"/>
        <v/>
      </c>
      <c r="U105" s="1221" t="str">
        <f t="shared" si="26"/>
        <v/>
      </c>
      <c r="W105" s="1098">
        <f t="shared" si="18"/>
        <v>1</v>
      </c>
      <c r="X105" s="1098" t="e">
        <f>INDEX(OSReq,MATCH('Interior Lighting'!D105,LightingSpaceType,0))</f>
        <v>#N/A</v>
      </c>
      <c r="Y105" s="1098" t="e">
        <f t="shared" si="19"/>
        <v>#N/A</v>
      </c>
      <c r="Z105" s="1098" t="e">
        <f t="shared" si="20"/>
        <v>#N/A</v>
      </c>
      <c r="AA105" s="1098" t="e">
        <f>INDEX(Lookup!$O$9:$O$24,MATCH('Interior Lighting'!Z105,Lookup!$K$9:$K$24,0))</f>
        <v>#N/A</v>
      </c>
      <c r="AB105" s="1098" t="e">
        <f>IF(E105="A",INDEX(Lookup!$L$9:$L$24,MATCH(Z105,Lookup!$K$9:$K$24,0)),IF(E105="B",INDEX(Lookup!$M$9:$M$24,MATCH(Z105,Lookup!$K$9:$K$24,0)),IF(E105="C",INDEX(Lookup!$N$9:$N$24,MATCH(Z105,Lookup!$K$9:$K$24,0)),"N/A")))</f>
        <v>#N/A</v>
      </c>
    </row>
    <row r="106" spans="1:28">
      <c r="A106" s="1006"/>
      <c r="B106" s="69"/>
      <c r="C106" s="323"/>
      <c r="D106" s="323"/>
      <c r="E106" s="324" t="e">
        <f>INDEX(Lookup!$I$9:$I$24,MATCH('Interior Lighting'!D106,Lookup!$C$9:$C$24,0))</f>
        <v>#N/A</v>
      </c>
      <c r="F106" s="69"/>
      <c r="G106" s="69"/>
      <c r="H106" s="69"/>
      <c r="I106" s="324" t="e">
        <f t="shared" si="21"/>
        <v>#N/A</v>
      </c>
      <c r="J106" s="170"/>
      <c r="K106" s="325">
        <f t="shared" si="22"/>
        <v>0</v>
      </c>
      <c r="L106" s="326" t="e">
        <f t="shared" si="23"/>
        <v>#DIV/0!</v>
      </c>
      <c r="M106" s="326" t="str">
        <f>IF(H106="Yes",IF(D106='Drop Down'!$W$4,0.9*L106,IF(D106='Drop Down'!$W$5,0.9*L106,IF(D106='Drop Down'!$W$10,0.9*L106,IF(D106='Drop Down'!$W$16,0.9*L106,"No credit allowed.")))),"N/A")</f>
        <v>N/A</v>
      </c>
      <c r="N106" s="327" t="e">
        <f>IF($D$20="Space-By-Space (90.1-2013)",INDEX(LPD2013SS,MATCH('Interior Lighting'!D106,LightingSpaceType,0)*W106),INDEX(LPD2013WB,MATCH('Interior Lighting'!D106,LightingSpaceType,0)))</f>
        <v>#N/A</v>
      </c>
      <c r="O106" s="327">
        <f t="shared" si="24"/>
        <v>0</v>
      </c>
      <c r="P106" s="407" t="e">
        <f t="shared" si="14"/>
        <v>#N/A</v>
      </c>
      <c r="Q106" s="407" t="e">
        <f t="shared" si="25"/>
        <v>#N/A</v>
      </c>
      <c r="R106" s="407" t="e">
        <f t="shared" si="15"/>
        <v>#N/A</v>
      </c>
      <c r="S106" s="324">
        <f t="shared" si="16"/>
        <v>0</v>
      </c>
      <c r="T106" s="924" t="str">
        <f t="shared" si="17"/>
        <v/>
      </c>
      <c r="U106" s="1221" t="str">
        <f t="shared" si="26"/>
        <v/>
      </c>
      <c r="W106" s="1098">
        <f t="shared" si="18"/>
        <v>1</v>
      </c>
      <c r="X106" s="1098" t="e">
        <f>INDEX(OSReq,MATCH('Interior Lighting'!D106,LightingSpaceType,0))</f>
        <v>#N/A</v>
      </c>
      <c r="Y106" s="1098" t="e">
        <f t="shared" si="19"/>
        <v>#N/A</v>
      </c>
      <c r="Z106" s="1098" t="e">
        <f t="shared" si="20"/>
        <v>#N/A</v>
      </c>
      <c r="AA106" s="1098" t="e">
        <f>INDEX(Lookup!$O$9:$O$24,MATCH('Interior Lighting'!Z106,Lookup!$K$9:$K$24,0))</f>
        <v>#N/A</v>
      </c>
      <c r="AB106" s="1098" t="e">
        <f>IF(E106="A",INDEX(Lookup!$L$9:$L$24,MATCH(Z106,Lookup!$K$9:$K$24,0)),IF(E106="B",INDEX(Lookup!$M$9:$M$24,MATCH(Z106,Lookup!$K$9:$K$24,0)),IF(E106="C",INDEX(Lookup!$N$9:$N$24,MATCH(Z106,Lookup!$K$9:$K$24,0)),"N/A")))</f>
        <v>#N/A</v>
      </c>
    </row>
    <row r="107" spans="1:28">
      <c r="A107" s="1006"/>
      <c r="B107" s="69"/>
      <c r="C107" s="330"/>
      <c r="D107" s="323"/>
      <c r="E107" s="324" t="e">
        <f>INDEX(Lookup!$I$9:$I$24,MATCH('Interior Lighting'!D107,Lookup!$C$9:$C$24,0))</f>
        <v>#N/A</v>
      </c>
      <c r="F107" s="69"/>
      <c r="G107" s="69"/>
      <c r="H107" s="69"/>
      <c r="I107" s="324" t="e">
        <f t="shared" si="21"/>
        <v>#N/A</v>
      </c>
      <c r="J107" s="170"/>
      <c r="K107" s="325">
        <f t="shared" si="22"/>
        <v>0</v>
      </c>
      <c r="L107" s="326" t="e">
        <f t="shared" si="23"/>
        <v>#DIV/0!</v>
      </c>
      <c r="M107" s="326" t="str">
        <f>IF(H107="Yes",IF(D107='Drop Down'!$W$4,0.9*L107,IF(D107='Drop Down'!$W$5,0.9*L107,IF(D107='Drop Down'!$W$10,0.9*L107,IF(D107='Drop Down'!$W$16,0.9*L107,"No credit allowed.")))),"N/A")</f>
        <v>N/A</v>
      </c>
      <c r="N107" s="327" t="e">
        <f>IF($D$20="Space-By-Space (90.1-2013)",INDEX(LPD2013SS,MATCH('Interior Lighting'!D107,LightingSpaceType,0)*W107),INDEX(LPD2013WB,MATCH('Interior Lighting'!D107,LightingSpaceType,0)))</f>
        <v>#N/A</v>
      </c>
      <c r="O107" s="327">
        <f t="shared" si="24"/>
        <v>0</v>
      </c>
      <c r="P107" s="407" t="e">
        <f t="shared" si="14"/>
        <v>#N/A</v>
      </c>
      <c r="Q107" s="407" t="e">
        <f t="shared" si="25"/>
        <v>#N/A</v>
      </c>
      <c r="R107" s="407" t="e">
        <f t="shared" si="15"/>
        <v>#N/A</v>
      </c>
      <c r="S107" s="324">
        <f t="shared" si="16"/>
        <v>0</v>
      </c>
      <c r="T107" s="924" t="str">
        <f t="shared" si="17"/>
        <v/>
      </c>
      <c r="U107" s="1221" t="str">
        <f t="shared" si="26"/>
        <v/>
      </c>
      <c r="W107" s="1098">
        <f t="shared" si="18"/>
        <v>1</v>
      </c>
      <c r="X107" s="1098" t="e">
        <f>INDEX(OSReq,MATCH('Interior Lighting'!D107,LightingSpaceType,0))</f>
        <v>#N/A</v>
      </c>
      <c r="Y107" s="1098" t="e">
        <f t="shared" si="19"/>
        <v>#N/A</v>
      </c>
      <c r="Z107" s="1098" t="e">
        <f t="shared" si="20"/>
        <v>#N/A</v>
      </c>
      <c r="AA107" s="1098" t="e">
        <f>INDEX(Lookup!$O$9:$O$24,MATCH('Interior Lighting'!Z107,Lookup!$K$9:$K$24,0))</f>
        <v>#N/A</v>
      </c>
      <c r="AB107" s="1098" t="e">
        <f>IF(E107="A",INDEX(Lookup!$L$9:$L$24,MATCH(Z107,Lookup!$K$9:$K$24,0)),IF(E107="B",INDEX(Lookup!$M$9:$M$24,MATCH(Z107,Lookup!$K$9:$K$24,0)),IF(E107="C",INDEX(Lookup!$N$9:$N$24,MATCH(Z107,Lookup!$K$9:$K$24,0)),"N/A")))</f>
        <v>#N/A</v>
      </c>
    </row>
    <row r="108" spans="1:28">
      <c r="A108" s="1006"/>
      <c r="B108" s="69"/>
      <c r="C108" s="323"/>
      <c r="D108" s="323"/>
      <c r="E108" s="324" t="e">
        <f>INDEX(Lookup!$I$9:$I$24,MATCH('Interior Lighting'!D108,Lookup!$C$9:$C$24,0))</f>
        <v>#N/A</v>
      </c>
      <c r="F108" s="69"/>
      <c r="G108" s="69"/>
      <c r="H108" s="69"/>
      <c r="I108" s="324" t="e">
        <f t="shared" si="21"/>
        <v>#N/A</v>
      </c>
      <c r="J108" s="170"/>
      <c r="K108" s="325">
        <f t="shared" si="22"/>
        <v>0</v>
      </c>
      <c r="L108" s="326" t="e">
        <f t="shared" si="23"/>
        <v>#DIV/0!</v>
      </c>
      <c r="M108" s="326" t="str">
        <f>IF(H108="Yes",IF(D108='Drop Down'!$W$4,0.9*L108,IF(D108='Drop Down'!$W$5,0.9*L108,IF(D108='Drop Down'!$W$10,0.9*L108,IF(D108='Drop Down'!$W$16,0.9*L108,"No credit allowed.")))),"N/A")</f>
        <v>N/A</v>
      </c>
      <c r="N108" s="327" t="e">
        <f>IF($D$20="Space-By-Space (90.1-2013)",INDEX(LPD2013SS,MATCH('Interior Lighting'!D108,LightingSpaceType,0)*W108),INDEX(LPD2013WB,MATCH('Interior Lighting'!D108,LightingSpaceType,0)))</f>
        <v>#N/A</v>
      </c>
      <c r="O108" s="327">
        <f t="shared" si="24"/>
        <v>0</v>
      </c>
      <c r="P108" s="407" t="e">
        <f t="shared" si="14"/>
        <v>#N/A</v>
      </c>
      <c r="Q108" s="407" t="e">
        <f t="shared" si="25"/>
        <v>#N/A</v>
      </c>
      <c r="R108" s="407" t="e">
        <f t="shared" si="15"/>
        <v>#N/A</v>
      </c>
      <c r="S108" s="324">
        <f t="shared" si="16"/>
        <v>0</v>
      </c>
      <c r="T108" s="924" t="str">
        <f t="shared" si="17"/>
        <v/>
      </c>
      <c r="U108" s="1221" t="str">
        <f t="shared" si="26"/>
        <v/>
      </c>
      <c r="W108" s="1098">
        <f t="shared" si="18"/>
        <v>1</v>
      </c>
      <c r="X108" s="1098" t="e">
        <f>INDEX(OSReq,MATCH('Interior Lighting'!D108,LightingSpaceType,0))</f>
        <v>#N/A</v>
      </c>
      <c r="Y108" s="1098" t="e">
        <f t="shared" si="19"/>
        <v>#N/A</v>
      </c>
      <c r="Z108" s="1098" t="e">
        <f t="shared" si="20"/>
        <v>#N/A</v>
      </c>
      <c r="AA108" s="1098" t="e">
        <f>INDEX(Lookup!$O$9:$O$24,MATCH('Interior Lighting'!Z108,Lookup!$K$9:$K$24,0))</f>
        <v>#N/A</v>
      </c>
      <c r="AB108" s="1098" t="e">
        <f>IF(E108="A",INDEX(Lookup!$L$9:$L$24,MATCH(Z108,Lookup!$K$9:$K$24,0)),IF(E108="B",INDEX(Lookup!$M$9:$M$24,MATCH(Z108,Lookup!$K$9:$K$24,0)),IF(E108="C",INDEX(Lookup!$N$9:$N$24,MATCH(Z108,Lookup!$K$9:$K$24,0)),"N/A")))</f>
        <v>#N/A</v>
      </c>
    </row>
    <row r="109" spans="1:28">
      <c r="A109" s="1006"/>
      <c r="B109" s="69"/>
      <c r="C109" s="323"/>
      <c r="D109" s="323"/>
      <c r="E109" s="324" t="e">
        <f>INDEX(Lookup!$I$9:$I$24,MATCH('Interior Lighting'!D109,Lookup!$C$9:$C$24,0))</f>
        <v>#N/A</v>
      </c>
      <c r="F109" s="69"/>
      <c r="G109" s="69"/>
      <c r="H109" s="69"/>
      <c r="I109" s="324" t="e">
        <f t="shared" si="21"/>
        <v>#N/A</v>
      </c>
      <c r="J109" s="170"/>
      <c r="K109" s="325">
        <f t="shared" si="22"/>
        <v>0</v>
      </c>
      <c r="L109" s="326" t="e">
        <f t="shared" si="23"/>
        <v>#DIV/0!</v>
      </c>
      <c r="M109" s="326" t="str">
        <f>IF(H109="Yes",IF(D109='Drop Down'!$W$4,0.9*L109,IF(D109='Drop Down'!$W$5,0.9*L109,IF(D109='Drop Down'!$W$10,0.9*L109,IF(D109='Drop Down'!$W$16,0.9*L109,"No credit allowed.")))),"N/A")</f>
        <v>N/A</v>
      </c>
      <c r="N109" s="327" t="e">
        <f>IF($D$20="Space-By-Space (90.1-2013)",INDEX(LPD2013SS,MATCH('Interior Lighting'!D109,LightingSpaceType,0)*W109),INDEX(LPD2013WB,MATCH('Interior Lighting'!D109,LightingSpaceType,0)))</f>
        <v>#N/A</v>
      </c>
      <c r="O109" s="327">
        <f t="shared" si="24"/>
        <v>0</v>
      </c>
      <c r="P109" s="407" t="e">
        <f t="shared" si="14"/>
        <v>#N/A</v>
      </c>
      <c r="Q109" s="407" t="e">
        <f t="shared" si="25"/>
        <v>#N/A</v>
      </c>
      <c r="R109" s="407" t="e">
        <f t="shared" si="15"/>
        <v>#N/A</v>
      </c>
      <c r="S109" s="324">
        <f t="shared" si="16"/>
        <v>0</v>
      </c>
      <c r="T109" s="924" t="str">
        <f t="shared" si="17"/>
        <v/>
      </c>
      <c r="U109" s="1221" t="str">
        <f t="shared" si="26"/>
        <v/>
      </c>
      <c r="W109" s="1098">
        <f t="shared" si="18"/>
        <v>1</v>
      </c>
      <c r="X109" s="1098" t="e">
        <f>INDEX(OSReq,MATCH('Interior Lighting'!D109,LightingSpaceType,0))</f>
        <v>#N/A</v>
      </c>
      <c r="Y109" s="1098" t="e">
        <f t="shared" si="19"/>
        <v>#N/A</v>
      </c>
      <c r="Z109" s="1098" t="e">
        <f t="shared" si="20"/>
        <v>#N/A</v>
      </c>
      <c r="AA109" s="1098" t="e">
        <f>INDEX(Lookup!$O$9:$O$24,MATCH('Interior Lighting'!Z109,Lookup!$K$9:$K$24,0))</f>
        <v>#N/A</v>
      </c>
      <c r="AB109" s="1098" t="e">
        <f>IF(E109="A",INDEX(Lookup!$L$9:$L$24,MATCH(Z109,Lookup!$K$9:$K$24,0)),IF(E109="B",INDEX(Lookup!$M$9:$M$24,MATCH(Z109,Lookup!$K$9:$K$24,0)),IF(E109="C",INDEX(Lookup!$N$9:$N$24,MATCH(Z109,Lookup!$K$9:$K$24,0)),"N/A")))</f>
        <v>#N/A</v>
      </c>
    </row>
    <row r="110" spans="1:28">
      <c r="A110" s="1006"/>
      <c r="B110" s="69"/>
      <c r="C110" s="323"/>
      <c r="D110" s="323"/>
      <c r="E110" s="324" t="e">
        <f>INDEX(Lookup!$I$9:$I$24,MATCH('Interior Lighting'!D110,Lookup!$C$9:$C$24,0))</f>
        <v>#N/A</v>
      </c>
      <c r="F110" s="69"/>
      <c r="G110" s="69"/>
      <c r="H110" s="69"/>
      <c r="I110" s="324" t="e">
        <f t="shared" si="21"/>
        <v>#N/A</v>
      </c>
      <c r="J110" s="170"/>
      <c r="K110" s="325">
        <f t="shared" si="22"/>
        <v>0</v>
      </c>
      <c r="L110" s="326" t="e">
        <f t="shared" si="23"/>
        <v>#DIV/0!</v>
      </c>
      <c r="M110" s="326" t="str">
        <f>IF(H110="Yes",IF(D110='Drop Down'!$W$4,0.9*L110,IF(D110='Drop Down'!$W$5,0.9*L110,IF(D110='Drop Down'!$W$10,0.9*L110,IF(D110='Drop Down'!$W$16,0.9*L110,"No credit allowed.")))),"N/A")</f>
        <v>N/A</v>
      </c>
      <c r="N110" s="327" t="e">
        <f>IF($D$20="Space-By-Space (90.1-2013)",INDEX(LPD2013SS,MATCH('Interior Lighting'!D110,LightingSpaceType,0)*W110),INDEX(LPD2013WB,MATCH('Interior Lighting'!D110,LightingSpaceType,0)))</f>
        <v>#N/A</v>
      </c>
      <c r="O110" s="327">
        <f t="shared" si="24"/>
        <v>0</v>
      </c>
      <c r="P110" s="407" t="e">
        <f t="shared" si="14"/>
        <v>#N/A</v>
      </c>
      <c r="Q110" s="407" t="e">
        <f t="shared" si="25"/>
        <v>#N/A</v>
      </c>
      <c r="R110" s="407" t="e">
        <f t="shared" si="15"/>
        <v>#N/A</v>
      </c>
      <c r="S110" s="324">
        <f t="shared" si="16"/>
        <v>0</v>
      </c>
      <c r="T110" s="924" t="str">
        <f t="shared" si="17"/>
        <v/>
      </c>
      <c r="U110" s="1221" t="str">
        <f t="shared" si="26"/>
        <v/>
      </c>
      <c r="W110" s="1098">
        <f t="shared" si="18"/>
        <v>1</v>
      </c>
      <c r="X110" s="1098" t="e">
        <f>INDEX(OSReq,MATCH('Interior Lighting'!D110,LightingSpaceType,0))</f>
        <v>#N/A</v>
      </c>
      <c r="Y110" s="1098" t="e">
        <f t="shared" si="19"/>
        <v>#N/A</v>
      </c>
      <c r="Z110" s="1098" t="e">
        <f t="shared" si="20"/>
        <v>#N/A</v>
      </c>
      <c r="AA110" s="1098" t="e">
        <f>INDEX(Lookup!$O$9:$O$24,MATCH('Interior Lighting'!Z110,Lookup!$K$9:$K$24,0))</f>
        <v>#N/A</v>
      </c>
      <c r="AB110" s="1098" t="e">
        <f>IF(E110="A",INDEX(Lookup!$L$9:$L$24,MATCH(Z110,Lookup!$K$9:$K$24,0)),IF(E110="B",INDEX(Lookup!$M$9:$M$24,MATCH(Z110,Lookup!$K$9:$K$24,0)),IF(E110="C",INDEX(Lookup!$N$9:$N$24,MATCH(Z110,Lookup!$K$9:$K$24,0)),"N/A")))</f>
        <v>#N/A</v>
      </c>
    </row>
    <row r="111" spans="1:28">
      <c r="A111" s="1006"/>
      <c r="B111" s="69"/>
      <c r="C111" s="323"/>
      <c r="D111" s="323"/>
      <c r="E111" s="324" t="e">
        <f>INDEX(Lookup!$I$9:$I$24,MATCH('Interior Lighting'!D111,Lookup!$C$9:$C$24,0))</f>
        <v>#N/A</v>
      </c>
      <c r="F111" s="69"/>
      <c r="G111" s="69"/>
      <c r="H111" s="69"/>
      <c r="I111" s="324" t="e">
        <f t="shared" si="21"/>
        <v>#N/A</v>
      </c>
      <c r="J111" s="170"/>
      <c r="K111" s="325">
        <f t="shared" si="22"/>
        <v>0</v>
      </c>
      <c r="L111" s="326" t="e">
        <f t="shared" si="23"/>
        <v>#DIV/0!</v>
      </c>
      <c r="M111" s="326" t="str">
        <f>IF(H111="Yes",IF(D111='Drop Down'!$W$4,0.9*L111,IF(D111='Drop Down'!$W$5,0.9*L111,IF(D111='Drop Down'!$W$10,0.9*L111,IF(D111='Drop Down'!$W$16,0.9*L111,"No credit allowed.")))),"N/A")</f>
        <v>N/A</v>
      </c>
      <c r="N111" s="327" t="e">
        <f>IF($D$20="Space-By-Space (90.1-2013)",INDEX(LPD2013SS,MATCH('Interior Lighting'!D111,LightingSpaceType,0)*W111),INDEX(LPD2013WB,MATCH('Interior Lighting'!D111,LightingSpaceType,0)))</f>
        <v>#N/A</v>
      </c>
      <c r="O111" s="327">
        <f t="shared" si="24"/>
        <v>0</v>
      </c>
      <c r="P111" s="407" t="e">
        <f t="shared" si="14"/>
        <v>#N/A</v>
      </c>
      <c r="Q111" s="407" t="e">
        <f t="shared" si="25"/>
        <v>#N/A</v>
      </c>
      <c r="R111" s="407" t="e">
        <f t="shared" si="15"/>
        <v>#N/A</v>
      </c>
      <c r="S111" s="324">
        <f t="shared" si="16"/>
        <v>0</v>
      </c>
      <c r="T111" s="924" t="str">
        <f t="shared" si="17"/>
        <v/>
      </c>
      <c r="U111" s="1221" t="str">
        <f t="shared" si="26"/>
        <v/>
      </c>
      <c r="W111" s="1098">
        <f t="shared" si="18"/>
        <v>1</v>
      </c>
      <c r="X111" s="1098" t="e">
        <f>INDEX(OSReq,MATCH('Interior Lighting'!D111,LightingSpaceType,0))</f>
        <v>#N/A</v>
      </c>
      <c r="Y111" s="1098" t="e">
        <f t="shared" si="19"/>
        <v>#N/A</v>
      </c>
      <c r="Z111" s="1098" t="e">
        <f t="shared" si="20"/>
        <v>#N/A</v>
      </c>
      <c r="AA111" s="1098" t="e">
        <f>INDEX(Lookup!$O$9:$O$24,MATCH('Interior Lighting'!Z111,Lookup!$K$9:$K$24,0))</f>
        <v>#N/A</v>
      </c>
      <c r="AB111" s="1098" t="e">
        <f>IF(E111="A",INDEX(Lookup!$L$9:$L$24,MATCH(Z111,Lookup!$K$9:$K$24,0)),IF(E111="B",INDEX(Lookup!$M$9:$M$24,MATCH(Z111,Lookup!$K$9:$K$24,0)),IF(E111="C",INDEX(Lookup!$N$9:$N$24,MATCH(Z111,Lookup!$K$9:$K$24,0)),"N/A")))</f>
        <v>#N/A</v>
      </c>
    </row>
    <row r="112" spans="1:28">
      <c r="A112" s="1006"/>
      <c r="B112" s="69"/>
      <c r="C112" s="323"/>
      <c r="D112" s="323"/>
      <c r="E112" s="324" t="e">
        <f>INDEX(Lookup!$I$9:$I$24,MATCH('Interior Lighting'!D112,Lookup!$C$9:$C$24,0))</f>
        <v>#N/A</v>
      </c>
      <c r="F112" s="69"/>
      <c r="G112" s="69"/>
      <c r="H112" s="69"/>
      <c r="I112" s="324" t="e">
        <f t="shared" si="21"/>
        <v>#N/A</v>
      </c>
      <c r="J112" s="170"/>
      <c r="K112" s="325">
        <f t="shared" si="22"/>
        <v>0</v>
      </c>
      <c r="L112" s="326" t="e">
        <f t="shared" si="23"/>
        <v>#DIV/0!</v>
      </c>
      <c r="M112" s="326" t="str">
        <f>IF(H112="Yes",IF(D112='Drop Down'!$W$4,0.9*L112,IF(D112='Drop Down'!$W$5,0.9*L112,IF(D112='Drop Down'!$W$10,0.9*L112,IF(D112='Drop Down'!$W$16,0.9*L112,"No credit allowed.")))),"N/A")</f>
        <v>N/A</v>
      </c>
      <c r="N112" s="327" t="e">
        <f>IF($D$20="Space-By-Space (90.1-2013)",INDEX(LPD2013SS,MATCH('Interior Lighting'!D112,LightingSpaceType,0)*W112),INDEX(LPD2013WB,MATCH('Interior Lighting'!D112,LightingSpaceType,0)))</f>
        <v>#N/A</v>
      </c>
      <c r="O112" s="327">
        <f t="shared" si="24"/>
        <v>0</v>
      </c>
      <c r="P112" s="407" t="e">
        <f t="shared" si="14"/>
        <v>#N/A</v>
      </c>
      <c r="Q112" s="407" t="e">
        <f t="shared" si="25"/>
        <v>#N/A</v>
      </c>
      <c r="R112" s="407" t="e">
        <f t="shared" si="15"/>
        <v>#N/A</v>
      </c>
      <c r="S112" s="324">
        <f t="shared" si="16"/>
        <v>0</v>
      </c>
      <c r="T112" s="924" t="str">
        <f t="shared" si="17"/>
        <v/>
      </c>
      <c r="U112" s="1221" t="str">
        <f t="shared" si="26"/>
        <v/>
      </c>
      <c r="W112" s="1098">
        <f t="shared" si="18"/>
        <v>1</v>
      </c>
      <c r="X112" s="1098" t="e">
        <f>INDEX(OSReq,MATCH('Interior Lighting'!D112,LightingSpaceType,0))</f>
        <v>#N/A</v>
      </c>
      <c r="Y112" s="1098" t="e">
        <f t="shared" si="19"/>
        <v>#N/A</v>
      </c>
      <c r="Z112" s="1098" t="e">
        <f t="shared" si="20"/>
        <v>#N/A</v>
      </c>
      <c r="AA112" s="1098" t="e">
        <f>INDEX(Lookup!$O$9:$O$24,MATCH('Interior Lighting'!Z112,Lookup!$K$9:$K$24,0))</f>
        <v>#N/A</v>
      </c>
      <c r="AB112" s="1098" t="e">
        <f>IF(E112="A",INDEX(Lookup!$L$9:$L$24,MATCH(Z112,Lookup!$K$9:$K$24,0)),IF(E112="B",INDEX(Lookup!$M$9:$M$24,MATCH(Z112,Lookup!$K$9:$K$24,0)),IF(E112="C",INDEX(Lookup!$N$9:$N$24,MATCH(Z112,Lookup!$K$9:$K$24,0)),"N/A")))</f>
        <v>#N/A</v>
      </c>
    </row>
    <row r="113" spans="1:28">
      <c r="A113" s="1006"/>
      <c r="B113" s="69"/>
      <c r="C113" s="330"/>
      <c r="D113" s="323"/>
      <c r="E113" s="324" t="e">
        <f>INDEX(Lookup!$I$9:$I$24,MATCH('Interior Lighting'!D113,Lookup!$C$9:$C$24,0))</f>
        <v>#N/A</v>
      </c>
      <c r="F113" s="69"/>
      <c r="G113" s="69"/>
      <c r="H113" s="69"/>
      <c r="I113" s="324" t="e">
        <f t="shared" si="21"/>
        <v>#N/A</v>
      </c>
      <c r="J113" s="170"/>
      <c r="K113" s="325">
        <f t="shared" si="22"/>
        <v>0</v>
      </c>
      <c r="L113" s="326" t="e">
        <f t="shared" si="23"/>
        <v>#DIV/0!</v>
      </c>
      <c r="M113" s="326" t="str">
        <f>IF(H113="Yes",IF(D113='Drop Down'!$W$4,0.9*L113,IF(D113='Drop Down'!$W$5,0.9*L113,IF(D113='Drop Down'!$W$10,0.9*L113,IF(D113='Drop Down'!$W$16,0.9*L113,"No credit allowed.")))),"N/A")</f>
        <v>N/A</v>
      </c>
      <c r="N113" s="327" t="e">
        <f>IF($D$20="Space-By-Space (90.1-2013)",INDEX(LPD2013SS,MATCH('Interior Lighting'!D113,LightingSpaceType,0)*W113),INDEX(LPD2013WB,MATCH('Interior Lighting'!D113,LightingSpaceType,0)))</f>
        <v>#N/A</v>
      </c>
      <c r="O113" s="327">
        <f t="shared" si="24"/>
        <v>0</v>
      </c>
      <c r="P113" s="407" t="e">
        <f t="shared" si="14"/>
        <v>#N/A</v>
      </c>
      <c r="Q113" s="407" t="e">
        <f t="shared" si="25"/>
        <v>#N/A</v>
      </c>
      <c r="R113" s="407" t="e">
        <f t="shared" si="15"/>
        <v>#N/A</v>
      </c>
      <c r="S113" s="324">
        <f t="shared" si="16"/>
        <v>0</v>
      </c>
      <c r="T113" s="924" t="str">
        <f t="shared" si="17"/>
        <v/>
      </c>
      <c r="U113" s="1221" t="str">
        <f t="shared" si="26"/>
        <v/>
      </c>
      <c r="W113" s="1098">
        <f t="shared" si="18"/>
        <v>1</v>
      </c>
      <c r="X113" s="1098" t="e">
        <f>INDEX(OSReq,MATCH('Interior Lighting'!D113,LightingSpaceType,0))</f>
        <v>#N/A</v>
      </c>
      <c r="Y113" s="1098" t="e">
        <f t="shared" si="19"/>
        <v>#N/A</v>
      </c>
      <c r="Z113" s="1098" t="e">
        <f t="shared" si="20"/>
        <v>#N/A</v>
      </c>
      <c r="AA113" s="1098" t="e">
        <f>INDEX(Lookup!$O$9:$O$24,MATCH('Interior Lighting'!Z113,Lookup!$K$9:$K$24,0))</f>
        <v>#N/A</v>
      </c>
      <c r="AB113" s="1098" t="e">
        <f>IF(E113="A",INDEX(Lookup!$L$9:$L$24,MATCH(Z113,Lookup!$K$9:$K$24,0)),IF(E113="B",INDEX(Lookup!$M$9:$M$24,MATCH(Z113,Lookup!$K$9:$K$24,0)),IF(E113="C",INDEX(Lookup!$N$9:$N$24,MATCH(Z113,Lookup!$K$9:$K$24,0)),"N/A")))</f>
        <v>#N/A</v>
      </c>
    </row>
    <row r="114" spans="1:28">
      <c r="A114" s="1006"/>
      <c r="B114" s="69"/>
      <c r="C114" s="323"/>
      <c r="D114" s="323"/>
      <c r="E114" s="324" t="e">
        <f>INDEX(Lookup!$I$9:$I$24,MATCH('Interior Lighting'!D114,Lookup!$C$9:$C$24,0))</f>
        <v>#N/A</v>
      </c>
      <c r="F114" s="69"/>
      <c r="G114" s="69"/>
      <c r="H114" s="69"/>
      <c r="I114" s="324" t="e">
        <f t="shared" si="21"/>
        <v>#N/A</v>
      </c>
      <c r="J114" s="170"/>
      <c r="K114" s="325">
        <f t="shared" si="22"/>
        <v>0</v>
      </c>
      <c r="L114" s="326" t="e">
        <f t="shared" si="23"/>
        <v>#DIV/0!</v>
      </c>
      <c r="M114" s="326" t="str">
        <f>IF(H114="Yes",IF(D114='Drop Down'!$W$4,0.9*L114,IF(D114='Drop Down'!$W$5,0.9*L114,IF(D114='Drop Down'!$W$10,0.9*L114,IF(D114='Drop Down'!$W$16,0.9*L114,"No credit allowed.")))),"N/A")</f>
        <v>N/A</v>
      </c>
      <c r="N114" s="327" t="e">
        <f>IF($D$20="Space-By-Space (90.1-2013)",INDEX(LPD2013SS,MATCH('Interior Lighting'!D114,LightingSpaceType,0)*W114),INDEX(LPD2013WB,MATCH('Interior Lighting'!D114,LightingSpaceType,0)))</f>
        <v>#N/A</v>
      </c>
      <c r="O114" s="327">
        <f t="shared" si="24"/>
        <v>0</v>
      </c>
      <c r="P114" s="407" t="e">
        <f t="shared" si="14"/>
        <v>#N/A</v>
      </c>
      <c r="Q114" s="407" t="e">
        <f t="shared" si="25"/>
        <v>#N/A</v>
      </c>
      <c r="R114" s="407" t="e">
        <f t="shared" si="15"/>
        <v>#N/A</v>
      </c>
      <c r="S114" s="324">
        <f t="shared" si="16"/>
        <v>0</v>
      </c>
      <c r="T114" s="924" t="str">
        <f t="shared" si="17"/>
        <v/>
      </c>
      <c r="U114" s="1221" t="str">
        <f t="shared" si="26"/>
        <v/>
      </c>
      <c r="W114" s="1098">
        <f t="shared" si="18"/>
        <v>1</v>
      </c>
      <c r="X114" s="1098" t="e">
        <f>INDEX(OSReq,MATCH('Interior Lighting'!D114,LightingSpaceType,0))</f>
        <v>#N/A</v>
      </c>
      <c r="Y114" s="1098" t="e">
        <f t="shared" si="19"/>
        <v>#N/A</v>
      </c>
      <c r="Z114" s="1098" t="e">
        <f t="shared" si="20"/>
        <v>#N/A</v>
      </c>
      <c r="AA114" s="1098" t="e">
        <f>INDEX(Lookup!$O$9:$O$24,MATCH('Interior Lighting'!Z114,Lookup!$K$9:$K$24,0))</f>
        <v>#N/A</v>
      </c>
      <c r="AB114" s="1098" t="e">
        <f>IF(E114="A",INDEX(Lookup!$L$9:$L$24,MATCH(Z114,Lookup!$K$9:$K$24,0)),IF(E114="B",INDEX(Lookup!$M$9:$M$24,MATCH(Z114,Lookup!$K$9:$K$24,0)),IF(E114="C",INDEX(Lookup!$N$9:$N$24,MATCH(Z114,Lookup!$K$9:$K$24,0)),"N/A")))</f>
        <v>#N/A</v>
      </c>
    </row>
    <row r="115" spans="1:28">
      <c r="A115" s="1006"/>
      <c r="B115" s="69"/>
      <c r="C115" s="323"/>
      <c r="D115" s="323"/>
      <c r="E115" s="324" t="e">
        <f>INDEX(Lookup!$I$9:$I$24,MATCH('Interior Lighting'!D115,Lookup!$C$9:$C$24,0))</f>
        <v>#N/A</v>
      </c>
      <c r="F115" s="69"/>
      <c r="G115" s="69"/>
      <c r="H115" s="69"/>
      <c r="I115" s="324" t="e">
        <f t="shared" si="21"/>
        <v>#N/A</v>
      </c>
      <c r="J115" s="170"/>
      <c r="K115" s="325">
        <f t="shared" si="22"/>
        <v>0</v>
      </c>
      <c r="L115" s="326" t="e">
        <f t="shared" si="23"/>
        <v>#DIV/0!</v>
      </c>
      <c r="M115" s="326" t="str">
        <f>IF(H115="Yes",IF(D115='Drop Down'!$W$4,0.9*L115,IF(D115='Drop Down'!$W$5,0.9*L115,IF(D115='Drop Down'!$W$10,0.9*L115,IF(D115='Drop Down'!$W$16,0.9*L115,"No credit allowed.")))),"N/A")</f>
        <v>N/A</v>
      </c>
      <c r="N115" s="327" t="e">
        <f>IF($D$20="Space-By-Space (90.1-2013)",INDEX(LPD2013SS,MATCH('Interior Lighting'!D115,LightingSpaceType,0)*W115),INDEX(LPD2013WB,MATCH('Interior Lighting'!D115,LightingSpaceType,0)))</f>
        <v>#N/A</v>
      </c>
      <c r="O115" s="327">
        <f t="shared" si="24"/>
        <v>0</v>
      </c>
      <c r="P115" s="407" t="e">
        <f t="shared" si="14"/>
        <v>#N/A</v>
      </c>
      <c r="Q115" s="407" t="e">
        <f t="shared" si="25"/>
        <v>#N/A</v>
      </c>
      <c r="R115" s="407" t="e">
        <f t="shared" si="15"/>
        <v>#N/A</v>
      </c>
      <c r="S115" s="324">
        <f t="shared" si="16"/>
        <v>0</v>
      </c>
      <c r="T115" s="924" t="str">
        <f t="shared" si="17"/>
        <v/>
      </c>
      <c r="U115" s="1221" t="str">
        <f t="shared" si="26"/>
        <v/>
      </c>
      <c r="W115" s="1098">
        <f t="shared" si="18"/>
        <v>1</v>
      </c>
      <c r="X115" s="1098" t="e">
        <f>INDEX(OSReq,MATCH('Interior Lighting'!D115,LightingSpaceType,0))</f>
        <v>#N/A</v>
      </c>
      <c r="Y115" s="1098" t="e">
        <f t="shared" si="19"/>
        <v>#N/A</v>
      </c>
      <c r="Z115" s="1098" t="e">
        <f t="shared" si="20"/>
        <v>#N/A</v>
      </c>
      <c r="AA115" s="1098" t="e">
        <f>INDEX(Lookup!$O$9:$O$24,MATCH('Interior Lighting'!Z115,Lookup!$K$9:$K$24,0))</f>
        <v>#N/A</v>
      </c>
      <c r="AB115" s="1098" t="e">
        <f>IF(E115="A",INDEX(Lookup!$L$9:$L$24,MATCH(Z115,Lookup!$K$9:$K$24,0)),IF(E115="B",INDEX(Lookup!$M$9:$M$24,MATCH(Z115,Lookup!$K$9:$K$24,0)),IF(E115="C",INDEX(Lookup!$N$9:$N$24,MATCH(Z115,Lookup!$K$9:$K$24,0)),"N/A")))</f>
        <v>#N/A</v>
      </c>
    </row>
    <row r="116" spans="1:28">
      <c r="A116" s="1006"/>
      <c r="B116" s="69"/>
      <c r="C116" s="323"/>
      <c r="D116" s="323"/>
      <c r="E116" s="324" t="e">
        <f>INDEX(Lookup!$I$9:$I$24,MATCH('Interior Lighting'!D116,Lookup!$C$9:$C$24,0))</f>
        <v>#N/A</v>
      </c>
      <c r="F116" s="69"/>
      <c r="G116" s="69"/>
      <c r="H116" s="69"/>
      <c r="I116" s="324" t="e">
        <f t="shared" si="21"/>
        <v>#N/A</v>
      </c>
      <c r="J116" s="170"/>
      <c r="K116" s="325">
        <f t="shared" si="22"/>
        <v>0</v>
      </c>
      <c r="L116" s="326" t="e">
        <f t="shared" si="23"/>
        <v>#DIV/0!</v>
      </c>
      <c r="M116" s="326" t="str">
        <f>IF(H116="Yes",IF(D116='Drop Down'!$W$4,0.9*L116,IF(D116='Drop Down'!$W$5,0.9*L116,IF(D116='Drop Down'!$W$10,0.9*L116,IF(D116='Drop Down'!$W$16,0.9*L116,"No credit allowed.")))),"N/A")</f>
        <v>N/A</v>
      </c>
      <c r="N116" s="327" t="e">
        <f>IF($D$20="Space-By-Space (90.1-2013)",INDEX(LPD2013SS,MATCH('Interior Lighting'!D116,LightingSpaceType,0)*W116),INDEX(LPD2013WB,MATCH('Interior Lighting'!D116,LightingSpaceType,0)))</f>
        <v>#N/A</v>
      </c>
      <c r="O116" s="327">
        <f t="shared" si="24"/>
        <v>0</v>
      </c>
      <c r="P116" s="407" t="e">
        <f t="shared" si="14"/>
        <v>#N/A</v>
      </c>
      <c r="Q116" s="407" t="e">
        <f t="shared" si="25"/>
        <v>#N/A</v>
      </c>
      <c r="R116" s="407" t="e">
        <f t="shared" si="15"/>
        <v>#N/A</v>
      </c>
      <c r="S116" s="324">
        <f t="shared" si="16"/>
        <v>0</v>
      </c>
      <c r="T116" s="924" t="str">
        <f t="shared" si="17"/>
        <v/>
      </c>
      <c r="U116" s="1221" t="str">
        <f t="shared" si="26"/>
        <v/>
      </c>
      <c r="W116" s="1098">
        <f t="shared" si="18"/>
        <v>1</v>
      </c>
      <c r="X116" s="1098" t="e">
        <f>INDEX(OSReq,MATCH('Interior Lighting'!D116,LightingSpaceType,0))</f>
        <v>#N/A</v>
      </c>
      <c r="Y116" s="1098" t="e">
        <f t="shared" si="19"/>
        <v>#N/A</v>
      </c>
      <c r="Z116" s="1098" t="e">
        <f t="shared" si="20"/>
        <v>#N/A</v>
      </c>
      <c r="AA116" s="1098" t="e">
        <f>INDEX(Lookup!$O$9:$O$24,MATCH('Interior Lighting'!Z116,Lookup!$K$9:$K$24,0))</f>
        <v>#N/A</v>
      </c>
      <c r="AB116" s="1098" t="e">
        <f>IF(E116="A",INDEX(Lookup!$L$9:$L$24,MATCH(Z116,Lookup!$K$9:$K$24,0)),IF(E116="B",INDEX(Lookup!$M$9:$M$24,MATCH(Z116,Lookup!$K$9:$K$24,0)),IF(E116="C",INDEX(Lookup!$N$9:$N$24,MATCH(Z116,Lookup!$K$9:$K$24,0)),"N/A")))</f>
        <v>#N/A</v>
      </c>
    </row>
    <row r="117" spans="1:28">
      <c r="A117" s="1006"/>
      <c r="B117" s="69"/>
      <c r="C117" s="323"/>
      <c r="D117" s="323"/>
      <c r="E117" s="324" t="e">
        <f>INDEX(Lookup!$I$9:$I$24,MATCH('Interior Lighting'!D117,Lookup!$C$9:$C$24,0))</f>
        <v>#N/A</v>
      </c>
      <c r="F117" s="69"/>
      <c r="G117" s="69"/>
      <c r="H117" s="69"/>
      <c r="I117" s="324" t="e">
        <f t="shared" si="21"/>
        <v>#N/A</v>
      </c>
      <c r="J117" s="170"/>
      <c r="K117" s="325">
        <f t="shared" si="22"/>
        <v>0</v>
      </c>
      <c r="L117" s="326" t="e">
        <f t="shared" si="23"/>
        <v>#DIV/0!</v>
      </c>
      <c r="M117" s="326" t="str">
        <f>IF(H117="Yes",IF(D117='Drop Down'!$W$4,0.9*L117,IF(D117='Drop Down'!$W$5,0.9*L117,IF(D117='Drop Down'!$W$10,0.9*L117,IF(D117='Drop Down'!$W$16,0.9*L117,"No credit allowed.")))),"N/A")</f>
        <v>N/A</v>
      </c>
      <c r="N117" s="327" t="e">
        <f>IF($D$20="Space-By-Space (90.1-2013)",INDEX(LPD2013SS,MATCH('Interior Lighting'!D117,LightingSpaceType,0)*W117),INDEX(LPD2013WB,MATCH('Interior Lighting'!D117,LightingSpaceType,0)))</f>
        <v>#N/A</v>
      </c>
      <c r="O117" s="327">
        <f t="shared" si="24"/>
        <v>0</v>
      </c>
      <c r="P117" s="407" t="e">
        <f t="shared" si="14"/>
        <v>#N/A</v>
      </c>
      <c r="Q117" s="407" t="e">
        <f t="shared" si="25"/>
        <v>#N/A</v>
      </c>
      <c r="R117" s="407" t="e">
        <f t="shared" si="15"/>
        <v>#N/A</v>
      </c>
      <c r="S117" s="324">
        <f t="shared" si="16"/>
        <v>0</v>
      </c>
      <c r="T117" s="924" t="str">
        <f t="shared" si="17"/>
        <v/>
      </c>
      <c r="U117" s="1221" t="str">
        <f t="shared" si="26"/>
        <v/>
      </c>
      <c r="W117" s="1098">
        <f t="shared" si="18"/>
        <v>1</v>
      </c>
      <c r="X117" s="1098" t="e">
        <f>INDEX(OSReq,MATCH('Interior Lighting'!D117,LightingSpaceType,0))</f>
        <v>#N/A</v>
      </c>
      <c r="Y117" s="1098" t="e">
        <f t="shared" si="19"/>
        <v>#N/A</v>
      </c>
      <c r="Z117" s="1098" t="e">
        <f t="shared" si="20"/>
        <v>#N/A</v>
      </c>
      <c r="AA117" s="1098" t="e">
        <f>INDEX(Lookup!$O$9:$O$24,MATCH('Interior Lighting'!Z117,Lookup!$K$9:$K$24,0))</f>
        <v>#N/A</v>
      </c>
      <c r="AB117" s="1098" t="e">
        <f>IF(E117="A",INDEX(Lookup!$L$9:$L$24,MATCH(Z117,Lookup!$K$9:$K$24,0)),IF(E117="B",INDEX(Lookup!$M$9:$M$24,MATCH(Z117,Lookup!$K$9:$K$24,0)),IF(E117="C",INDEX(Lookup!$N$9:$N$24,MATCH(Z117,Lookup!$K$9:$K$24,0)),"N/A")))</f>
        <v>#N/A</v>
      </c>
    </row>
    <row r="118" spans="1:28">
      <c r="A118" s="1006"/>
      <c r="B118" s="69"/>
      <c r="C118" s="323"/>
      <c r="D118" s="323"/>
      <c r="E118" s="324" t="e">
        <f>INDEX(Lookup!$I$9:$I$24,MATCH('Interior Lighting'!D118,Lookup!$C$9:$C$24,0))</f>
        <v>#N/A</v>
      </c>
      <c r="F118" s="69"/>
      <c r="G118" s="69"/>
      <c r="H118" s="69"/>
      <c r="I118" s="324" t="e">
        <f t="shared" si="21"/>
        <v>#N/A</v>
      </c>
      <c r="J118" s="170"/>
      <c r="K118" s="325">
        <f t="shared" si="22"/>
        <v>0</v>
      </c>
      <c r="L118" s="326" t="e">
        <f t="shared" si="23"/>
        <v>#DIV/0!</v>
      </c>
      <c r="M118" s="326" t="str">
        <f>IF(H118="Yes",IF(D118='Drop Down'!$W$4,0.9*L118,IF(D118='Drop Down'!$W$5,0.9*L118,IF(D118='Drop Down'!$W$10,0.9*L118,IF(D118='Drop Down'!$W$16,0.9*L118,"No credit allowed.")))),"N/A")</f>
        <v>N/A</v>
      </c>
      <c r="N118" s="327" t="e">
        <f>IF($D$20="Space-By-Space (90.1-2013)",INDEX(LPD2013SS,MATCH('Interior Lighting'!D118,LightingSpaceType,0)*W118),INDEX(LPD2013WB,MATCH('Interior Lighting'!D118,LightingSpaceType,0)))</f>
        <v>#N/A</v>
      </c>
      <c r="O118" s="327">
        <f t="shared" si="24"/>
        <v>0</v>
      </c>
      <c r="P118" s="407" t="e">
        <f t="shared" si="14"/>
        <v>#N/A</v>
      </c>
      <c r="Q118" s="407" t="e">
        <f t="shared" si="25"/>
        <v>#N/A</v>
      </c>
      <c r="R118" s="407" t="e">
        <f t="shared" si="15"/>
        <v>#N/A</v>
      </c>
      <c r="S118" s="324">
        <f t="shared" si="16"/>
        <v>0</v>
      </c>
      <c r="T118" s="924" t="str">
        <f t="shared" si="17"/>
        <v/>
      </c>
      <c r="U118" s="1221" t="str">
        <f t="shared" si="26"/>
        <v/>
      </c>
      <c r="W118" s="1098">
        <f t="shared" si="18"/>
        <v>1</v>
      </c>
      <c r="X118" s="1098" t="e">
        <f>INDEX(OSReq,MATCH('Interior Lighting'!D118,LightingSpaceType,0))</f>
        <v>#N/A</v>
      </c>
      <c r="Y118" s="1098" t="e">
        <f t="shared" si="19"/>
        <v>#N/A</v>
      </c>
      <c r="Z118" s="1098" t="e">
        <f t="shared" si="20"/>
        <v>#N/A</v>
      </c>
      <c r="AA118" s="1098" t="e">
        <f>INDEX(Lookup!$O$9:$O$24,MATCH('Interior Lighting'!Z118,Lookup!$K$9:$K$24,0))</f>
        <v>#N/A</v>
      </c>
      <c r="AB118" s="1098" t="e">
        <f>IF(E118="A",INDEX(Lookup!$L$9:$L$24,MATCH(Z118,Lookup!$K$9:$K$24,0)),IF(E118="B",INDEX(Lookup!$M$9:$M$24,MATCH(Z118,Lookup!$K$9:$K$24,0)),IF(E118="C",INDEX(Lookup!$N$9:$N$24,MATCH(Z118,Lookup!$K$9:$K$24,0)),"N/A")))</f>
        <v>#N/A</v>
      </c>
    </row>
    <row r="119" spans="1:28">
      <c r="A119" s="1006"/>
      <c r="B119" s="69"/>
      <c r="C119" s="330"/>
      <c r="D119" s="323"/>
      <c r="E119" s="324" t="e">
        <f>INDEX(Lookup!$I$9:$I$24,MATCH('Interior Lighting'!D119,Lookup!$C$9:$C$24,0))</f>
        <v>#N/A</v>
      </c>
      <c r="F119" s="69"/>
      <c r="G119" s="69"/>
      <c r="H119" s="69"/>
      <c r="I119" s="324" t="e">
        <f t="shared" si="21"/>
        <v>#N/A</v>
      </c>
      <c r="J119" s="170"/>
      <c r="K119" s="325">
        <f t="shared" si="22"/>
        <v>0</v>
      </c>
      <c r="L119" s="326" t="e">
        <f t="shared" si="23"/>
        <v>#DIV/0!</v>
      </c>
      <c r="M119" s="326" t="str">
        <f>IF(H119="Yes",IF(D119='Drop Down'!$W$4,0.9*L119,IF(D119='Drop Down'!$W$5,0.9*L119,IF(D119='Drop Down'!$W$10,0.9*L119,IF(D119='Drop Down'!$W$16,0.9*L119,"No credit allowed.")))),"N/A")</f>
        <v>N/A</v>
      </c>
      <c r="N119" s="327" t="e">
        <f>IF($D$20="Space-By-Space (90.1-2013)",INDEX(LPD2013SS,MATCH('Interior Lighting'!D119,LightingSpaceType,0)*W119),INDEX(LPD2013WB,MATCH('Interior Lighting'!D119,LightingSpaceType,0)))</f>
        <v>#N/A</v>
      </c>
      <c r="O119" s="327">
        <f t="shared" si="24"/>
        <v>0</v>
      </c>
      <c r="P119" s="407" t="e">
        <f t="shared" si="14"/>
        <v>#N/A</v>
      </c>
      <c r="Q119" s="407" t="e">
        <f t="shared" si="25"/>
        <v>#N/A</v>
      </c>
      <c r="R119" s="407" t="e">
        <f t="shared" si="15"/>
        <v>#N/A</v>
      </c>
      <c r="S119" s="324">
        <f t="shared" si="16"/>
        <v>0</v>
      </c>
      <c r="T119" s="924" t="str">
        <f t="shared" si="17"/>
        <v/>
      </c>
      <c r="U119" s="1221" t="str">
        <f t="shared" si="26"/>
        <v/>
      </c>
      <c r="W119" s="1098">
        <f t="shared" si="18"/>
        <v>1</v>
      </c>
      <c r="X119" s="1098" t="e">
        <f>INDEX(OSReq,MATCH('Interior Lighting'!D119,LightingSpaceType,0))</f>
        <v>#N/A</v>
      </c>
      <c r="Y119" s="1098" t="e">
        <f t="shared" si="19"/>
        <v>#N/A</v>
      </c>
      <c r="Z119" s="1098" t="e">
        <f t="shared" si="20"/>
        <v>#N/A</v>
      </c>
      <c r="AA119" s="1098" t="e">
        <f>INDEX(Lookup!$O$9:$O$24,MATCH('Interior Lighting'!Z119,Lookup!$K$9:$K$24,0))</f>
        <v>#N/A</v>
      </c>
      <c r="AB119" s="1098" t="e">
        <f>IF(E119="A",INDEX(Lookup!$L$9:$L$24,MATCH(Z119,Lookup!$K$9:$K$24,0)),IF(E119="B",INDEX(Lookup!$M$9:$M$24,MATCH(Z119,Lookup!$K$9:$K$24,0)),IF(E119="C",INDEX(Lookup!$N$9:$N$24,MATCH(Z119,Lookup!$K$9:$K$24,0)),"N/A")))</f>
        <v>#N/A</v>
      </c>
    </row>
    <row r="120" spans="1:28">
      <c r="A120" s="1006"/>
      <c r="B120" s="69"/>
      <c r="C120" s="323"/>
      <c r="D120" s="323"/>
      <c r="E120" s="324" t="e">
        <f>INDEX(Lookup!$I$9:$I$24,MATCH('Interior Lighting'!D120,Lookup!$C$9:$C$24,0))</f>
        <v>#N/A</v>
      </c>
      <c r="F120" s="69"/>
      <c r="G120" s="69"/>
      <c r="H120" s="69"/>
      <c r="I120" s="324" t="e">
        <f t="shared" si="21"/>
        <v>#N/A</v>
      </c>
      <c r="J120" s="170"/>
      <c r="K120" s="325">
        <f t="shared" si="22"/>
        <v>0</v>
      </c>
      <c r="L120" s="326" t="e">
        <f t="shared" si="23"/>
        <v>#DIV/0!</v>
      </c>
      <c r="M120" s="326" t="str">
        <f>IF(H120="Yes",IF(D120='Drop Down'!$W$4,0.9*L120,IF(D120='Drop Down'!$W$5,0.9*L120,IF(D120='Drop Down'!$W$10,0.9*L120,IF(D120='Drop Down'!$W$16,0.9*L120,"No credit allowed.")))),"N/A")</f>
        <v>N/A</v>
      </c>
      <c r="N120" s="327" t="e">
        <f>IF($D$20="Space-By-Space (90.1-2013)",INDEX(LPD2013SS,MATCH('Interior Lighting'!D120,LightingSpaceType,0)*W120),INDEX(LPD2013WB,MATCH('Interior Lighting'!D120,LightingSpaceType,0)))</f>
        <v>#N/A</v>
      </c>
      <c r="O120" s="327">
        <f t="shared" si="24"/>
        <v>0</v>
      </c>
      <c r="P120" s="407" t="e">
        <f t="shared" si="14"/>
        <v>#N/A</v>
      </c>
      <c r="Q120" s="407" t="e">
        <f t="shared" si="25"/>
        <v>#N/A</v>
      </c>
      <c r="R120" s="407" t="e">
        <f t="shared" si="15"/>
        <v>#N/A</v>
      </c>
      <c r="S120" s="324">
        <f t="shared" si="16"/>
        <v>0</v>
      </c>
      <c r="T120" s="924" t="str">
        <f t="shared" si="17"/>
        <v/>
      </c>
      <c r="U120" s="1221" t="str">
        <f t="shared" si="26"/>
        <v/>
      </c>
      <c r="W120" s="1098">
        <f t="shared" si="18"/>
        <v>1</v>
      </c>
      <c r="X120" s="1098" t="e">
        <f>INDEX(OSReq,MATCH('Interior Lighting'!D120,LightingSpaceType,0))</f>
        <v>#N/A</v>
      </c>
      <c r="Y120" s="1098" t="e">
        <f t="shared" si="19"/>
        <v>#N/A</v>
      </c>
      <c r="Z120" s="1098" t="e">
        <f t="shared" si="20"/>
        <v>#N/A</v>
      </c>
      <c r="AA120" s="1098" t="e">
        <f>INDEX(Lookup!$O$9:$O$24,MATCH('Interior Lighting'!Z120,Lookup!$K$9:$K$24,0))</f>
        <v>#N/A</v>
      </c>
      <c r="AB120" s="1098" t="e">
        <f>IF(E120="A",INDEX(Lookup!$L$9:$L$24,MATCH(Z120,Lookup!$K$9:$K$24,0)),IF(E120="B",INDEX(Lookup!$M$9:$M$24,MATCH(Z120,Lookup!$K$9:$K$24,0)),IF(E120="C",INDEX(Lookup!$N$9:$N$24,MATCH(Z120,Lookup!$K$9:$K$24,0)),"N/A")))</f>
        <v>#N/A</v>
      </c>
    </row>
    <row r="121" spans="1:28">
      <c r="A121" s="1006"/>
      <c r="B121" s="69"/>
      <c r="C121" s="323"/>
      <c r="D121" s="323"/>
      <c r="E121" s="324" t="e">
        <f>INDEX(Lookup!$I$9:$I$24,MATCH('Interior Lighting'!D121,Lookup!$C$9:$C$24,0))</f>
        <v>#N/A</v>
      </c>
      <c r="F121" s="69"/>
      <c r="G121" s="69"/>
      <c r="H121" s="69"/>
      <c r="I121" s="324" t="e">
        <f t="shared" si="21"/>
        <v>#N/A</v>
      </c>
      <c r="J121" s="170"/>
      <c r="K121" s="325">
        <f t="shared" si="22"/>
        <v>0</v>
      </c>
      <c r="L121" s="326" t="e">
        <f t="shared" si="23"/>
        <v>#DIV/0!</v>
      </c>
      <c r="M121" s="326" t="str">
        <f>IF(H121="Yes",IF(D121='Drop Down'!$W$4,0.9*L121,IF(D121='Drop Down'!$W$5,0.9*L121,IF(D121='Drop Down'!$W$10,0.9*L121,IF(D121='Drop Down'!$W$16,0.9*L121,"No credit allowed.")))),"N/A")</f>
        <v>N/A</v>
      </c>
      <c r="N121" s="327" t="e">
        <f>IF($D$20="Space-By-Space (90.1-2013)",INDEX(LPD2013SS,MATCH('Interior Lighting'!D121,LightingSpaceType,0)*W121),INDEX(LPD2013WB,MATCH('Interior Lighting'!D121,LightingSpaceType,0)))</f>
        <v>#N/A</v>
      </c>
      <c r="O121" s="327">
        <f t="shared" si="24"/>
        <v>0</v>
      </c>
      <c r="P121" s="407" t="e">
        <f t="shared" si="14"/>
        <v>#N/A</v>
      </c>
      <c r="Q121" s="407" t="e">
        <f t="shared" si="25"/>
        <v>#N/A</v>
      </c>
      <c r="R121" s="407" t="e">
        <f t="shared" si="15"/>
        <v>#N/A</v>
      </c>
      <c r="S121" s="324">
        <f t="shared" si="16"/>
        <v>0</v>
      </c>
      <c r="T121" s="924" t="str">
        <f t="shared" si="17"/>
        <v/>
      </c>
      <c r="U121" s="1221" t="str">
        <f t="shared" si="26"/>
        <v/>
      </c>
      <c r="W121" s="1098">
        <f t="shared" si="18"/>
        <v>1</v>
      </c>
      <c r="X121" s="1098" t="e">
        <f>INDEX(OSReq,MATCH('Interior Lighting'!D121,LightingSpaceType,0))</f>
        <v>#N/A</v>
      </c>
      <c r="Y121" s="1098" t="e">
        <f t="shared" si="19"/>
        <v>#N/A</v>
      </c>
      <c r="Z121" s="1098" t="e">
        <f t="shared" si="20"/>
        <v>#N/A</v>
      </c>
      <c r="AA121" s="1098" t="e">
        <f>INDEX(Lookup!$O$9:$O$24,MATCH('Interior Lighting'!Z121,Lookup!$K$9:$K$24,0))</f>
        <v>#N/A</v>
      </c>
      <c r="AB121" s="1098" t="e">
        <f>IF(E121="A",INDEX(Lookup!$L$9:$L$24,MATCH(Z121,Lookup!$K$9:$K$24,0)),IF(E121="B",INDEX(Lookup!$M$9:$M$24,MATCH(Z121,Lookup!$K$9:$K$24,0)),IF(E121="C",INDEX(Lookup!$N$9:$N$24,MATCH(Z121,Lookup!$K$9:$K$24,0)),"N/A")))</f>
        <v>#N/A</v>
      </c>
    </row>
    <row r="122" spans="1:28">
      <c r="A122" s="1006"/>
      <c r="B122" s="69"/>
      <c r="C122" s="323"/>
      <c r="D122" s="323"/>
      <c r="E122" s="324" t="e">
        <f>INDEX(Lookup!$I$9:$I$24,MATCH('Interior Lighting'!D122,Lookup!$C$9:$C$24,0))</f>
        <v>#N/A</v>
      </c>
      <c r="F122" s="69"/>
      <c r="G122" s="69"/>
      <c r="H122" s="69"/>
      <c r="I122" s="324" t="e">
        <f t="shared" si="21"/>
        <v>#N/A</v>
      </c>
      <c r="J122" s="170"/>
      <c r="K122" s="325">
        <f t="shared" si="22"/>
        <v>0</v>
      </c>
      <c r="L122" s="326" t="e">
        <f t="shared" si="23"/>
        <v>#DIV/0!</v>
      </c>
      <c r="M122" s="326" t="str">
        <f>IF(H122="Yes",IF(D122='Drop Down'!$W$4,0.9*L122,IF(D122='Drop Down'!$W$5,0.9*L122,IF(D122='Drop Down'!$W$10,0.9*L122,IF(D122='Drop Down'!$W$16,0.9*L122,"No credit allowed.")))),"N/A")</f>
        <v>N/A</v>
      </c>
      <c r="N122" s="327" t="e">
        <f>IF($D$20="Space-By-Space (90.1-2013)",INDEX(LPD2013SS,MATCH('Interior Lighting'!D122,LightingSpaceType,0)*W122),INDEX(LPD2013WB,MATCH('Interior Lighting'!D122,LightingSpaceType,0)))</f>
        <v>#N/A</v>
      </c>
      <c r="O122" s="327">
        <f t="shared" si="24"/>
        <v>0</v>
      </c>
      <c r="P122" s="407" t="e">
        <f t="shared" si="14"/>
        <v>#N/A</v>
      </c>
      <c r="Q122" s="407" t="e">
        <f t="shared" si="25"/>
        <v>#N/A</v>
      </c>
      <c r="R122" s="407" t="e">
        <f t="shared" si="15"/>
        <v>#N/A</v>
      </c>
      <c r="S122" s="324">
        <f t="shared" si="16"/>
        <v>0</v>
      </c>
      <c r="T122" s="924" t="str">
        <f t="shared" si="17"/>
        <v/>
      </c>
      <c r="U122" s="1221" t="str">
        <f t="shared" si="26"/>
        <v/>
      </c>
      <c r="W122" s="1098">
        <f t="shared" si="18"/>
        <v>1</v>
      </c>
      <c r="X122" s="1098" t="e">
        <f>INDEX(OSReq,MATCH('Interior Lighting'!D122,LightingSpaceType,0))</f>
        <v>#N/A</v>
      </c>
      <c r="Y122" s="1098" t="e">
        <f t="shared" si="19"/>
        <v>#N/A</v>
      </c>
      <c r="Z122" s="1098" t="e">
        <f t="shared" si="20"/>
        <v>#N/A</v>
      </c>
      <c r="AA122" s="1098" t="e">
        <f>INDEX(Lookup!$O$9:$O$24,MATCH('Interior Lighting'!Z122,Lookup!$K$9:$K$24,0))</f>
        <v>#N/A</v>
      </c>
      <c r="AB122" s="1098" t="e">
        <f>IF(E122="A",INDEX(Lookup!$L$9:$L$24,MATCH(Z122,Lookup!$K$9:$K$24,0)),IF(E122="B",INDEX(Lookup!$M$9:$M$24,MATCH(Z122,Lookup!$K$9:$K$24,0)),IF(E122="C",INDEX(Lookup!$N$9:$N$24,MATCH(Z122,Lookup!$K$9:$K$24,0)),"N/A")))</f>
        <v>#N/A</v>
      </c>
    </row>
    <row r="123" spans="1:28">
      <c r="A123" s="1006"/>
      <c r="B123" s="69"/>
      <c r="C123" s="323"/>
      <c r="D123" s="323"/>
      <c r="E123" s="324" t="e">
        <f>INDEX(Lookup!$I$9:$I$24,MATCH('Interior Lighting'!D123,Lookup!$C$9:$C$24,0))</f>
        <v>#N/A</v>
      </c>
      <c r="F123" s="69"/>
      <c r="G123" s="69"/>
      <c r="H123" s="69"/>
      <c r="I123" s="324" t="e">
        <f t="shared" si="21"/>
        <v>#N/A</v>
      </c>
      <c r="J123" s="170"/>
      <c r="K123" s="325">
        <f t="shared" si="22"/>
        <v>0</v>
      </c>
      <c r="L123" s="326" t="e">
        <f t="shared" si="23"/>
        <v>#DIV/0!</v>
      </c>
      <c r="M123" s="326" t="str">
        <f>IF(H123="Yes",IF(D123='Drop Down'!$W$4,0.9*L123,IF(D123='Drop Down'!$W$5,0.9*L123,IF(D123='Drop Down'!$W$10,0.9*L123,IF(D123='Drop Down'!$W$16,0.9*L123,"No credit allowed.")))),"N/A")</f>
        <v>N/A</v>
      </c>
      <c r="N123" s="327" t="e">
        <f>IF($D$20="Space-By-Space (90.1-2013)",INDEX(LPD2013SS,MATCH('Interior Lighting'!D123,LightingSpaceType,0)*W123),INDEX(LPD2013WB,MATCH('Interior Lighting'!D123,LightingSpaceType,0)))</f>
        <v>#N/A</v>
      </c>
      <c r="O123" s="327">
        <f t="shared" si="24"/>
        <v>0</v>
      </c>
      <c r="P123" s="407" t="e">
        <f t="shared" si="14"/>
        <v>#N/A</v>
      </c>
      <c r="Q123" s="407" t="e">
        <f t="shared" si="25"/>
        <v>#N/A</v>
      </c>
      <c r="R123" s="407" t="e">
        <f t="shared" si="15"/>
        <v>#N/A</v>
      </c>
      <c r="S123" s="324">
        <f t="shared" si="16"/>
        <v>0</v>
      </c>
      <c r="T123" s="924" t="str">
        <f t="shared" si="17"/>
        <v/>
      </c>
      <c r="U123" s="1221" t="str">
        <f t="shared" si="26"/>
        <v/>
      </c>
      <c r="W123" s="1098">
        <f t="shared" si="18"/>
        <v>1</v>
      </c>
      <c r="X123" s="1098" t="e">
        <f>INDEX(OSReq,MATCH('Interior Lighting'!D123,LightingSpaceType,0))</f>
        <v>#N/A</v>
      </c>
      <c r="Y123" s="1098" t="e">
        <f t="shared" si="19"/>
        <v>#N/A</v>
      </c>
      <c r="Z123" s="1098" t="e">
        <f t="shared" si="20"/>
        <v>#N/A</v>
      </c>
      <c r="AA123" s="1098" t="e">
        <f>INDEX(Lookup!$O$9:$O$24,MATCH('Interior Lighting'!Z123,Lookup!$K$9:$K$24,0))</f>
        <v>#N/A</v>
      </c>
      <c r="AB123" s="1098" t="e">
        <f>IF(E123="A",INDEX(Lookup!$L$9:$L$24,MATCH(Z123,Lookup!$K$9:$K$24,0)),IF(E123="B",INDEX(Lookup!$M$9:$M$24,MATCH(Z123,Lookup!$K$9:$K$24,0)),IF(E123="C",INDEX(Lookup!$N$9:$N$24,MATCH(Z123,Lookup!$K$9:$K$24,0)),"N/A")))</f>
        <v>#N/A</v>
      </c>
    </row>
    <row r="124" spans="1:28">
      <c r="A124" s="1006"/>
      <c r="B124" s="69"/>
      <c r="C124" s="323"/>
      <c r="D124" s="323"/>
      <c r="E124" s="324" t="e">
        <f>INDEX(Lookup!$I$9:$I$24,MATCH('Interior Lighting'!D124,Lookup!$C$9:$C$24,0))</f>
        <v>#N/A</v>
      </c>
      <c r="F124" s="69"/>
      <c r="G124" s="69"/>
      <c r="H124" s="69"/>
      <c r="I124" s="324" t="e">
        <f t="shared" si="21"/>
        <v>#N/A</v>
      </c>
      <c r="J124" s="170"/>
      <c r="K124" s="325">
        <f t="shared" si="22"/>
        <v>0</v>
      </c>
      <c r="L124" s="326" t="e">
        <f t="shared" si="23"/>
        <v>#DIV/0!</v>
      </c>
      <c r="M124" s="326" t="str">
        <f>IF(H124="Yes",IF(D124='Drop Down'!$W$4,0.9*L124,IF(D124='Drop Down'!$W$5,0.9*L124,IF(D124='Drop Down'!$W$10,0.9*L124,IF(D124='Drop Down'!$W$16,0.9*L124,"No credit allowed.")))),"N/A")</f>
        <v>N/A</v>
      </c>
      <c r="N124" s="327" t="e">
        <f>IF($D$20="Space-By-Space (90.1-2013)",INDEX(LPD2013SS,MATCH('Interior Lighting'!D124,LightingSpaceType,0)*W124),INDEX(LPD2013WB,MATCH('Interior Lighting'!D124,LightingSpaceType,0)))</f>
        <v>#N/A</v>
      </c>
      <c r="O124" s="327">
        <f t="shared" si="24"/>
        <v>0</v>
      </c>
      <c r="P124" s="407" t="e">
        <f t="shared" si="14"/>
        <v>#N/A</v>
      </c>
      <c r="Q124" s="407" t="e">
        <f t="shared" si="25"/>
        <v>#N/A</v>
      </c>
      <c r="R124" s="407" t="e">
        <f t="shared" si="15"/>
        <v>#N/A</v>
      </c>
      <c r="S124" s="324">
        <f t="shared" si="16"/>
        <v>0</v>
      </c>
      <c r="T124" s="924" t="str">
        <f t="shared" si="17"/>
        <v/>
      </c>
      <c r="U124" s="1221" t="str">
        <f t="shared" si="26"/>
        <v/>
      </c>
      <c r="W124" s="1098">
        <f t="shared" si="18"/>
        <v>1</v>
      </c>
      <c r="X124" s="1098" t="e">
        <f>INDEX(OSReq,MATCH('Interior Lighting'!D124,LightingSpaceType,0))</f>
        <v>#N/A</v>
      </c>
      <c r="Y124" s="1098" t="e">
        <f t="shared" si="19"/>
        <v>#N/A</v>
      </c>
      <c r="Z124" s="1098" t="e">
        <f t="shared" si="20"/>
        <v>#N/A</v>
      </c>
      <c r="AA124" s="1098" t="e">
        <f>INDEX(Lookup!$O$9:$O$24,MATCH('Interior Lighting'!Z124,Lookup!$K$9:$K$24,0))</f>
        <v>#N/A</v>
      </c>
      <c r="AB124" s="1098" t="e">
        <f>IF(E124="A",INDEX(Lookup!$L$9:$L$24,MATCH(Z124,Lookup!$K$9:$K$24,0)),IF(E124="B",INDEX(Lookup!$M$9:$M$24,MATCH(Z124,Lookup!$K$9:$K$24,0)),IF(E124="C",INDEX(Lookup!$N$9:$N$24,MATCH(Z124,Lookup!$K$9:$K$24,0)),"N/A")))</f>
        <v>#N/A</v>
      </c>
    </row>
    <row r="125" spans="1:28">
      <c r="A125" s="1006"/>
      <c r="B125" s="69"/>
      <c r="C125" s="330"/>
      <c r="D125" s="323"/>
      <c r="E125" s="324" t="e">
        <f>INDEX(Lookup!$I$9:$I$24,MATCH('Interior Lighting'!D125,Lookup!$C$9:$C$24,0))</f>
        <v>#N/A</v>
      </c>
      <c r="F125" s="69"/>
      <c r="G125" s="69"/>
      <c r="H125" s="69"/>
      <c r="I125" s="324" t="e">
        <f t="shared" si="21"/>
        <v>#N/A</v>
      </c>
      <c r="J125" s="170"/>
      <c r="K125" s="325">
        <f t="shared" si="22"/>
        <v>0</v>
      </c>
      <c r="L125" s="326" t="e">
        <f t="shared" si="23"/>
        <v>#DIV/0!</v>
      </c>
      <c r="M125" s="326" t="str">
        <f>IF(H125="Yes",IF(D125='Drop Down'!$W$4,0.9*L125,IF(D125='Drop Down'!$W$5,0.9*L125,IF(D125='Drop Down'!$W$10,0.9*L125,IF(D125='Drop Down'!$W$16,0.9*L125,"No credit allowed.")))),"N/A")</f>
        <v>N/A</v>
      </c>
      <c r="N125" s="327" t="e">
        <f>IF($D$20="Space-By-Space (90.1-2013)",INDEX(LPD2013SS,MATCH('Interior Lighting'!D125,LightingSpaceType,0)*W125),INDEX(LPD2013WB,MATCH('Interior Lighting'!D125,LightingSpaceType,0)))</f>
        <v>#N/A</v>
      </c>
      <c r="O125" s="327">
        <f t="shared" si="24"/>
        <v>0</v>
      </c>
      <c r="P125" s="407" t="e">
        <f t="shared" si="14"/>
        <v>#N/A</v>
      </c>
      <c r="Q125" s="407" t="e">
        <f t="shared" si="25"/>
        <v>#N/A</v>
      </c>
      <c r="R125" s="407" t="e">
        <f t="shared" si="15"/>
        <v>#N/A</v>
      </c>
      <c r="S125" s="324">
        <f t="shared" si="16"/>
        <v>0</v>
      </c>
      <c r="T125" s="924" t="str">
        <f t="shared" si="17"/>
        <v/>
      </c>
      <c r="U125" s="1221" t="str">
        <f t="shared" si="26"/>
        <v/>
      </c>
      <c r="W125" s="1098">
        <f t="shared" si="18"/>
        <v>1</v>
      </c>
      <c r="X125" s="1098" t="e">
        <f>INDEX(OSReq,MATCH('Interior Lighting'!D125,LightingSpaceType,0))</f>
        <v>#N/A</v>
      </c>
      <c r="Y125" s="1098" t="e">
        <f t="shared" si="19"/>
        <v>#N/A</v>
      </c>
      <c r="Z125" s="1098" t="e">
        <f t="shared" si="20"/>
        <v>#N/A</v>
      </c>
      <c r="AA125" s="1098" t="e">
        <f>INDEX(Lookup!$O$9:$O$24,MATCH('Interior Lighting'!Z125,Lookup!$K$9:$K$24,0))</f>
        <v>#N/A</v>
      </c>
      <c r="AB125" s="1098" t="e">
        <f>IF(E125="A",INDEX(Lookup!$L$9:$L$24,MATCH(Z125,Lookup!$K$9:$K$24,0)),IF(E125="B",INDEX(Lookup!$M$9:$M$24,MATCH(Z125,Lookup!$K$9:$K$24,0)),IF(E125="C",INDEX(Lookup!$N$9:$N$24,MATCH(Z125,Lookup!$K$9:$K$24,0)),"N/A")))</f>
        <v>#N/A</v>
      </c>
    </row>
    <row r="126" spans="1:28">
      <c r="A126" s="1006"/>
      <c r="B126" s="69"/>
      <c r="C126" s="323"/>
      <c r="D126" s="323"/>
      <c r="E126" s="324" t="e">
        <f>INDEX(Lookup!$I$9:$I$24,MATCH('Interior Lighting'!D126,Lookup!$C$9:$C$24,0))</f>
        <v>#N/A</v>
      </c>
      <c r="F126" s="69"/>
      <c r="G126" s="69"/>
      <c r="H126" s="69"/>
      <c r="I126" s="324" t="e">
        <f t="shared" si="21"/>
        <v>#N/A</v>
      </c>
      <c r="J126" s="170"/>
      <c r="K126" s="325">
        <f t="shared" si="22"/>
        <v>0</v>
      </c>
      <c r="L126" s="326" t="e">
        <f t="shared" si="23"/>
        <v>#DIV/0!</v>
      </c>
      <c r="M126" s="326" t="str">
        <f>IF(H126="Yes",IF(D126='Drop Down'!$W$4,0.9*L126,IF(D126='Drop Down'!$W$5,0.9*L126,IF(D126='Drop Down'!$W$10,0.9*L126,IF(D126='Drop Down'!$W$16,0.9*L126,"No credit allowed.")))),"N/A")</f>
        <v>N/A</v>
      </c>
      <c r="N126" s="327" t="e">
        <f>IF($D$20="Space-By-Space (90.1-2013)",INDEX(LPD2013SS,MATCH('Interior Lighting'!D126,LightingSpaceType,0)*W126),INDEX(LPD2013WB,MATCH('Interior Lighting'!D126,LightingSpaceType,0)))</f>
        <v>#N/A</v>
      </c>
      <c r="O126" s="327">
        <f t="shared" si="24"/>
        <v>0</v>
      </c>
      <c r="P126" s="407" t="e">
        <f t="shared" si="14"/>
        <v>#N/A</v>
      </c>
      <c r="Q126" s="407" t="e">
        <f t="shared" si="25"/>
        <v>#N/A</v>
      </c>
      <c r="R126" s="407" t="e">
        <f t="shared" si="15"/>
        <v>#N/A</v>
      </c>
      <c r="S126" s="324">
        <f t="shared" si="16"/>
        <v>0</v>
      </c>
      <c r="T126" s="924" t="str">
        <f t="shared" si="17"/>
        <v/>
      </c>
      <c r="U126" s="1221" t="str">
        <f t="shared" si="26"/>
        <v/>
      </c>
      <c r="W126" s="1098">
        <f t="shared" si="18"/>
        <v>1</v>
      </c>
      <c r="X126" s="1098" t="e">
        <f>INDEX(OSReq,MATCH('Interior Lighting'!D126,LightingSpaceType,0))</f>
        <v>#N/A</v>
      </c>
      <c r="Y126" s="1098" t="e">
        <f t="shared" si="19"/>
        <v>#N/A</v>
      </c>
      <c r="Z126" s="1098" t="e">
        <f t="shared" si="20"/>
        <v>#N/A</v>
      </c>
      <c r="AA126" s="1098" t="e">
        <f>INDEX(Lookup!$O$9:$O$24,MATCH('Interior Lighting'!Z126,Lookup!$K$9:$K$24,0))</f>
        <v>#N/A</v>
      </c>
      <c r="AB126" s="1098" t="e">
        <f>IF(E126="A",INDEX(Lookup!$L$9:$L$24,MATCH(Z126,Lookup!$K$9:$K$24,0)),IF(E126="B",INDEX(Lookup!$M$9:$M$24,MATCH(Z126,Lookup!$K$9:$K$24,0)),IF(E126="C",INDEX(Lookup!$N$9:$N$24,MATCH(Z126,Lookup!$K$9:$K$24,0)),"N/A")))</f>
        <v>#N/A</v>
      </c>
    </row>
    <row r="127" spans="1:28">
      <c r="A127" s="1006"/>
      <c r="B127" s="69"/>
      <c r="C127" s="323"/>
      <c r="D127" s="323"/>
      <c r="E127" s="324" t="e">
        <f>INDEX(Lookup!$I$9:$I$24,MATCH('Interior Lighting'!D127,Lookup!$C$9:$C$24,0))</f>
        <v>#N/A</v>
      </c>
      <c r="F127" s="69"/>
      <c r="G127" s="69"/>
      <c r="H127" s="69"/>
      <c r="I127" s="324" t="e">
        <f t="shared" si="21"/>
        <v>#N/A</v>
      </c>
      <c r="J127" s="170"/>
      <c r="K127" s="325">
        <f t="shared" si="22"/>
        <v>0</v>
      </c>
      <c r="L127" s="326" t="e">
        <f t="shared" si="23"/>
        <v>#DIV/0!</v>
      </c>
      <c r="M127" s="326" t="str">
        <f>IF(H127="Yes",IF(D127='Drop Down'!$W$4,0.9*L127,IF(D127='Drop Down'!$W$5,0.9*L127,IF(D127='Drop Down'!$W$10,0.9*L127,IF(D127='Drop Down'!$W$16,0.9*L127,"No credit allowed.")))),"N/A")</f>
        <v>N/A</v>
      </c>
      <c r="N127" s="327" t="e">
        <f>IF($D$20="Space-By-Space (90.1-2013)",INDEX(LPD2013SS,MATCH('Interior Lighting'!D127,LightingSpaceType,0)*W127),INDEX(LPD2013WB,MATCH('Interior Lighting'!D127,LightingSpaceType,0)))</f>
        <v>#N/A</v>
      </c>
      <c r="O127" s="327">
        <f t="shared" si="24"/>
        <v>0</v>
      </c>
      <c r="P127" s="407" t="e">
        <f t="shared" si="14"/>
        <v>#N/A</v>
      </c>
      <c r="Q127" s="407" t="e">
        <f t="shared" si="25"/>
        <v>#N/A</v>
      </c>
      <c r="R127" s="407" t="e">
        <f t="shared" si="15"/>
        <v>#N/A</v>
      </c>
      <c r="S127" s="324">
        <f t="shared" si="16"/>
        <v>0</v>
      </c>
      <c r="T127" s="924" t="str">
        <f t="shared" si="17"/>
        <v/>
      </c>
      <c r="U127" s="1221" t="str">
        <f t="shared" si="26"/>
        <v/>
      </c>
      <c r="W127" s="1098">
        <f t="shared" si="18"/>
        <v>1</v>
      </c>
      <c r="X127" s="1098" t="e">
        <f>INDEX(OSReq,MATCH('Interior Lighting'!D127,LightingSpaceType,0))</f>
        <v>#N/A</v>
      </c>
      <c r="Y127" s="1098" t="e">
        <f t="shared" si="19"/>
        <v>#N/A</v>
      </c>
      <c r="Z127" s="1098" t="e">
        <f t="shared" si="20"/>
        <v>#N/A</v>
      </c>
      <c r="AA127" s="1098" t="e">
        <f>INDEX(Lookup!$O$9:$O$24,MATCH('Interior Lighting'!Z127,Lookup!$K$9:$K$24,0))</f>
        <v>#N/A</v>
      </c>
      <c r="AB127" s="1098" t="e">
        <f>IF(E127="A",INDEX(Lookup!$L$9:$L$24,MATCH(Z127,Lookup!$K$9:$K$24,0)),IF(E127="B",INDEX(Lookup!$M$9:$M$24,MATCH(Z127,Lookup!$K$9:$K$24,0)),IF(E127="C",INDEX(Lookup!$N$9:$N$24,MATCH(Z127,Lookup!$K$9:$K$24,0)),"N/A")))</f>
        <v>#N/A</v>
      </c>
    </row>
    <row r="128" spans="1:28">
      <c r="A128" s="1006"/>
      <c r="B128" s="69"/>
      <c r="C128" s="323"/>
      <c r="D128" s="323"/>
      <c r="E128" s="324" t="e">
        <f>INDEX(Lookup!$I$9:$I$24,MATCH('Interior Lighting'!D128,Lookup!$C$9:$C$24,0))</f>
        <v>#N/A</v>
      </c>
      <c r="F128" s="69"/>
      <c r="G128" s="69"/>
      <c r="H128" s="69"/>
      <c r="I128" s="324" t="e">
        <f t="shared" si="21"/>
        <v>#N/A</v>
      </c>
      <c r="J128" s="170"/>
      <c r="K128" s="325">
        <f t="shared" si="22"/>
        <v>0</v>
      </c>
      <c r="L128" s="326" t="e">
        <f t="shared" si="23"/>
        <v>#DIV/0!</v>
      </c>
      <c r="M128" s="326" t="str">
        <f>IF(H128="Yes",IF(D128='Drop Down'!$W$4,0.9*L128,IF(D128='Drop Down'!$W$5,0.9*L128,IF(D128='Drop Down'!$W$10,0.9*L128,IF(D128='Drop Down'!$W$16,0.9*L128,"No credit allowed.")))),"N/A")</f>
        <v>N/A</v>
      </c>
      <c r="N128" s="327" t="e">
        <f>IF($D$20="Space-By-Space (90.1-2013)",INDEX(LPD2013SS,MATCH('Interior Lighting'!D128,LightingSpaceType,0)*W128),INDEX(LPD2013WB,MATCH('Interior Lighting'!D128,LightingSpaceType,0)))</f>
        <v>#N/A</v>
      </c>
      <c r="O128" s="327">
        <f t="shared" si="24"/>
        <v>0</v>
      </c>
      <c r="P128" s="407" t="e">
        <f t="shared" si="14"/>
        <v>#N/A</v>
      </c>
      <c r="Q128" s="407" t="e">
        <f t="shared" si="25"/>
        <v>#N/A</v>
      </c>
      <c r="R128" s="407" t="e">
        <f t="shared" si="15"/>
        <v>#N/A</v>
      </c>
      <c r="S128" s="324">
        <f t="shared" si="16"/>
        <v>0</v>
      </c>
      <c r="T128" s="924" t="str">
        <f t="shared" si="17"/>
        <v/>
      </c>
      <c r="U128" s="1221" t="str">
        <f t="shared" si="26"/>
        <v/>
      </c>
      <c r="W128" s="1098">
        <f t="shared" si="18"/>
        <v>1</v>
      </c>
      <c r="X128" s="1098" t="e">
        <f>INDEX(OSReq,MATCH('Interior Lighting'!D128,LightingSpaceType,0))</f>
        <v>#N/A</v>
      </c>
      <c r="Y128" s="1098" t="e">
        <f t="shared" si="19"/>
        <v>#N/A</v>
      </c>
      <c r="Z128" s="1098" t="e">
        <f t="shared" si="20"/>
        <v>#N/A</v>
      </c>
      <c r="AA128" s="1098" t="e">
        <f>INDEX(Lookup!$O$9:$O$24,MATCH('Interior Lighting'!Z128,Lookup!$K$9:$K$24,0))</f>
        <v>#N/A</v>
      </c>
      <c r="AB128" s="1098" t="e">
        <f>IF(E128="A",INDEX(Lookup!$L$9:$L$24,MATCH(Z128,Lookup!$K$9:$K$24,0)),IF(E128="B",INDEX(Lookup!$M$9:$M$24,MATCH(Z128,Lookup!$K$9:$K$24,0)),IF(E128="C",INDEX(Lookup!$N$9:$N$24,MATCH(Z128,Lookup!$K$9:$K$24,0)),"N/A")))</f>
        <v>#N/A</v>
      </c>
    </row>
    <row r="129" spans="1:28">
      <c r="A129" s="1006"/>
      <c r="B129" s="69"/>
      <c r="C129" s="323"/>
      <c r="D129" s="323"/>
      <c r="E129" s="324" t="e">
        <f>INDEX(Lookup!$I$9:$I$24,MATCH('Interior Lighting'!D129,Lookup!$C$9:$C$24,0))</f>
        <v>#N/A</v>
      </c>
      <c r="F129" s="69"/>
      <c r="G129" s="69"/>
      <c r="H129" s="69"/>
      <c r="I129" s="324" t="e">
        <f t="shared" si="21"/>
        <v>#N/A</v>
      </c>
      <c r="J129" s="170"/>
      <c r="K129" s="325">
        <f t="shared" si="22"/>
        <v>0</v>
      </c>
      <c r="L129" s="326" t="e">
        <f t="shared" si="23"/>
        <v>#DIV/0!</v>
      </c>
      <c r="M129" s="326" t="str">
        <f>IF(H129="Yes",IF(D129='Drop Down'!$W$4,0.9*L129,IF(D129='Drop Down'!$W$5,0.9*L129,IF(D129='Drop Down'!$W$10,0.9*L129,IF(D129='Drop Down'!$W$16,0.9*L129,"No credit allowed.")))),"N/A")</f>
        <v>N/A</v>
      </c>
      <c r="N129" s="327" t="e">
        <f>IF($D$20="Space-By-Space (90.1-2013)",INDEX(LPD2013SS,MATCH('Interior Lighting'!D129,LightingSpaceType,0)*W129),INDEX(LPD2013WB,MATCH('Interior Lighting'!D129,LightingSpaceType,0)))</f>
        <v>#N/A</v>
      </c>
      <c r="O129" s="327">
        <f t="shared" si="24"/>
        <v>0</v>
      </c>
      <c r="P129" s="407" t="e">
        <f t="shared" si="14"/>
        <v>#N/A</v>
      </c>
      <c r="Q129" s="407" t="e">
        <f t="shared" si="25"/>
        <v>#N/A</v>
      </c>
      <c r="R129" s="407" t="e">
        <f t="shared" si="15"/>
        <v>#N/A</v>
      </c>
      <c r="S129" s="324">
        <f t="shared" si="16"/>
        <v>0</v>
      </c>
      <c r="T129" s="924" t="str">
        <f t="shared" si="17"/>
        <v/>
      </c>
      <c r="U129" s="1221" t="str">
        <f t="shared" si="26"/>
        <v/>
      </c>
      <c r="W129" s="1098">
        <f t="shared" si="18"/>
        <v>1</v>
      </c>
      <c r="X129" s="1098" t="e">
        <f>INDEX(OSReq,MATCH('Interior Lighting'!D129,LightingSpaceType,0))</f>
        <v>#N/A</v>
      </c>
      <c r="Y129" s="1098" t="e">
        <f t="shared" si="19"/>
        <v>#N/A</v>
      </c>
      <c r="Z129" s="1098" t="e">
        <f t="shared" si="20"/>
        <v>#N/A</v>
      </c>
      <c r="AA129" s="1098" t="e">
        <f>INDEX(Lookup!$O$9:$O$24,MATCH('Interior Lighting'!Z129,Lookup!$K$9:$K$24,0))</f>
        <v>#N/A</v>
      </c>
      <c r="AB129" s="1098" t="e">
        <f>IF(E129="A",INDEX(Lookup!$L$9:$L$24,MATCH(Z129,Lookup!$K$9:$K$24,0)),IF(E129="B",INDEX(Lookup!$M$9:$M$24,MATCH(Z129,Lookup!$K$9:$K$24,0)),IF(E129="C",INDEX(Lookup!$N$9:$N$24,MATCH(Z129,Lookup!$K$9:$K$24,0)),"N/A")))</f>
        <v>#N/A</v>
      </c>
    </row>
    <row r="130" spans="1:28">
      <c r="A130" s="1103"/>
      <c r="B130" s="69"/>
      <c r="C130" s="323"/>
      <c r="D130" s="323"/>
      <c r="E130" s="324" t="e">
        <f>INDEX(Lookup!$I$9:$I$24,MATCH('Interior Lighting'!D130,Lookup!$C$9:$C$24,0))</f>
        <v>#N/A</v>
      </c>
      <c r="F130" s="69"/>
      <c r="G130" s="69"/>
      <c r="H130" s="69"/>
      <c r="I130" s="324" t="e">
        <f t="shared" si="21"/>
        <v>#N/A</v>
      </c>
      <c r="J130" s="170"/>
      <c r="K130" s="325">
        <f t="shared" si="22"/>
        <v>0</v>
      </c>
      <c r="L130" s="326" t="e">
        <f t="shared" si="23"/>
        <v>#DIV/0!</v>
      </c>
      <c r="M130" s="326" t="str">
        <f>IF(H130="Yes",IF(D130='Drop Down'!$W$4,0.9*L130,IF(D130='Drop Down'!$W$5,0.9*L130,IF(D130='Drop Down'!$W$10,0.9*L130,IF(D130='Drop Down'!$W$16,0.9*L130,"No credit allowed.")))),"N/A")</f>
        <v>N/A</v>
      </c>
      <c r="N130" s="327" t="e">
        <f>IF($D$20="Space-By-Space (90.1-2013)",INDEX(LPD2013SS,MATCH('Interior Lighting'!D130,LightingSpaceType,0)*W130),INDEX(LPD2013WB,MATCH('Interior Lighting'!D130,LightingSpaceType,0)))</f>
        <v>#N/A</v>
      </c>
      <c r="O130" s="327">
        <f t="shared" si="24"/>
        <v>0</v>
      </c>
      <c r="P130" s="407" t="e">
        <f t="shared" si="14"/>
        <v>#N/A</v>
      </c>
      <c r="Q130" s="407" t="e">
        <f t="shared" si="25"/>
        <v>#N/A</v>
      </c>
      <c r="R130" s="407" t="e">
        <f t="shared" si="15"/>
        <v>#N/A</v>
      </c>
      <c r="S130" s="324">
        <f t="shared" si="16"/>
        <v>0</v>
      </c>
      <c r="T130" s="924" t="str">
        <f t="shared" si="17"/>
        <v/>
      </c>
      <c r="U130" s="1221" t="str">
        <f t="shared" si="26"/>
        <v/>
      </c>
      <c r="W130" s="1098">
        <f t="shared" si="18"/>
        <v>1</v>
      </c>
      <c r="X130" s="1098" t="e">
        <f>INDEX(OSReq,MATCH('Interior Lighting'!D130,LightingSpaceType,0))</f>
        <v>#N/A</v>
      </c>
      <c r="Y130" s="1098" t="e">
        <f t="shared" si="19"/>
        <v>#N/A</v>
      </c>
      <c r="Z130" s="1098" t="e">
        <f t="shared" si="20"/>
        <v>#N/A</v>
      </c>
      <c r="AA130" s="1098" t="e">
        <f>INDEX(Lookup!$O$9:$O$24,MATCH('Interior Lighting'!Z130,Lookup!$K$9:$K$24,0))</f>
        <v>#N/A</v>
      </c>
      <c r="AB130" s="1098" t="e">
        <f>IF(E130="A",INDEX(Lookup!$L$9:$L$24,MATCH(Z130,Lookup!$K$9:$K$24,0)),IF(E130="B",INDEX(Lookup!$M$9:$M$24,MATCH(Z130,Lookup!$K$9:$K$24,0)),IF(E130="C",INDEX(Lookup!$N$9:$N$24,MATCH(Z130,Lookup!$K$9:$K$24,0)),"N/A")))</f>
        <v>#N/A</v>
      </c>
    </row>
    <row r="131" spans="1:28">
      <c r="A131" s="1103"/>
      <c r="B131" s="69"/>
      <c r="C131" s="323"/>
      <c r="D131" s="323"/>
      <c r="E131" s="324" t="e">
        <f>INDEX(Lookup!$I$9:$I$24,MATCH('Interior Lighting'!D131,Lookup!$C$9:$C$24,0))</f>
        <v>#N/A</v>
      </c>
      <c r="F131" s="69"/>
      <c r="G131" s="69"/>
      <c r="H131" s="69"/>
      <c r="I131" s="324" t="e">
        <f t="shared" si="21"/>
        <v>#N/A</v>
      </c>
      <c r="J131" s="170"/>
      <c r="K131" s="325">
        <f t="shared" si="22"/>
        <v>0</v>
      </c>
      <c r="L131" s="326" t="e">
        <f t="shared" si="23"/>
        <v>#DIV/0!</v>
      </c>
      <c r="M131" s="326" t="str">
        <f>IF(H131="Yes",IF(D131='Drop Down'!$W$4,0.9*L131,IF(D131='Drop Down'!$W$5,0.9*L131,IF(D131='Drop Down'!$W$10,0.9*L131,IF(D131='Drop Down'!$W$16,0.9*L131,"No credit allowed.")))),"N/A")</f>
        <v>N/A</v>
      </c>
      <c r="N131" s="327" t="e">
        <f>IF($D$20="Space-By-Space (90.1-2013)",INDEX(LPD2013SS,MATCH('Interior Lighting'!D131,LightingSpaceType,0)*W131),INDEX(LPD2013WB,MATCH('Interior Lighting'!D131,LightingSpaceType,0)))</f>
        <v>#N/A</v>
      </c>
      <c r="O131" s="327">
        <f t="shared" si="24"/>
        <v>0</v>
      </c>
      <c r="P131" s="407" t="e">
        <f t="shared" si="14"/>
        <v>#N/A</v>
      </c>
      <c r="Q131" s="407" t="e">
        <f t="shared" si="25"/>
        <v>#N/A</v>
      </c>
      <c r="R131" s="407" t="e">
        <f t="shared" si="15"/>
        <v>#N/A</v>
      </c>
      <c r="S131" s="324">
        <f t="shared" si="16"/>
        <v>0</v>
      </c>
      <c r="T131" s="924" t="str">
        <f t="shared" si="17"/>
        <v/>
      </c>
      <c r="U131" s="1221" t="str">
        <f t="shared" si="26"/>
        <v/>
      </c>
      <c r="W131" s="1098">
        <f t="shared" si="18"/>
        <v>1</v>
      </c>
      <c r="X131" s="1098" t="e">
        <f>INDEX(OSReq,MATCH('Interior Lighting'!D131,LightingSpaceType,0))</f>
        <v>#N/A</v>
      </c>
      <c r="Y131" s="1098" t="e">
        <f t="shared" si="19"/>
        <v>#N/A</v>
      </c>
      <c r="Z131" s="1098" t="e">
        <f t="shared" si="20"/>
        <v>#N/A</v>
      </c>
      <c r="AA131" s="1098" t="e">
        <f>INDEX(Lookup!$O$9:$O$24,MATCH('Interior Lighting'!Z131,Lookup!$K$9:$K$24,0))</f>
        <v>#N/A</v>
      </c>
      <c r="AB131" s="1098" t="e">
        <f>IF(E131="A",INDEX(Lookup!$L$9:$L$24,MATCH(Z131,Lookup!$K$9:$K$24,0)),IF(E131="B",INDEX(Lookup!$M$9:$M$24,MATCH(Z131,Lookup!$K$9:$K$24,0)),IF(E131="C",INDEX(Lookup!$N$9:$N$24,MATCH(Z131,Lookup!$K$9:$K$24,0)),"N/A")))</f>
        <v>#N/A</v>
      </c>
    </row>
    <row r="132" spans="1:28">
      <c r="A132" s="1103"/>
      <c r="B132" s="69"/>
      <c r="C132" s="330"/>
      <c r="D132" s="323"/>
      <c r="E132" s="324" t="e">
        <f>INDEX(Lookup!$I$9:$I$24,MATCH('Interior Lighting'!D132,Lookup!$C$9:$C$24,0))</f>
        <v>#N/A</v>
      </c>
      <c r="F132" s="69"/>
      <c r="G132" s="69"/>
      <c r="H132" s="69"/>
      <c r="I132" s="324" t="e">
        <f t="shared" si="21"/>
        <v>#N/A</v>
      </c>
      <c r="J132" s="170"/>
      <c r="K132" s="325">
        <f t="shared" si="22"/>
        <v>0</v>
      </c>
      <c r="L132" s="326" t="e">
        <f t="shared" si="23"/>
        <v>#DIV/0!</v>
      </c>
      <c r="M132" s="326" t="str">
        <f>IF(H132="Yes",IF(D132='Drop Down'!$W$4,0.9*L132,IF(D132='Drop Down'!$W$5,0.9*L132,IF(D132='Drop Down'!$W$10,0.9*L132,IF(D132='Drop Down'!$W$16,0.9*L132,"No credit allowed.")))),"N/A")</f>
        <v>N/A</v>
      </c>
      <c r="N132" s="327" t="e">
        <f>IF($D$20="Space-By-Space (90.1-2013)",INDEX(LPD2013SS,MATCH('Interior Lighting'!D132,LightingSpaceType,0)*W132),INDEX(LPD2013WB,MATCH('Interior Lighting'!D132,LightingSpaceType,0)))</f>
        <v>#N/A</v>
      </c>
      <c r="O132" s="327">
        <f t="shared" si="24"/>
        <v>0</v>
      </c>
      <c r="P132" s="407" t="e">
        <f t="shared" si="14"/>
        <v>#N/A</v>
      </c>
      <c r="Q132" s="407" t="e">
        <f t="shared" si="25"/>
        <v>#N/A</v>
      </c>
      <c r="R132" s="407" t="e">
        <f t="shared" si="15"/>
        <v>#N/A</v>
      </c>
      <c r="S132" s="324">
        <f t="shared" si="16"/>
        <v>0</v>
      </c>
      <c r="T132" s="924" t="str">
        <f t="shared" si="17"/>
        <v/>
      </c>
      <c r="U132" s="1221" t="str">
        <f t="shared" si="26"/>
        <v/>
      </c>
      <c r="W132" s="1098">
        <f t="shared" si="18"/>
        <v>1</v>
      </c>
      <c r="X132" s="1098" t="e">
        <f>INDEX(OSReq,MATCH('Interior Lighting'!D132,LightingSpaceType,0))</f>
        <v>#N/A</v>
      </c>
      <c r="Y132" s="1098" t="e">
        <f t="shared" si="19"/>
        <v>#N/A</v>
      </c>
      <c r="Z132" s="1098" t="e">
        <f t="shared" si="20"/>
        <v>#N/A</v>
      </c>
      <c r="AA132" s="1098" t="e">
        <f>INDEX(Lookup!$O$9:$O$24,MATCH('Interior Lighting'!Z132,Lookup!$K$9:$K$24,0))</f>
        <v>#N/A</v>
      </c>
      <c r="AB132" s="1098" t="e">
        <f>IF(E132="A",INDEX(Lookup!$L$9:$L$24,MATCH(Z132,Lookup!$K$9:$K$24,0)),IF(E132="B",INDEX(Lookup!$M$9:$M$24,MATCH(Z132,Lookup!$K$9:$K$24,0)),IF(E132="C",INDEX(Lookup!$N$9:$N$24,MATCH(Z132,Lookup!$K$9:$K$24,0)),"N/A")))</f>
        <v>#N/A</v>
      </c>
    </row>
    <row r="133" spans="1:28">
      <c r="A133" s="338"/>
      <c r="B133" s="69"/>
      <c r="C133" s="323"/>
      <c r="D133" s="323"/>
      <c r="E133" s="324" t="e">
        <f>INDEX(Lookup!$I$9:$I$24,MATCH('Interior Lighting'!D133,Lookup!$C$9:$C$24,0))</f>
        <v>#N/A</v>
      </c>
      <c r="F133" s="69"/>
      <c r="G133" s="69"/>
      <c r="H133" s="69"/>
      <c r="I133" s="324" t="e">
        <f t="shared" si="21"/>
        <v>#N/A</v>
      </c>
      <c r="J133" s="170"/>
      <c r="K133" s="325">
        <f t="shared" si="22"/>
        <v>0</v>
      </c>
      <c r="L133" s="326" t="e">
        <f t="shared" si="23"/>
        <v>#DIV/0!</v>
      </c>
      <c r="M133" s="326" t="str">
        <f>IF(H133="Yes",IF(D133='Drop Down'!$W$4,0.9*L133,IF(D133='Drop Down'!$W$5,0.9*L133,IF(D133='Drop Down'!$W$10,0.9*L133,IF(D133='Drop Down'!$W$16,0.9*L133,"No credit allowed.")))),"N/A")</f>
        <v>N/A</v>
      </c>
      <c r="N133" s="327" t="e">
        <f>IF($D$20="Space-By-Space (90.1-2013)",INDEX(LPD2013SS,MATCH('Interior Lighting'!D133,LightingSpaceType,0)*W133),INDEX(LPD2013WB,MATCH('Interior Lighting'!D133,LightingSpaceType,0)))</f>
        <v>#N/A</v>
      </c>
      <c r="O133" s="327">
        <f t="shared" si="24"/>
        <v>0</v>
      </c>
      <c r="P133" s="407" t="e">
        <f t="shared" si="14"/>
        <v>#N/A</v>
      </c>
      <c r="Q133" s="407" t="e">
        <f t="shared" si="25"/>
        <v>#N/A</v>
      </c>
      <c r="R133" s="407" t="e">
        <f t="shared" si="15"/>
        <v>#N/A</v>
      </c>
      <c r="S133" s="324">
        <f t="shared" si="16"/>
        <v>0</v>
      </c>
      <c r="T133" s="924" t="str">
        <f t="shared" si="17"/>
        <v/>
      </c>
      <c r="U133" s="1221" t="str">
        <f t="shared" si="26"/>
        <v/>
      </c>
      <c r="W133" s="1098">
        <f t="shared" si="18"/>
        <v>1</v>
      </c>
      <c r="X133" s="1098" t="e">
        <f>INDEX(OSReq,MATCH('Interior Lighting'!D133,LightingSpaceType,0))</f>
        <v>#N/A</v>
      </c>
      <c r="Y133" s="1098" t="e">
        <f t="shared" si="19"/>
        <v>#N/A</v>
      </c>
      <c r="Z133" s="1098" t="e">
        <f t="shared" si="20"/>
        <v>#N/A</v>
      </c>
      <c r="AA133" s="1098" t="e">
        <f>INDEX(Lookup!$O$9:$O$24,MATCH('Interior Lighting'!Z133,Lookup!$K$9:$K$24,0))</f>
        <v>#N/A</v>
      </c>
      <c r="AB133" s="1098" t="e">
        <f>IF(E133="A",INDEX(Lookup!$L$9:$L$24,MATCH(Z133,Lookup!$K$9:$K$24,0)),IF(E133="B",INDEX(Lookup!$M$9:$M$24,MATCH(Z133,Lookup!$K$9:$K$24,0)),IF(E133="C",INDEX(Lookup!$N$9:$N$24,MATCH(Z133,Lookup!$K$9:$K$24,0)),"N/A")))</f>
        <v>#N/A</v>
      </c>
    </row>
    <row r="134" spans="1:28">
      <c r="A134" s="1103"/>
      <c r="B134" s="69"/>
      <c r="C134" s="323"/>
      <c r="D134" s="323"/>
      <c r="E134" s="324" t="e">
        <f>INDEX(Lookup!$I$9:$I$24,MATCH('Interior Lighting'!D134,Lookup!$C$9:$C$24,0))</f>
        <v>#N/A</v>
      </c>
      <c r="F134" s="69"/>
      <c r="G134" s="69"/>
      <c r="H134" s="69"/>
      <c r="I134" s="324" t="e">
        <f t="shared" si="21"/>
        <v>#N/A</v>
      </c>
      <c r="J134" s="170"/>
      <c r="K134" s="325">
        <f t="shared" si="22"/>
        <v>0</v>
      </c>
      <c r="L134" s="326" t="e">
        <f t="shared" si="23"/>
        <v>#DIV/0!</v>
      </c>
      <c r="M134" s="326" t="str">
        <f>IF(H134="Yes",IF(D134='Drop Down'!$W$4,0.9*L134,IF(D134='Drop Down'!$W$5,0.9*L134,IF(D134='Drop Down'!$W$10,0.9*L134,IF(D134='Drop Down'!$W$16,0.9*L134,"No credit allowed.")))),"N/A")</f>
        <v>N/A</v>
      </c>
      <c r="N134" s="327" t="e">
        <f>IF($D$20="Space-By-Space (90.1-2013)",INDEX(LPD2013SS,MATCH('Interior Lighting'!D134,LightingSpaceType,0)*W134),INDEX(LPD2013WB,MATCH('Interior Lighting'!D134,LightingSpaceType,0)))</f>
        <v>#N/A</v>
      </c>
      <c r="O134" s="327">
        <f t="shared" si="24"/>
        <v>0</v>
      </c>
      <c r="P134" s="407" t="e">
        <f t="shared" si="14"/>
        <v>#N/A</v>
      </c>
      <c r="Q134" s="407" t="e">
        <f t="shared" si="25"/>
        <v>#N/A</v>
      </c>
      <c r="R134" s="407" t="e">
        <f t="shared" si="15"/>
        <v>#N/A</v>
      </c>
      <c r="S134" s="324">
        <f t="shared" si="16"/>
        <v>0</v>
      </c>
      <c r="T134" s="924" t="str">
        <f t="shared" si="17"/>
        <v/>
      </c>
      <c r="U134" s="1221" t="str">
        <f t="shared" si="26"/>
        <v/>
      </c>
      <c r="W134" s="1098">
        <f t="shared" si="18"/>
        <v>1</v>
      </c>
      <c r="X134" s="1098" t="e">
        <f>INDEX(OSReq,MATCH('Interior Lighting'!D134,LightingSpaceType,0))</f>
        <v>#N/A</v>
      </c>
      <c r="Y134" s="1098" t="e">
        <f t="shared" si="19"/>
        <v>#N/A</v>
      </c>
      <c r="Z134" s="1098" t="e">
        <f t="shared" si="20"/>
        <v>#N/A</v>
      </c>
      <c r="AA134" s="1098" t="e">
        <f>INDEX(Lookup!$O$9:$O$24,MATCH('Interior Lighting'!Z134,Lookup!$K$9:$K$24,0))</f>
        <v>#N/A</v>
      </c>
      <c r="AB134" s="1098" t="e">
        <f>IF(E134="A",INDEX(Lookup!$L$9:$L$24,MATCH(Z134,Lookup!$K$9:$K$24,0)),IF(E134="B",INDEX(Lookup!$M$9:$M$24,MATCH(Z134,Lookup!$K$9:$K$24,0)),IF(E134="C",INDEX(Lookup!$N$9:$N$24,MATCH(Z134,Lookup!$K$9:$K$24,0)),"N/A")))</f>
        <v>#N/A</v>
      </c>
    </row>
    <row r="135" spans="1:28">
      <c r="A135" s="1103"/>
      <c r="B135" s="69"/>
      <c r="C135" s="330"/>
      <c r="D135" s="323"/>
      <c r="E135" s="324" t="e">
        <f>INDEX(Lookup!$I$9:$I$24,MATCH('Interior Lighting'!D135,Lookup!$C$9:$C$24,0))</f>
        <v>#N/A</v>
      </c>
      <c r="F135" s="69"/>
      <c r="G135" s="69"/>
      <c r="H135" s="69"/>
      <c r="I135" s="324" t="e">
        <f t="shared" si="21"/>
        <v>#N/A</v>
      </c>
      <c r="J135" s="170"/>
      <c r="K135" s="325">
        <f t="shared" si="22"/>
        <v>0</v>
      </c>
      <c r="L135" s="326" t="e">
        <f t="shared" si="23"/>
        <v>#DIV/0!</v>
      </c>
      <c r="M135" s="326" t="str">
        <f>IF(H135="Yes",IF(D135='Drop Down'!$W$4,0.9*L135,IF(D135='Drop Down'!$W$5,0.9*L135,IF(D135='Drop Down'!$W$10,0.9*L135,IF(D135='Drop Down'!$W$16,0.9*L135,"No credit allowed.")))),"N/A")</f>
        <v>N/A</v>
      </c>
      <c r="N135" s="327" t="e">
        <f>IF($D$20="Space-By-Space (90.1-2013)",INDEX(LPD2013SS,MATCH('Interior Lighting'!D135,LightingSpaceType,0)*W135),INDEX(LPD2013WB,MATCH('Interior Lighting'!D135,LightingSpaceType,0)))</f>
        <v>#N/A</v>
      </c>
      <c r="O135" s="327">
        <f t="shared" si="24"/>
        <v>0</v>
      </c>
      <c r="P135" s="407" t="e">
        <f t="shared" si="14"/>
        <v>#N/A</v>
      </c>
      <c r="Q135" s="407" t="e">
        <f t="shared" si="25"/>
        <v>#N/A</v>
      </c>
      <c r="R135" s="407" t="e">
        <f t="shared" si="15"/>
        <v>#N/A</v>
      </c>
      <c r="S135" s="324">
        <f t="shared" si="16"/>
        <v>0</v>
      </c>
      <c r="T135" s="924" t="str">
        <f t="shared" si="17"/>
        <v/>
      </c>
      <c r="U135" s="1221" t="str">
        <f t="shared" si="26"/>
        <v/>
      </c>
      <c r="W135" s="1098">
        <f t="shared" si="18"/>
        <v>1</v>
      </c>
      <c r="X135" s="1098" t="e">
        <f>INDEX(OSReq,MATCH('Interior Lighting'!D135,LightingSpaceType,0))</f>
        <v>#N/A</v>
      </c>
      <c r="Y135" s="1098" t="e">
        <f t="shared" si="19"/>
        <v>#N/A</v>
      </c>
      <c r="Z135" s="1098" t="e">
        <f t="shared" si="20"/>
        <v>#N/A</v>
      </c>
      <c r="AA135" s="1098" t="e">
        <f>INDEX(Lookup!$O$9:$O$24,MATCH('Interior Lighting'!Z135,Lookup!$K$9:$K$24,0))</f>
        <v>#N/A</v>
      </c>
      <c r="AB135" s="1098" t="e">
        <f>IF(E135="A",INDEX(Lookup!$L$9:$L$24,MATCH(Z135,Lookup!$K$9:$K$24,0)),IF(E135="B",INDEX(Lookup!$M$9:$M$24,MATCH(Z135,Lookup!$K$9:$K$24,0)),IF(E135="C",INDEX(Lookup!$N$9:$N$24,MATCH(Z135,Lookup!$K$9:$K$24,0)),"N/A")))</f>
        <v>#N/A</v>
      </c>
    </row>
    <row r="136" spans="1:28">
      <c r="A136" s="1103"/>
      <c r="B136" s="69"/>
      <c r="C136" s="323"/>
      <c r="D136" s="323"/>
      <c r="E136" s="324" t="e">
        <f>INDEX(Lookup!$I$9:$I$24,MATCH('Interior Lighting'!D136,Lookup!$C$9:$C$24,0))</f>
        <v>#N/A</v>
      </c>
      <c r="F136" s="69"/>
      <c r="G136" s="69"/>
      <c r="H136" s="69"/>
      <c r="I136" s="324" t="e">
        <f t="shared" si="21"/>
        <v>#N/A</v>
      </c>
      <c r="J136" s="170"/>
      <c r="K136" s="325">
        <f t="shared" si="22"/>
        <v>0</v>
      </c>
      <c r="L136" s="326" t="e">
        <f t="shared" si="23"/>
        <v>#DIV/0!</v>
      </c>
      <c r="M136" s="326" t="str">
        <f>IF(H136="Yes",IF(D136='Drop Down'!$W$4,0.9*L136,IF(D136='Drop Down'!$W$5,0.9*L136,IF(D136='Drop Down'!$W$10,0.9*L136,IF(D136='Drop Down'!$W$16,0.9*L136,"No credit allowed.")))),"N/A")</f>
        <v>N/A</v>
      </c>
      <c r="N136" s="327" t="e">
        <f>IF($D$20="Space-By-Space (90.1-2013)",INDEX(LPD2013SS,MATCH('Interior Lighting'!D136,LightingSpaceType,0)*W136),INDEX(LPD2013WB,MATCH('Interior Lighting'!D136,LightingSpaceType,0)))</f>
        <v>#N/A</v>
      </c>
      <c r="O136" s="327">
        <f t="shared" si="24"/>
        <v>0</v>
      </c>
      <c r="P136" s="407" t="e">
        <f t="shared" si="14"/>
        <v>#N/A</v>
      </c>
      <c r="Q136" s="407" t="e">
        <f t="shared" si="25"/>
        <v>#N/A</v>
      </c>
      <c r="R136" s="407" t="e">
        <f t="shared" si="15"/>
        <v>#N/A</v>
      </c>
      <c r="S136" s="324">
        <f t="shared" si="16"/>
        <v>0</v>
      </c>
      <c r="T136" s="924" t="str">
        <f t="shared" si="17"/>
        <v/>
      </c>
      <c r="U136" s="1221" t="str">
        <f t="shared" si="26"/>
        <v/>
      </c>
      <c r="W136" s="1098">
        <f t="shared" si="18"/>
        <v>1</v>
      </c>
      <c r="X136" s="1098" t="e">
        <f>INDEX(OSReq,MATCH('Interior Lighting'!D136,LightingSpaceType,0))</f>
        <v>#N/A</v>
      </c>
      <c r="Y136" s="1098" t="e">
        <f t="shared" si="19"/>
        <v>#N/A</v>
      </c>
      <c r="Z136" s="1098" t="e">
        <f t="shared" si="20"/>
        <v>#N/A</v>
      </c>
      <c r="AA136" s="1098" t="e">
        <f>INDEX(Lookup!$O$9:$O$24,MATCH('Interior Lighting'!Z136,Lookup!$K$9:$K$24,0))</f>
        <v>#N/A</v>
      </c>
      <c r="AB136" s="1098" t="e">
        <f>IF(E136="A",INDEX(Lookup!$L$9:$L$24,MATCH(Z136,Lookup!$K$9:$K$24,0)),IF(E136="B",INDEX(Lookup!$M$9:$M$24,MATCH(Z136,Lookup!$K$9:$K$24,0)),IF(E136="C",INDEX(Lookup!$N$9:$N$24,MATCH(Z136,Lookup!$K$9:$K$24,0)),"N/A")))</f>
        <v>#N/A</v>
      </c>
    </row>
    <row r="137" spans="1:28">
      <c r="A137" s="1103"/>
      <c r="B137" s="69"/>
      <c r="C137" s="323"/>
      <c r="D137" s="323"/>
      <c r="E137" s="324" t="e">
        <f>INDEX(Lookup!$I$9:$I$24,MATCH('Interior Lighting'!D137,Lookup!$C$9:$C$24,0))</f>
        <v>#N/A</v>
      </c>
      <c r="F137" s="69"/>
      <c r="G137" s="69"/>
      <c r="H137" s="69"/>
      <c r="I137" s="324" t="e">
        <f t="shared" si="21"/>
        <v>#N/A</v>
      </c>
      <c r="J137" s="170"/>
      <c r="K137" s="325">
        <f t="shared" si="22"/>
        <v>0</v>
      </c>
      <c r="L137" s="326" t="e">
        <f t="shared" si="23"/>
        <v>#DIV/0!</v>
      </c>
      <c r="M137" s="326" t="str">
        <f>IF(H137="Yes",IF(D137='Drop Down'!$W$4,0.9*L137,IF(D137='Drop Down'!$W$5,0.9*L137,IF(D137='Drop Down'!$W$10,0.9*L137,IF(D137='Drop Down'!$W$16,0.9*L137,"No credit allowed.")))),"N/A")</f>
        <v>N/A</v>
      </c>
      <c r="N137" s="327" t="e">
        <f>IF($D$20="Space-By-Space (90.1-2013)",INDEX(LPD2013SS,MATCH('Interior Lighting'!D137,LightingSpaceType,0)*W137),INDEX(LPD2013WB,MATCH('Interior Lighting'!D137,LightingSpaceType,0)))</f>
        <v>#N/A</v>
      </c>
      <c r="O137" s="327">
        <f t="shared" si="24"/>
        <v>0</v>
      </c>
      <c r="P137" s="407" t="e">
        <f t="shared" si="14"/>
        <v>#N/A</v>
      </c>
      <c r="Q137" s="407" t="e">
        <f t="shared" si="25"/>
        <v>#N/A</v>
      </c>
      <c r="R137" s="407" t="e">
        <f t="shared" si="15"/>
        <v>#N/A</v>
      </c>
      <c r="S137" s="324">
        <f t="shared" si="16"/>
        <v>0</v>
      </c>
      <c r="T137" s="924" t="str">
        <f t="shared" si="17"/>
        <v/>
      </c>
      <c r="U137" s="1221" t="str">
        <f t="shared" si="26"/>
        <v/>
      </c>
      <c r="W137" s="1098">
        <f t="shared" si="18"/>
        <v>1</v>
      </c>
      <c r="X137" s="1098" t="e">
        <f>INDEX(OSReq,MATCH('Interior Lighting'!D137,LightingSpaceType,0))</f>
        <v>#N/A</v>
      </c>
      <c r="Y137" s="1098" t="e">
        <f t="shared" si="19"/>
        <v>#N/A</v>
      </c>
      <c r="Z137" s="1098" t="e">
        <f t="shared" si="20"/>
        <v>#N/A</v>
      </c>
      <c r="AA137" s="1098" t="e">
        <f>INDEX(Lookup!$O$9:$O$24,MATCH('Interior Lighting'!Z137,Lookup!$K$9:$K$24,0))</f>
        <v>#N/A</v>
      </c>
      <c r="AB137" s="1098" t="e">
        <f>IF(E137="A",INDEX(Lookup!$L$9:$L$24,MATCH(Z137,Lookup!$K$9:$K$24,0)),IF(E137="B",INDEX(Lookup!$M$9:$M$24,MATCH(Z137,Lookup!$K$9:$K$24,0)),IF(E137="C",INDEX(Lookup!$N$9:$N$24,MATCH(Z137,Lookup!$K$9:$K$24,0)),"N/A")))</f>
        <v>#N/A</v>
      </c>
    </row>
    <row r="138" spans="1:28">
      <c r="A138" s="1103"/>
      <c r="B138" s="69"/>
      <c r="C138" s="323"/>
      <c r="D138" s="323"/>
      <c r="E138" s="324" t="e">
        <f>INDEX(Lookup!$I$9:$I$24,MATCH('Interior Lighting'!D138,Lookup!$C$9:$C$24,0))</f>
        <v>#N/A</v>
      </c>
      <c r="F138" s="69"/>
      <c r="G138" s="69"/>
      <c r="H138" s="69"/>
      <c r="I138" s="324" t="e">
        <f t="shared" si="21"/>
        <v>#N/A</v>
      </c>
      <c r="J138" s="170"/>
      <c r="K138" s="325">
        <f t="shared" si="22"/>
        <v>0</v>
      </c>
      <c r="L138" s="326" t="e">
        <f t="shared" si="23"/>
        <v>#DIV/0!</v>
      </c>
      <c r="M138" s="326" t="str">
        <f>IF(H138="Yes",IF(D138='Drop Down'!$W$4,0.9*L138,IF(D138='Drop Down'!$W$5,0.9*L138,IF(D138='Drop Down'!$W$10,0.9*L138,IF(D138='Drop Down'!$W$16,0.9*L138,"No credit allowed.")))),"N/A")</f>
        <v>N/A</v>
      </c>
      <c r="N138" s="327" t="e">
        <f>IF($D$20="Space-By-Space (90.1-2013)",INDEX(LPD2013SS,MATCH('Interior Lighting'!D138,LightingSpaceType,0)*W138),INDEX(LPD2013WB,MATCH('Interior Lighting'!D138,LightingSpaceType,0)))</f>
        <v>#N/A</v>
      </c>
      <c r="O138" s="327">
        <f t="shared" si="24"/>
        <v>0</v>
      </c>
      <c r="P138" s="407" t="e">
        <f t="shared" si="14"/>
        <v>#N/A</v>
      </c>
      <c r="Q138" s="407" t="e">
        <f t="shared" si="25"/>
        <v>#N/A</v>
      </c>
      <c r="R138" s="407" t="e">
        <f t="shared" si="15"/>
        <v>#N/A</v>
      </c>
      <c r="S138" s="324">
        <f t="shared" si="16"/>
        <v>0</v>
      </c>
      <c r="T138" s="924" t="str">
        <f t="shared" si="17"/>
        <v/>
      </c>
      <c r="U138" s="1221" t="str">
        <f t="shared" si="26"/>
        <v/>
      </c>
      <c r="W138" s="1098">
        <f t="shared" si="18"/>
        <v>1</v>
      </c>
      <c r="X138" s="1098" t="e">
        <f>INDEX(OSReq,MATCH('Interior Lighting'!D138,LightingSpaceType,0))</f>
        <v>#N/A</v>
      </c>
      <c r="Y138" s="1098" t="e">
        <f t="shared" si="19"/>
        <v>#N/A</v>
      </c>
      <c r="Z138" s="1098" t="e">
        <f t="shared" si="20"/>
        <v>#N/A</v>
      </c>
      <c r="AA138" s="1098" t="e">
        <f>INDEX(Lookup!$O$9:$O$24,MATCH('Interior Lighting'!Z138,Lookup!$K$9:$K$24,0))</f>
        <v>#N/A</v>
      </c>
      <c r="AB138" s="1098" t="e">
        <f>IF(E138="A",INDEX(Lookup!$L$9:$L$24,MATCH(Z138,Lookup!$K$9:$K$24,0)),IF(E138="B",INDEX(Lookup!$M$9:$M$24,MATCH(Z138,Lookup!$K$9:$K$24,0)),IF(E138="C",INDEX(Lookup!$N$9:$N$24,MATCH(Z138,Lookup!$K$9:$K$24,0)),"N/A")))</f>
        <v>#N/A</v>
      </c>
    </row>
    <row r="139" spans="1:28">
      <c r="A139" s="1103"/>
      <c r="B139" s="69"/>
      <c r="C139" s="323"/>
      <c r="D139" s="323"/>
      <c r="E139" s="324" t="e">
        <f>INDEX(Lookup!$I$9:$I$24,MATCH('Interior Lighting'!D139,Lookup!$C$9:$C$24,0))</f>
        <v>#N/A</v>
      </c>
      <c r="F139" s="69"/>
      <c r="G139" s="69"/>
      <c r="H139" s="69"/>
      <c r="I139" s="324" t="e">
        <f t="shared" si="21"/>
        <v>#N/A</v>
      </c>
      <c r="J139" s="170"/>
      <c r="K139" s="325">
        <f t="shared" si="22"/>
        <v>0</v>
      </c>
      <c r="L139" s="326" t="e">
        <f t="shared" si="23"/>
        <v>#DIV/0!</v>
      </c>
      <c r="M139" s="326" t="str">
        <f>IF(H139="Yes",IF(D139='Drop Down'!$W$4,0.9*L139,IF(D139='Drop Down'!$W$5,0.9*L139,IF(D139='Drop Down'!$W$10,0.9*L139,IF(D139='Drop Down'!$W$16,0.9*L139,"No credit allowed.")))),"N/A")</f>
        <v>N/A</v>
      </c>
      <c r="N139" s="327" t="e">
        <f>IF($D$20="Space-By-Space (90.1-2013)",INDEX(LPD2013SS,MATCH('Interior Lighting'!D139,LightingSpaceType,0)*W139),INDEX(LPD2013WB,MATCH('Interior Lighting'!D139,LightingSpaceType,0)))</f>
        <v>#N/A</v>
      </c>
      <c r="O139" s="327">
        <f t="shared" si="24"/>
        <v>0</v>
      </c>
      <c r="P139" s="407" t="e">
        <f t="shared" si="14"/>
        <v>#N/A</v>
      </c>
      <c r="Q139" s="407" t="e">
        <f t="shared" si="25"/>
        <v>#N/A</v>
      </c>
      <c r="R139" s="407" t="e">
        <f t="shared" si="15"/>
        <v>#N/A</v>
      </c>
      <c r="S139" s="324">
        <f t="shared" si="16"/>
        <v>0</v>
      </c>
      <c r="T139" s="924" t="str">
        <f t="shared" si="17"/>
        <v/>
      </c>
      <c r="U139" s="1221" t="str">
        <f t="shared" si="26"/>
        <v/>
      </c>
      <c r="W139" s="1098">
        <f t="shared" si="18"/>
        <v>1</v>
      </c>
      <c r="X139" s="1098" t="e">
        <f>INDEX(OSReq,MATCH('Interior Lighting'!D139,LightingSpaceType,0))</f>
        <v>#N/A</v>
      </c>
      <c r="Y139" s="1098" t="e">
        <f t="shared" si="19"/>
        <v>#N/A</v>
      </c>
      <c r="Z139" s="1098" t="e">
        <f t="shared" si="20"/>
        <v>#N/A</v>
      </c>
      <c r="AA139" s="1098" t="e">
        <f>INDEX(Lookup!$O$9:$O$24,MATCH('Interior Lighting'!Z139,Lookup!$K$9:$K$24,0))</f>
        <v>#N/A</v>
      </c>
      <c r="AB139" s="1098" t="e">
        <f>IF(E139="A",INDEX(Lookup!$L$9:$L$24,MATCH(Z139,Lookup!$K$9:$K$24,0)),IF(E139="B",INDEX(Lookup!$M$9:$M$24,MATCH(Z139,Lookup!$K$9:$K$24,0)),IF(E139="C",INDEX(Lookup!$N$9:$N$24,MATCH(Z139,Lookup!$K$9:$K$24,0)),"N/A")))</f>
        <v>#N/A</v>
      </c>
    </row>
    <row r="140" spans="1:28">
      <c r="A140" s="338"/>
      <c r="B140" s="69"/>
      <c r="C140" s="323"/>
      <c r="D140" s="323"/>
      <c r="E140" s="324" t="e">
        <f>INDEX(Lookup!$I$9:$I$24,MATCH('Interior Lighting'!D140,Lookup!$C$9:$C$24,0))</f>
        <v>#N/A</v>
      </c>
      <c r="F140" s="69"/>
      <c r="G140" s="69"/>
      <c r="H140" s="69"/>
      <c r="I140" s="324" t="e">
        <f t="shared" si="21"/>
        <v>#N/A</v>
      </c>
      <c r="J140" s="170"/>
      <c r="K140" s="325">
        <f t="shared" si="22"/>
        <v>0</v>
      </c>
      <c r="L140" s="326" t="e">
        <f t="shared" si="23"/>
        <v>#DIV/0!</v>
      </c>
      <c r="M140" s="326" t="str">
        <f>IF(H140="Yes",IF(D140='Drop Down'!$W$4,0.9*L140,IF(D140='Drop Down'!$W$5,0.9*L140,IF(D140='Drop Down'!$W$10,0.9*L140,IF(D140='Drop Down'!$W$16,0.9*L140,"No credit allowed.")))),"N/A")</f>
        <v>N/A</v>
      </c>
      <c r="N140" s="327" t="e">
        <f>IF($D$20="Space-By-Space (90.1-2013)",INDEX(LPD2013SS,MATCH('Interior Lighting'!D140,LightingSpaceType,0)*W140),INDEX(LPD2013WB,MATCH('Interior Lighting'!D140,LightingSpaceType,0)))</f>
        <v>#N/A</v>
      </c>
      <c r="O140" s="327">
        <f t="shared" si="24"/>
        <v>0</v>
      </c>
      <c r="P140" s="407" t="e">
        <f t="shared" si="14"/>
        <v>#N/A</v>
      </c>
      <c r="Q140" s="407" t="e">
        <f t="shared" si="25"/>
        <v>#N/A</v>
      </c>
      <c r="R140" s="407" t="e">
        <f t="shared" si="15"/>
        <v>#N/A</v>
      </c>
      <c r="S140" s="324">
        <f t="shared" si="16"/>
        <v>0</v>
      </c>
      <c r="T140" s="924" t="str">
        <f t="shared" si="17"/>
        <v/>
      </c>
      <c r="U140" s="1221" t="str">
        <f t="shared" si="26"/>
        <v/>
      </c>
      <c r="W140" s="1098">
        <f t="shared" si="18"/>
        <v>1</v>
      </c>
      <c r="X140" s="1098" t="e">
        <f>INDEX(OSReq,MATCH('Interior Lighting'!D140,LightingSpaceType,0))</f>
        <v>#N/A</v>
      </c>
      <c r="Y140" s="1098" t="e">
        <f t="shared" si="19"/>
        <v>#N/A</v>
      </c>
      <c r="Z140" s="1098" t="e">
        <f t="shared" si="20"/>
        <v>#N/A</v>
      </c>
      <c r="AA140" s="1098" t="e">
        <f>INDEX(Lookup!$O$9:$O$24,MATCH('Interior Lighting'!Z140,Lookup!$K$9:$K$24,0))</f>
        <v>#N/A</v>
      </c>
      <c r="AB140" s="1098" t="e">
        <f>IF(E140="A",INDEX(Lookup!$L$9:$L$24,MATCH(Z140,Lookup!$K$9:$K$24,0)),IF(E140="B",INDEX(Lookup!$M$9:$M$24,MATCH(Z140,Lookup!$K$9:$K$24,0)),IF(E140="C",INDEX(Lookup!$N$9:$N$24,MATCH(Z140,Lookup!$K$9:$K$24,0)),"N/A")))</f>
        <v>#N/A</v>
      </c>
    </row>
    <row r="141" spans="1:28">
      <c r="A141" s="338"/>
      <c r="B141" s="69"/>
      <c r="C141" s="323"/>
      <c r="D141" s="323"/>
      <c r="E141" s="324" t="e">
        <f>INDEX(Lookup!$I$9:$I$24,MATCH('Interior Lighting'!D141,Lookup!$C$9:$C$24,0))</f>
        <v>#N/A</v>
      </c>
      <c r="F141" s="69"/>
      <c r="G141" s="69"/>
      <c r="H141" s="69"/>
      <c r="I141" s="324" t="e">
        <f t="shared" si="21"/>
        <v>#N/A</v>
      </c>
      <c r="J141" s="170"/>
      <c r="K141" s="325">
        <f t="shared" si="22"/>
        <v>0</v>
      </c>
      <c r="L141" s="326" t="e">
        <f t="shared" si="23"/>
        <v>#DIV/0!</v>
      </c>
      <c r="M141" s="326" t="str">
        <f>IF(H141="Yes",IF(D141='Drop Down'!$W$4,0.9*L141,IF(D141='Drop Down'!$W$5,0.9*L141,IF(D141='Drop Down'!$W$10,0.9*L141,IF(D141='Drop Down'!$W$16,0.9*L141,"No credit allowed.")))),"N/A")</f>
        <v>N/A</v>
      </c>
      <c r="N141" s="327" t="e">
        <f>IF($D$20="Space-By-Space (90.1-2013)",INDEX(LPD2013SS,MATCH('Interior Lighting'!D141,LightingSpaceType,0)*W141),INDEX(LPD2013WB,MATCH('Interior Lighting'!D141,LightingSpaceType,0)))</f>
        <v>#N/A</v>
      </c>
      <c r="O141" s="327">
        <f t="shared" si="24"/>
        <v>0</v>
      </c>
      <c r="P141" s="407" t="e">
        <f t="shared" si="14"/>
        <v>#N/A</v>
      </c>
      <c r="Q141" s="407" t="e">
        <f t="shared" si="25"/>
        <v>#N/A</v>
      </c>
      <c r="R141" s="407" t="e">
        <f t="shared" si="15"/>
        <v>#N/A</v>
      </c>
      <c r="S141" s="324">
        <f t="shared" si="16"/>
        <v>0</v>
      </c>
      <c r="T141" s="924" t="str">
        <f t="shared" si="17"/>
        <v/>
      </c>
      <c r="U141" s="1221" t="str">
        <f t="shared" si="26"/>
        <v/>
      </c>
      <c r="W141" s="1098">
        <f t="shared" si="18"/>
        <v>1</v>
      </c>
      <c r="X141" s="1098" t="e">
        <f>INDEX(OSReq,MATCH('Interior Lighting'!D141,LightingSpaceType,0))</f>
        <v>#N/A</v>
      </c>
      <c r="Y141" s="1098" t="e">
        <f t="shared" si="19"/>
        <v>#N/A</v>
      </c>
      <c r="Z141" s="1098" t="e">
        <f t="shared" si="20"/>
        <v>#N/A</v>
      </c>
      <c r="AA141" s="1098" t="e">
        <f>INDEX(Lookup!$O$9:$O$24,MATCH('Interior Lighting'!Z141,Lookup!$K$9:$K$24,0))</f>
        <v>#N/A</v>
      </c>
      <c r="AB141" s="1098" t="e">
        <f>IF(E141="A",INDEX(Lookup!$L$9:$L$24,MATCH(Z141,Lookup!$K$9:$K$24,0)),IF(E141="B",INDEX(Lookup!$M$9:$M$24,MATCH(Z141,Lookup!$K$9:$K$24,0)),IF(E141="C",INDEX(Lookup!$N$9:$N$24,MATCH(Z141,Lookup!$K$9:$K$24,0)),"N/A")))</f>
        <v>#N/A</v>
      </c>
    </row>
    <row r="142" spans="1:28">
      <c r="A142" s="1006"/>
      <c r="B142" s="69"/>
      <c r="C142" s="323"/>
      <c r="D142" s="323"/>
      <c r="E142" s="324" t="e">
        <f>INDEX(Lookup!$I$9:$I$24,MATCH('Interior Lighting'!D142,Lookup!$C$9:$C$24,0))</f>
        <v>#N/A</v>
      </c>
      <c r="F142" s="69"/>
      <c r="G142" s="69"/>
      <c r="H142" s="69"/>
      <c r="I142" s="324" t="e">
        <f t="shared" si="21"/>
        <v>#N/A</v>
      </c>
      <c r="J142" s="170"/>
      <c r="K142" s="325">
        <f t="shared" si="22"/>
        <v>0</v>
      </c>
      <c r="L142" s="326" t="e">
        <f t="shared" si="23"/>
        <v>#DIV/0!</v>
      </c>
      <c r="M142" s="326" t="str">
        <f>IF(H142="Yes",IF(D142='Drop Down'!$W$4,0.9*L142,IF(D142='Drop Down'!$W$5,0.9*L142,IF(D142='Drop Down'!$W$10,0.9*L142,IF(D142='Drop Down'!$W$16,0.9*L142,"No credit allowed.")))),"N/A")</f>
        <v>N/A</v>
      </c>
      <c r="N142" s="327" t="e">
        <f>IF($D$20="Space-By-Space (90.1-2013)",INDEX(LPD2013SS,MATCH('Interior Lighting'!D142,LightingSpaceType,0)*W142),INDEX(LPD2013WB,MATCH('Interior Lighting'!D142,LightingSpaceType,0)))</f>
        <v>#N/A</v>
      </c>
      <c r="O142" s="327">
        <f t="shared" si="24"/>
        <v>0</v>
      </c>
      <c r="P142" s="407" t="e">
        <f t="shared" si="14"/>
        <v>#N/A</v>
      </c>
      <c r="Q142" s="407" t="e">
        <f t="shared" si="25"/>
        <v>#N/A</v>
      </c>
      <c r="R142" s="407" t="e">
        <f t="shared" si="15"/>
        <v>#N/A</v>
      </c>
      <c r="S142" s="324">
        <f t="shared" si="16"/>
        <v>0</v>
      </c>
      <c r="T142" s="924" t="str">
        <f t="shared" si="17"/>
        <v/>
      </c>
      <c r="U142" s="1221" t="str">
        <f t="shared" si="26"/>
        <v/>
      </c>
      <c r="W142" s="1098">
        <f t="shared" si="18"/>
        <v>1</v>
      </c>
      <c r="X142" s="1098" t="e">
        <f>INDEX(OSReq,MATCH('Interior Lighting'!D142,LightingSpaceType,0))</f>
        <v>#N/A</v>
      </c>
      <c r="Y142" s="1098" t="e">
        <f t="shared" si="19"/>
        <v>#N/A</v>
      </c>
      <c r="Z142" s="1098" t="e">
        <f t="shared" si="20"/>
        <v>#N/A</v>
      </c>
      <c r="AA142" s="1098" t="e">
        <f>INDEX(Lookup!$O$9:$O$24,MATCH('Interior Lighting'!Z142,Lookup!$K$9:$K$24,0))</f>
        <v>#N/A</v>
      </c>
      <c r="AB142" s="1098" t="e">
        <f>IF(E142="A",INDEX(Lookup!$L$9:$L$24,MATCH(Z142,Lookup!$K$9:$K$24,0)),IF(E142="B",INDEX(Lookup!$M$9:$M$24,MATCH(Z142,Lookup!$K$9:$K$24,0)),IF(E142="C",INDEX(Lookup!$N$9:$N$24,MATCH(Z142,Lookup!$K$9:$K$24,0)),"N/A")))</f>
        <v>#N/A</v>
      </c>
    </row>
    <row r="143" spans="1:28">
      <c r="A143" s="1006"/>
      <c r="B143" s="69"/>
      <c r="C143" s="330"/>
      <c r="D143" s="323"/>
      <c r="E143" s="324" t="e">
        <f>INDEX(Lookup!$I$9:$I$24,MATCH('Interior Lighting'!D143,Lookup!$C$9:$C$24,0))</f>
        <v>#N/A</v>
      </c>
      <c r="F143" s="69"/>
      <c r="G143" s="69"/>
      <c r="H143" s="69"/>
      <c r="I143" s="324" t="e">
        <f t="shared" si="21"/>
        <v>#N/A</v>
      </c>
      <c r="J143" s="170"/>
      <c r="K143" s="325">
        <f t="shared" si="22"/>
        <v>0</v>
      </c>
      <c r="L143" s="326" t="e">
        <f t="shared" si="23"/>
        <v>#DIV/0!</v>
      </c>
      <c r="M143" s="326" t="str">
        <f>IF(H143="Yes",IF(D143='Drop Down'!$W$4,0.9*L143,IF(D143='Drop Down'!$W$5,0.9*L143,IF(D143='Drop Down'!$W$10,0.9*L143,IF(D143='Drop Down'!$W$16,0.9*L143,"No credit allowed.")))),"N/A")</f>
        <v>N/A</v>
      </c>
      <c r="N143" s="327" t="e">
        <f>IF($D$20="Space-By-Space (90.1-2013)",INDEX(LPD2013SS,MATCH('Interior Lighting'!D143,LightingSpaceType,0)*W143),INDEX(LPD2013WB,MATCH('Interior Lighting'!D143,LightingSpaceType,0)))</f>
        <v>#N/A</v>
      </c>
      <c r="O143" s="327">
        <f t="shared" si="24"/>
        <v>0</v>
      </c>
      <c r="P143" s="407" t="e">
        <f t="shared" si="14"/>
        <v>#N/A</v>
      </c>
      <c r="Q143" s="407" t="e">
        <f t="shared" si="25"/>
        <v>#N/A</v>
      </c>
      <c r="R143" s="407" t="e">
        <f t="shared" si="15"/>
        <v>#N/A</v>
      </c>
      <c r="S143" s="324">
        <f t="shared" si="16"/>
        <v>0</v>
      </c>
      <c r="T143" s="924" t="str">
        <f t="shared" si="17"/>
        <v/>
      </c>
      <c r="U143" s="1221" t="str">
        <f t="shared" si="26"/>
        <v/>
      </c>
      <c r="W143" s="1098">
        <f t="shared" si="18"/>
        <v>1</v>
      </c>
      <c r="X143" s="1098" t="e">
        <f>INDEX(OSReq,MATCH('Interior Lighting'!D143,LightingSpaceType,0))</f>
        <v>#N/A</v>
      </c>
      <c r="Y143" s="1098" t="e">
        <f t="shared" si="19"/>
        <v>#N/A</v>
      </c>
      <c r="Z143" s="1098" t="e">
        <f t="shared" si="20"/>
        <v>#N/A</v>
      </c>
      <c r="AA143" s="1098" t="e">
        <f>INDEX(Lookup!$O$9:$O$24,MATCH('Interior Lighting'!Z143,Lookup!$K$9:$K$24,0))</f>
        <v>#N/A</v>
      </c>
      <c r="AB143" s="1098" t="e">
        <f>IF(E143="A",INDEX(Lookup!$L$9:$L$24,MATCH(Z143,Lookup!$K$9:$K$24,0)),IF(E143="B",INDEX(Lookup!$M$9:$M$24,MATCH(Z143,Lookup!$K$9:$K$24,0)),IF(E143="C",INDEX(Lookup!$N$9:$N$24,MATCH(Z143,Lookup!$K$9:$K$24,0)),"N/A")))</f>
        <v>#N/A</v>
      </c>
    </row>
    <row r="144" spans="1:28">
      <c r="A144" s="1006"/>
      <c r="B144" s="69"/>
      <c r="C144" s="323"/>
      <c r="D144" s="323"/>
      <c r="E144" s="324" t="e">
        <f>INDEX(Lookup!$I$9:$I$24,MATCH('Interior Lighting'!D144,Lookup!$C$9:$C$24,0))</f>
        <v>#N/A</v>
      </c>
      <c r="F144" s="69"/>
      <c r="G144" s="69"/>
      <c r="H144" s="69"/>
      <c r="I144" s="324" t="e">
        <f t="shared" si="21"/>
        <v>#N/A</v>
      </c>
      <c r="J144" s="170"/>
      <c r="K144" s="325">
        <f t="shared" si="22"/>
        <v>0</v>
      </c>
      <c r="L144" s="326" t="e">
        <f t="shared" si="23"/>
        <v>#DIV/0!</v>
      </c>
      <c r="M144" s="326" t="str">
        <f>IF(H144="Yes",IF(D144='Drop Down'!$W$4,0.9*L144,IF(D144='Drop Down'!$W$5,0.9*L144,IF(D144='Drop Down'!$W$10,0.9*L144,IF(D144='Drop Down'!$W$16,0.9*L144,"No credit allowed.")))),"N/A")</f>
        <v>N/A</v>
      </c>
      <c r="N144" s="327" t="e">
        <f>IF($D$20="Space-By-Space (90.1-2013)",INDEX(LPD2013SS,MATCH('Interior Lighting'!D144,LightingSpaceType,0)*W144),INDEX(LPD2013WB,MATCH('Interior Lighting'!D144,LightingSpaceType,0)))</f>
        <v>#N/A</v>
      </c>
      <c r="O144" s="327">
        <f t="shared" si="24"/>
        <v>0</v>
      </c>
      <c r="P144" s="407" t="e">
        <f t="shared" si="14"/>
        <v>#N/A</v>
      </c>
      <c r="Q144" s="407" t="e">
        <f t="shared" si="25"/>
        <v>#N/A</v>
      </c>
      <c r="R144" s="407" t="e">
        <f t="shared" si="15"/>
        <v>#N/A</v>
      </c>
      <c r="S144" s="324">
        <f t="shared" si="16"/>
        <v>0</v>
      </c>
      <c r="T144" s="924" t="str">
        <f t="shared" si="17"/>
        <v/>
      </c>
      <c r="U144" s="1221" t="str">
        <f t="shared" si="26"/>
        <v/>
      </c>
      <c r="W144" s="1098">
        <f t="shared" si="18"/>
        <v>1</v>
      </c>
      <c r="X144" s="1098" t="e">
        <f>INDEX(OSReq,MATCH('Interior Lighting'!D144,LightingSpaceType,0))</f>
        <v>#N/A</v>
      </c>
      <c r="Y144" s="1098" t="e">
        <f t="shared" si="19"/>
        <v>#N/A</v>
      </c>
      <c r="Z144" s="1098" t="e">
        <f t="shared" si="20"/>
        <v>#N/A</v>
      </c>
      <c r="AA144" s="1098" t="e">
        <f>INDEX(Lookup!$O$9:$O$24,MATCH('Interior Lighting'!Z144,Lookup!$K$9:$K$24,0))</f>
        <v>#N/A</v>
      </c>
      <c r="AB144" s="1098" t="e">
        <f>IF(E144="A",INDEX(Lookup!$L$9:$L$24,MATCH(Z144,Lookup!$K$9:$K$24,0)),IF(E144="B",INDEX(Lookup!$M$9:$M$24,MATCH(Z144,Lookup!$K$9:$K$24,0)),IF(E144="C",INDEX(Lookup!$N$9:$N$24,MATCH(Z144,Lookup!$K$9:$K$24,0)),"N/A")))</f>
        <v>#N/A</v>
      </c>
    </row>
    <row r="145" spans="1:28">
      <c r="A145" s="1006"/>
      <c r="B145" s="69"/>
      <c r="C145" s="323"/>
      <c r="D145" s="323"/>
      <c r="E145" s="324" t="e">
        <f>INDEX(Lookup!$I$9:$I$24,MATCH('Interior Lighting'!D145,Lookup!$C$9:$C$24,0))</f>
        <v>#N/A</v>
      </c>
      <c r="F145" s="69"/>
      <c r="G145" s="69"/>
      <c r="H145" s="69"/>
      <c r="I145" s="324" t="e">
        <f t="shared" si="21"/>
        <v>#N/A</v>
      </c>
      <c r="J145" s="170"/>
      <c r="K145" s="325">
        <f t="shared" si="22"/>
        <v>0</v>
      </c>
      <c r="L145" s="326" t="e">
        <f t="shared" si="23"/>
        <v>#DIV/0!</v>
      </c>
      <c r="M145" s="326" t="str">
        <f>IF(H145="Yes",IF(D145='Drop Down'!$W$4,0.9*L145,IF(D145='Drop Down'!$W$5,0.9*L145,IF(D145='Drop Down'!$W$10,0.9*L145,IF(D145='Drop Down'!$W$16,0.9*L145,"No credit allowed.")))),"N/A")</f>
        <v>N/A</v>
      </c>
      <c r="N145" s="327" t="e">
        <f>IF($D$20="Space-By-Space (90.1-2013)",INDEX(LPD2013SS,MATCH('Interior Lighting'!D145,LightingSpaceType,0)*W145),INDEX(LPD2013WB,MATCH('Interior Lighting'!D145,LightingSpaceType,0)))</f>
        <v>#N/A</v>
      </c>
      <c r="O145" s="327">
        <f t="shared" si="24"/>
        <v>0</v>
      </c>
      <c r="P145" s="407" t="e">
        <f t="shared" si="14"/>
        <v>#N/A</v>
      </c>
      <c r="Q145" s="407" t="e">
        <f t="shared" si="25"/>
        <v>#N/A</v>
      </c>
      <c r="R145" s="407" t="e">
        <f t="shared" si="15"/>
        <v>#N/A</v>
      </c>
      <c r="S145" s="324">
        <f t="shared" si="16"/>
        <v>0</v>
      </c>
      <c r="T145" s="924" t="str">
        <f t="shared" si="17"/>
        <v/>
      </c>
      <c r="U145" s="1221" t="str">
        <f t="shared" si="26"/>
        <v/>
      </c>
      <c r="W145" s="1098">
        <f t="shared" si="18"/>
        <v>1</v>
      </c>
      <c r="X145" s="1098" t="e">
        <f>INDEX(OSReq,MATCH('Interior Lighting'!D145,LightingSpaceType,0))</f>
        <v>#N/A</v>
      </c>
      <c r="Y145" s="1098" t="e">
        <f t="shared" si="19"/>
        <v>#N/A</v>
      </c>
      <c r="Z145" s="1098" t="e">
        <f t="shared" si="20"/>
        <v>#N/A</v>
      </c>
      <c r="AA145" s="1098" t="e">
        <f>INDEX(Lookup!$O$9:$O$24,MATCH('Interior Lighting'!Z145,Lookup!$K$9:$K$24,0))</f>
        <v>#N/A</v>
      </c>
      <c r="AB145" s="1098" t="e">
        <f>IF(E145="A",INDEX(Lookup!$L$9:$L$24,MATCH(Z145,Lookup!$K$9:$K$24,0)),IF(E145="B",INDEX(Lookup!$M$9:$M$24,MATCH(Z145,Lookup!$K$9:$K$24,0)),IF(E145="C",INDEX(Lookup!$N$9:$N$24,MATCH(Z145,Lookup!$K$9:$K$24,0)),"N/A")))</f>
        <v>#N/A</v>
      </c>
    </row>
    <row r="146" spans="1:28">
      <c r="A146" s="1006"/>
      <c r="B146" s="69"/>
      <c r="C146" s="323"/>
      <c r="D146" s="323"/>
      <c r="E146" s="324" t="e">
        <f>INDEX(Lookup!$I$9:$I$24,MATCH('Interior Lighting'!D146,Lookup!$C$9:$C$24,0))</f>
        <v>#N/A</v>
      </c>
      <c r="F146" s="69"/>
      <c r="G146" s="69"/>
      <c r="H146" s="69"/>
      <c r="I146" s="324" t="e">
        <f t="shared" si="21"/>
        <v>#N/A</v>
      </c>
      <c r="J146" s="170"/>
      <c r="K146" s="325">
        <f t="shared" si="22"/>
        <v>0</v>
      </c>
      <c r="L146" s="326" t="e">
        <f t="shared" si="23"/>
        <v>#DIV/0!</v>
      </c>
      <c r="M146" s="326" t="str">
        <f>IF(H146="Yes",IF(D146='Drop Down'!$W$4,0.9*L146,IF(D146='Drop Down'!$W$5,0.9*L146,IF(D146='Drop Down'!$W$10,0.9*L146,IF(D146='Drop Down'!$W$16,0.9*L146,"No credit allowed.")))),"N/A")</f>
        <v>N/A</v>
      </c>
      <c r="N146" s="327" t="e">
        <f>IF($D$20="Space-By-Space (90.1-2013)",INDEX(LPD2013SS,MATCH('Interior Lighting'!D146,LightingSpaceType,0)*W146),INDEX(LPD2013WB,MATCH('Interior Lighting'!D146,LightingSpaceType,0)))</f>
        <v>#N/A</v>
      </c>
      <c r="O146" s="327">
        <f t="shared" si="24"/>
        <v>0</v>
      </c>
      <c r="P146" s="407" t="e">
        <f t="shared" si="14"/>
        <v>#N/A</v>
      </c>
      <c r="Q146" s="407" t="e">
        <f t="shared" si="25"/>
        <v>#N/A</v>
      </c>
      <c r="R146" s="407" t="e">
        <f t="shared" si="15"/>
        <v>#N/A</v>
      </c>
      <c r="S146" s="324">
        <f t="shared" si="16"/>
        <v>0</v>
      </c>
      <c r="T146" s="924" t="str">
        <f t="shared" si="17"/>
        <v/>
      </c>
      <c r="U146" s="1221" t="str">
        <f t="shared" si="26"/>
        <v/>
      </c>
      <c r="W146" s="1098">
        <f t="shared" si="18"/>
        <v>1</v>
      </c>
      <c r="X146" s="1098" t="e">
        <f>INDEX(OSReq,MATCH('Interior Lighting'!D146,LightingSpaceType,0))</f>
        <v>#N/A</v>
      </c>
      <c r="Y146" s="1098" t="e">
        <f t="shared" si="19"/>
        <v>#N/A</v>
      </c>
      <c r="Z146" s="1098" t="e">
        <f t="shared" si="20"/>
        <v>#N/A</v>
      </c>
      <c r="AA146" s="1098" t="e">
        <f>INDEX(Lookup!$O$9:$O$24,MATCH('Interior Lighting'!Z146,Lookup!$K$9:$K$24,0))</f>
        <v>#N/A</v>
      </c>
      <c r="AB146" s="1098" t="e">
        <f>IF(E146="A",INDEX(Lookup!$L$9:$L$24,MATCH(Z146,Lookup!$K$9:$K$24,0)),IF(E146="B",INDEX(Lookup!$M$9:$M$24,MATCH(Z146,Lookup!$K$9:$K$24,0)),IF(E146="C",INDEX(Lookup!$N$9:$N$24,MATCH(Z146,Lookup!$K$9:$K$24,0)),"N/A")))</f>
        <v>#N/A</v>
      </c>
    </row>
    <row r="147" spans="1:28">
      <c r="A147" s="1006"/>
      <c r="B147" s="69"/>
      <c r="C147" s="323"/>
      <c r="D147" s="323"/>
      <c r="E147" s="324" t="e">
        <f>INDEX(Lookup!$I$9:$I$24,MATCH('Interior Lighting'!D147,Lookup!$C$9:$C$24,0))</f>
        <v>#N/A</v>
      </c>
      <c r="F147" s="69"/>
      <c r="G147" s="69"/>
      <c r="H147" s="69"/>
      <c r="I147" s="324" t="e">
        <f t="shared" si="21"/>
        <v>#N/A</v>
      </c>
      <c r="J147" s="170"/>
      <c r="K147" s="325">
        <f t="shared" si="22"/>
        <v>0</v>
      </c>
      <c r="L147" s="326" t="e">
        <f t="shared" si="23"/>
        <v>#DIV/0!</v>
      </c>
      <c r="M147" s="326" t="str">
        <f>IF(H147="Yes",IF(D147='Drop Down'!$W$4,0.9*L147,IF(D147='Drop Down'!$W$5,0.9*L147,IF(D147='Drop Down'!$W$10,0.9*L147,IF(D147='Drop Down'!$W$16,0.9*L147,"No credit allowed.")))),"N/A")</f>
        <v>N/A</v>
      </c>
      <c r="N147" s="327" t="e">
        <f>IF($D$20="Space-By-Space (90.1-2013)",INDEX(LPD2013SS,MATCH('Interior Lighting'!D147,LightingSpaceType,0)*W147),INDEX(LPD2013WB,MATCH('Interior Lighting'!D147,LightingSpaceType,0)))</f>
        <v>#N/A</v>
      </c>
      <c r="O147" s="327">
        <f t="shared" si="24"/>
        <v>0</v>
      </c>
      <c r="P147" s="407" t="e">
        <f t="shared" si="14"/>
        <v>#N/A</v>
      </c>
      <c r="Q147" s="407" t="e">
        <f t="shared" si="25"/>
        <v>#N/A</v>
      </c>
      <c r="R147" s="407" t="e">
        <f t="shared" si="15"/>
        <v>#N/A</v>
      </c>
      <c r="S147" s="324">
        <f t="shared" si="16"/>
        <v>0</v>
      </c>
      <c r="T147" s="924" t="str">
        <f t="shared" si="17"/>
        <v/>
      </c>
      <c r="U147" s="1221" t="str">
        <f t="shared" si="26"/>
        <v/>
      </c>
      <c r="W147" s="1098">
        <f t="shared" si="18"/>
        <v>1</v>
      </c>
      <c r="X147" s="1098" t="e">
        <f>INDEX(OSReq,MATCH('Interior Lighting'!D147,LightingSpaceType,0))</f>
        <v>#N/A</v>
      </c>
      <c r="Y147" s="1098" t="e">
        <f t="shared" si="19"/>
        <v>#N/A</v>
      </c>
      <c r="Z147" s="1098" t="e">
        <f t="shared" si="20"/>
        <v>#N/A</v>
      </c>
      <c r="AA147" s="1098" t="e">
        <f>INDEX(Lookup!$O$9:$O$24,MATCH('Interior Lighting'!Z147,Lookup!$K$9:$K$24,0))</f>
        <v>#N/A</v>
      </c>
      <c r="AB147" s="1098" t="e">
        <f>IF(E147="A",INDEX(Lookup!$L$9:$L$24,MATCH(Z147,Lookup!$K$9:$K$24,0)),IF(E147="B",INDEX(Lookup!$M$9:$M$24,MATCH(Z147,Lookup!$K$9:$K$24,0)),IF(E147="C",INDEX(Lookup!$N$9:$N$24,MATCH(Z147,Lookup!$K$9:$K$24,0)),"N/A")))</f>
        <v>#N/A</v>
      </c>
    </row>
    <row r="148" spans="1:28">
      <c r="A148" s="1006"/>
      <c r="B148" s="69"/>
      <c r="C148" s="323"/>
      <c r="D148" s="323"/>
      <c r="E148" s="324" t="e">
        <f>INDEX(Lookup!$I$9:$I$24,MATCH('Interior Lighting'!D148,Lookup!$C$9:$C$24,0))</f>
        <v>#N/A</v>
      </c>
      <c r="F148" s="69"/>
      <c r="G148" s="69"/>
      <c r="H148" s="69"/>
      <c r="I148" s="324" t="e">
        <f t="shared" si="21"/>
        <v>#N/A</v>
      </c>
      <c r="J148" s="170"/>
      <c r="K148" s="325">
        <f t="shared" si="22"/>
        <v>0</v>
      </c>
      <c r="L148" s="326" t="e">
        <f t="shared" si="23"/>
        <v>#DIV/0!</v>
      </c>
      <c r="M148" s="326" t="str">
        <f>IF(H148="Yes",IF(D148='Drop Down'!$W$4,0.9*L148,IF(D148='Drop Down'!$W$5,0.9*L148,IF(D148='Drop Down'!$W$10,0.9*L148,IF(D148='Drop Down'!$W$16,0.9*L148,"No credit allowed.")))),"N/A")</f>
        <v>N/A</v>
      </c>
      <c r="N148" s="327" t="e">
        <f>IF($D$20="Space-By-Space (90.1-2013)",INDEX(LPD2013SS,MATCH('Interior Lighting'!D148,LightingSpaceType,0)*W148),INDEX(LPD2013WB,MATCH('Interior Lighting'!D148,LightingSpaceType,0)))</f>
        <v>#N/A</v>
      </c>
      <c r="O148" s="327">
        <f t="shared" si="24"/>
        <v>0</v>
      </c>
      <c r="P148" s="407" t="e">
        <f t="shared" si="14"/>
        <v>#N/A</v>
      </c>
      <c r="Q148" s="407" t="e">
        <f t="shared" si="25"/>
        <v>#N/A</v>
      </c>
      <c r="R148" s="407" t="e">
        <f t="shared" si="15"/>
        <v>#N/A</v>
      </c>
      <c r="S148" s="324">
        <f t="shared" si="16"/>
        <v>0</v>
      </c>
      <c r="T148" s="924" t="str">
        <f t="shared" si="17"/>
        <v/>
      </c>
      <c r="U148" s="1221" t="str">
        <f t="shared" si="26"/>
        <v/>
      </c>
      <c r="W148" s="1098">
        <f t="shared" si="18"/>
        <v>1</v>
      </c>
      <c r="X148" s="1098" t="e">
        <f>INDEX(OSReq,MATCH('Interior Lighting'!D148,LightingSpaceType,0))</f>
        <v>#N/A</v>
      </c>
      <c r="Y148" s="1098" t="e">
        <f t="shared" si="19"/>
        <v>#N/A</v>
      </c>
      <c r="Z148" s="1098" t="e">
        <f t="shared" si="20"/>
        <v>#N/A</v>
      </c>
      <c r="AA148" s="1098" t="e">
        <f>INDEX(Lookup!$O$9:$O$24,MATCH('Interior Lighting'!Z148,Lookup!$K$9:$K$24,0))</f>
        <v>#N/A</v>
      </c>
      <c r="AB148" s="1098" t="e">
        <f>IF(E148="A",INDEX(Lookup!$L$9:$L$24,MATCH(Z148,Lookup!$K$9:$K$24,0)),IF(E148="B",INDEX(Lookup!$M$9:$M$24,MATCH(Z148,Lookup!$K$9:$K$24,0)),IF(E148="C",INDEX(Lookup!$N$9:$N$24,MATCH(Z148,Lookup!$K$9:$K$24,0)),"N/A")))</f>
        <v>#N/A</v>
      </c>
    </row>
    <row r="149" spans="1:28">
      <c r="A149" s="1006"/>
      <c r="B149" s="69"/>
      <c r="C149" s="330"/>
      <c r="D149" s="323"/>
      <c r="E149" s="324" t="e">
        <f>INDEX(Lookup!$I$9:$I$24,MATCH('Interior Lighting'!D149,Lookup!$C$9:$C$24,0))</f>
        <v>#N/A</v>
      </c>
      <c r="F149" s="69"/>
      <c r="G149" s="69"/>
      <c r="H149" s="69"/>
      <c r="I149" s="324" t="e">
        <f t="shared" si="21"/>
        <v>#N/A</v>
      </c>
      <c r="J149" s="170"/>
      <c r="K149" s="325">
        <f t="shared" si="22"/>
        <v>0</v>
      </c>
      <c r="L149" s="326" t="e">
        <f t="shared" si="23"/>
        <v>#DIV/0!</v>
      </c>
      <c r="M149" s="326" t="str">
        <f>IF(H149="Yes",IF(D149='Drop Down'!$W$4,0.9*L149,IF(D149='Drop Down'!$W$5,0.9*L149,IF(D149='Drop Down'!$W$10,0.9*L149,IF(D149='Drop Down'!$W$16,0.9*L149,"No credit allowed.")))),"N/A")</f>
        <v>N/A</v>
      </c>
      <c r="N149" s="327" t="e">
        <f>IF($D$20="Space-By-Space (90.1-2013)",INDEX(LPD2013SS,MATCH('Interior Lighting'!D149,LightingSpaceType,0)*W149),INDEX(LPD2013WB,MATCH('Interior Lighting'!D149,LightingSpaceType,0)))</f>
        <v>#N/A</v>
      </c>
      <c r="O149" s="327">
        <f t="shared" si="24"/>
        <v>0</v>
      </c>
      <c r="P149" s="407" t="e">
        <f t="shared" si="14"/>
        <v>#N/A</v>
      </c>
      <c r="Q149" s="407" t="e">
        <f t="shared" si="25"/>
        <v>#N/A</v>
      </c>
      <c r="R149" s="407" t="e">
        <f t="shared" si="15"/>
        <v>#N/A</v>
      </c>
      <c r="S149" s="324">
        <f t="shared" si="16"/>
        <v>0</v>
      </c>
      <c r="T149" s="924" t="str">
        <f t="shared" si="17"/>
        <v/>
      </c>
      <c r="U149" s="1221" t="str">
        <f t="shared" si="26"/>
        <v/>
      </c>
      <c r="W149" s="1098">
        <f t="shared" si="18"/>
        <v>1</v>
      </c>
      <c r="X149" s="1098" t="e">
        <f>INDEX(OSReq,MATCH('Interior Lighting'!D149,LightingSpaceType,0))</f>
        <v>#N/A</v>
      </c>
      <c r="Y149" s="1098" t="e">
        <f t="shared" si="19"/>
        <v>#N/A</v>
      </c>
      <c r="Z149" s="1098" t="e">
        <f t="shared" si="20"/>
        <v>#N/A</v>
      </c>
      <c r="AA149" s="1098" t="e">
        <f>INDEX(Lookup!$O$9:$O$24,MATCH('Interior Lighting'!Z149,Lookup!$K$9:$K$24,0))</f>
        <v>#N/A</v>
      </c>
      <c r="AB149" s="1098" t="e">
        <f>IF(E149="A",INDEX(Lookup!$L$9:$L$24,MATCH(Z149,Lookup!$K$9:$K$24,0)),IF(E149="B",INDEX(Lookup!$M$9:$M$24,MATCH(Z149,Lookup!$K$9:$K$24,0)),IF(E149="C",INDEX(Lookup!$N$9:$N$24,MATCH(Z149,Lookup!$K$9:$K$24,0)),"N/A")))</f>
        <v>#N/A</v>
      </c>
    </row>
    <row r="150" spans="1:28">
      <c r="A150" s="1006"/>
      <c r="B150" s="69"/>
      <c r="C150" s="323"/>
      <c r="D150" s="323"/>
      <c r="E150" s="324" t="e">
        <f>INDEX(Lookup!$I$9:$I$24,MATCH('Interior Lighting'!D150,Lookup!$C$9:$C$24,0))</f>
        <v>#N/A</v>
      </c>
      <c r="F150" s="69"/>
      <c r="G150" s="69"/>
      <c r="H150" s="69"/>
      <c r="I150" s="324" t="e">
        <f t="shared" si="21"/>
        <v>#N/A</v>
      </c>
      <c r="J150" s="170"/>
      <c r="K150" s="325">
        <f t="shared" si="22"/>
        <v>0</v>
      </c>
      <c r="L150" s="326" t="e">
        <f t="shared" si="23"/>
        <v>#DIV/0!</v>
      </c>
      <c r="M150" s="326" t="str">
        <f>IF(H150="Yes",IF(D150='Drop Down'!$W$4,0.9*L150,IF(D150='Drop Down'!$W$5,0.9*L150,IF(D150='Drop Down'!$W$10,0.9*L150,IF(D150='Drop Down'!$W$16,0.9*L150,"No credit allowed.")))),"N/A")</f>
        <v>N/A</v>
      </c>
      <c r="N150" s="327" t="e">
        <f>IF($D$20="Space-By-Space (90.1-2013)",INDEX(LPD2013SS,MATCH('Interior Lighting'!D150,LightingSpaceType,0)*W150),INDEX(LPD2013WB,MATCH('Interior Lighting'!D150,LightingSpaceType,0)))</f>
        <v>#N/A</v>
      </c>
      <c r="O150" s="327">
        <f t="shared" si="24"/>
        <v>0</v>
      </c>
      <c r="P150" s="407" t="e">
        <f t="shared" si="14"/>
        <v>#N/A</v>
      </c>
      <c r="Q150" s="407" t="e">
        <f t="shared" si="25"/>
        <v>#N/A</v>
      </c>
      <c r="R150" s="407" t="e">
        <f t="shared" si="15"/>
        <v>#N/A</v>
      </c>
      <c r="S150" s="324">
        <f t="shared" si="16"/>
        <v>0</v>
      </c>
      <c r="T150" s="924" t="str">
        <f t="shared" si="17"/>
        <v/>
      </c>
      <c r="U150" s="1221" t="str">
        <f t="shared" si="26"/>
        <v/>
      </c>
      <c r="W150" s="1098">
        <f t="shared" si="18"/>
        <v>1</v>
      </c>
      <c r="X150" s="1098" t="e">
        <f>INDEX(OSReq,MATCH('Interior Lighting'!D150,LightingSpaceType,0))</f>
        <v>#N/A</v>
      </c>
      <c r="Y150" s="1098" t="e">
        <f t="shared" si="19"/>
        <v>#N/A</v>
      </c>
      <c r="Z150" s="1098" t="e">
        <f t="shared" si="20"/>
        <v>#N/A</v>
      </c>
      <c r="AA150" s="1098" t="e">
        <f>INDEX(Lookup!$O$9:$O$24,MATCH('Interior Lighting'!Z150,Lookup!$K$9:$K$24,0))</f>
        <v>#N/A</v>
      </c>
      <c r="AB150" s="1098" t="e">
        <f>IF(E150="A",INDEX(Lookup!$L$9:$L$24,MATCH(Z150,Lookup!$K$9:$K$24,0)),IF(E150="B",INDEX(Lookup!$M$9:$M$24,MATCH(Z150,Lookup!$K$9:$K$24,0)),IF(E150="C",INDEX(Lookup!$N$9:$N$24,MATCH(Z150,Lookup!$K$9:$K$24,0)),"N/A")))</f>
        <v>#N/A</v>
      </c>
    </row>
    <row r="151" spans="1:28">
      <c r="A151" s="1006"/>
      <c r="B151" s="69"/>
      <c r="C151" s="323"/>
      <c r="D151" s="323"/>
      <c r="E151" s="324" t="e">
        <f>INDEX(Lookup!$I$9:$I$24,MATCH('Interior Lighting'!D151,Lookup!$C$9:$C$24,0))</f>
        <v>#N/A</v>
      </c>
      <c r="F151" s="69"/>
      <c r="G151" s="69"/>
      <c r="H151" s="69"/>
      <c r="I151" s="324" t="e">
        <f t="shared" si="21"/>
        <v>#N/A</v>
      </c>
      <c r="J151" s="170"/>
      <c r="K151" s="325">
        <f t="shared" si="22"/>
        <v>0</v>
      </c>
      <c r="L151" s="326" t="e">
        <f t="shared" si="23"/>
        <v>#DIV/0!</v>
      </c>
      <c r="M151" s="326" t="str">
        <f>IF(H151="Yes",IF(D151='Drop Down'!$W$4,0.9*L151,IF(D151='Drop Down'!$W$5,0.9*L151,IF(D151='Drop Down'!$W$10,0.9*L151,IF(D151='Drop Down'!$W$16,0.9*L151,"No credit allowed.")))),"N/A")</f>
        <v>N/A</v>
      </c>
      <c r="N151" s="327" t="e">
        <f>IF($D$20="Space-By-Space (90.1-2013)",INDEX(LPD2013SS,MATCH('Interior Lighting'!D151,LightingSpaceType,0)*W151),INDEX(LPD2013WB,MATCH('Interior Lighting'!D151,LightingSpaceType,0)))</f>
        <v>#N/A</v>
      </c>
      <c r="O151" s="327">
        <f t="shared" si="24"/>
        <v>0</v>
      </c>
      <c r="P151" s="407" t="e">
        <f t="shared" si="14"/>
        <v>#N/A</v>
      </c>
      <c r="Q151" s="407" t="e">
        <f t="shared" si="25"/>
        <v>#N/A</v>
      </c>
      <c r="R151" s="407" t="e">
        <f t="shared" si="15"/>
        <v>#N/A</v>
      </c>
      <c r="S151" s="324">
        <f t="shared" si="16"/>
        <v>0</v>
      </c>
      <c r="T151" s="924" t="str">
        <f t="shared" si="17"/>
        <v/>
      </c>
      <c r="U151" s="1221" t="str">
        <f t="shared" si="26"/>
        <v/>
      </c>
      <c r="W151" s="1098">
        <f t="shared" si="18"/>
        <v>1</v>
      </c>
      <c r="X151" s="1098" t="e">
        <f>INDEX(OSReq,MATCH('Interior Lighting'!D151,LightingSpaceType,0))</f>
        <v>#N/A</v>
      </c>
      <c r="Y151" s="1098" t="e">
        <f t="shared" si="19"/>
        <v>#N/A</v>
      </c>
      <c r="Z151" s="1098" t="e">
        <f t="shared" si="20"/>
        <v>#N/A</v>
      </c>
      <c r="AA151" s="1098" t="e">
        <f>INDEX(Lookup!$O$9:$O$24,MATCH('Interior Lighting'!Z151,Lookup!$K$9:$K$24,0))</f>
        <v>#N/A</v>
      </c>
      <c r="AB151" s="1098" t="e">
        <f>IF(E151="A",INDEX(Lookup!$L$9:$L$24,MATCH(Z151,Lookup!$K$9:$K$24,0)),IF(E151="B",INDEX(Lookup!$M$9:$M$24,MATCH(Z151,Lookup!$K$9:$K$24,0)),IF(E151="C",INDEX(Lookup!$N$9:$N$24,MATCH(Z151,Lookup!$K$9:$K$24,0)),"N/A")))</f>
        <v>#N/A</v>
      </c>
    </row>
    <row r="152" spans="1:28">
      <c r="A152" s="1006"/>
      <c r="B152" s="69"/>
      <c r="C152" s="323"/>
      <c r="D152" s="323"/>
      <c r="E152" s="324" t="e">
        <f>INDEX(Lookup!$I$9:$I$24,MATCH('Interior Lighting'!D152,Lookup!$C$9:$C$24,0))</f>
        <v>#N/A</v>
      </c>
      <c r="F152" s="69"/>
      <c r="G152" s="69"/>
      <c r="H152" s="69"/>
      <c r="I152" s="324" t="e">
        <f t="shared" si="21"/>
        <v>#N/A</v>
      </c>
      <c r="J152" s="170"/>
      <c r="K152" s="325">
        <f t="shared" si="22"/>
        <v>0</v>
      </c>
      <c r="L152" s="326" t="e">
        <f t="shared" si="23"/>
        <v>#DIV/0!</v>
      </c>
      <c r="M152" s="326" t="str">
        <f>IF(H152="Yes",IF(D152='Drop Down'!$W$4,0.9*L152,IF(D152='Drop Down'!$W$5,0.9*L152,IF(D152='Drop Down'!$W$10,0.9*L152,IF(D152='Drop Down'!$W$16,0.9*L152,"No credit allowed.")))),"N/A")</f>
        <v>N/A</v>
      </c>
      <c r="N152" s="327" t="e">
        <f>IF($D$20="Space-By-Space (90.1-2013)",INDEX(LPD2013SS,MATCH('Interior Lighting'!D152,LightingSpaceType,0)*W152),INDEX(LPD2013WB,MATCH('Interior Lighting'!D152,LightingSpaceType,0)))</f>
        <v>#N/A</v>
      </c>
      <c r="O152" s="327">
        <f t="shared" si="24"/>
        <v>0</v>
      </c>
      <c r="P152" s="407" t="e">
        <f t="shared" si="14"/>
        <v>#N/A</v>
      </c>
      <c r="Q152" s="407" t="e">
        <f t="shared" si="25"/>
        <v>#N/A</v>
      </c>
      <c r="R152" s="407" t="e">
        <f t="shared" si="15"/>
        <v>#N/A</v>
      </c>
      <c r="S152" s="324">
        <f t="shared" si="16"/>
        <v>0</v>
      </c>
      <c r="T152" s="924" t="str">
        <f t="shared" si="17"/>
        <v/>
      </c>
      <c r="U152" s="1221" t="str">
        <f t="shared" si="26"/>
        <v/>
      </c>
      <c r="W152" s="1098">
        <f t="shared" si="18"/>
        <v>1</v>
      </c>
      <c r="X152" s="1098" t="e">
        <f>INDEX(OSReq,MATCH('Interior Lighting'!D152,LightingSpaceType,0))</f>
        <v>#N/A</v>
      </c>
      <c r="Y152" s="1098" t="e">
        <f t="shared" si="19"/>
        <v>#N/A</v>
      </c>
      <c r="Z152" s="1098" t="e">
        <f t="shared" si="20"/>
        <v>#N/A</v>
      </c>
      <c r="AA152" s="1098" t="e">
        <f>INDEX(Lookup!$O$9:$O$24,MATCH('Interior Lighting'!Z152,Lookup!$K$9:$K$24,0))</f>
        <v>#N/A</v>
      </c>
      <c r="AB152" s="1098" t="e">
        <f>IF(E152="A",INDEX(Lookup!$L$9:$L$24,MATCH(Z152,Lookup!$K$9:$K$24,0)),IF(E152="B",INDEX(Lookup!$M$9:$M$24,MATCH(Z152,Lookup!$K$9:$K$24,0)),IF(E152="C",INDEX(Lookup!$N$9:$N$24,MATCH(Z152,Lookup!$K$9:$K$24,0)),"N/A")))</f>
        <v>#N/A</v>
      </c>
    </row>
    <row r="153" spans="1:28">
      <c r="A153" s="1006"/>
      <c r="B153" s="69"/>
      <c r="C153" s="323"/>
      <c r="D153" s="323"/>
      <c r="E153" s="324" t="e">
        <f>INDEX(Lookup!$I$9:$I$24,MATCH('Interior Lighting'!D153,Lookup!$C$9:$C$24,0))</f>
        <v>#N/A</v>
      </c>
      <c r="F153" s="69"/>
      <c r="G153" s="69"/>
      <c r="H153" s="69"/>
      <c r="I153" s="324" t="e">
        <f t="shared" si="21"/>
        <v>#N/A</v>
      </c>
      <c r="J153" s="170"/>
      <c r="K153" s="325">
        <f t="shared" si="22"/>
        <v>0</v>
      </c>
      <c r="L153" s="326" t="e">
        <f t="shared" si="23"/>
        <v>#DIV/0!</v>
      </c>
      <c r="M153" s="326" t="str">
        <f>IF(H153="Yes",IF(D153='Drop Down'!$W$4,0.9*L153,IF(D153='Drop Down'!$W$5,0.9*L153,IF(D153='Drop Down'!$W$10,0.9*L153,IF(D153='Drop Down'!$W$16,0.9*L153,"No credit allowed.")))),"N/A")</f>
        <v>N/A</v>
      </c>
      <c r="N153" s="327" t="e">
        <f>IF($D$20="Space-By-Space (90.1-2013)",INDEX(LPD2013SS,MATCH('Interior Lighting'!D153,LightingSpaceType,0)*W153),INDEX(LPD2013WB,MATCH('Interior Lighting'!D153,LightingSpaceType,0)))</f>
        <v>#N/A</v>
      </c>
      <c r="O153" s="327">
        <f t="shared" si="24"/>
        <v>0</v>
      </c>
      <c r="P153" s="407" t="e">
        <f t="shared" si="14"/>
        <v>#N/A</v>
      </c>
      <c r="Q153" s="407" t="e">
        <f t="shared" si="25"/>
        <v>#N/A</v>
      </c>
      <c r="R153" s="407" t="e">
        <f t="shared" si="15"/>
        <v>#N/A</v>
      </c>
      <c r="S153" s="324">
        <f t="shared" si="16"/>
        <v>0</v>
      </c>
      <c r="T153" s="924" t="str">
        <f t="shared" si="17"/>
        <v/>
      </c>
      <c r="U153" s="1221" t="str">
        <f t="shared" si="26"/>
        <v/>
      </c>
      <c r="W153" s="1098">
        <f t="shared" si="18"/>
        <v>1</v>
      </c>
      <c r="X153" s="1098" t="e">
        <f>INDEX(OSReq,MATCH('Interior Lighting'!D153,LightingSpaceType,0))</f>
        <v>#N/A</v>
      </c>
      <c r="Y153" s="1098" t="e">
        <f t="shared" si="19"/>
        <v>#N/A</v>
      </c>
      <c r="Z153" s="1098" t="e">
        <f t="shared" si="20"/>
        <v>#N/A</v>
      </c>
      <c r="AA153" s="1098" t="e">
        <f>INDEX(Lookup!$O$9:$O$24,MATCH('Interior Lighting'!Z153,Lookup!$K$9:$K$24,0))</f>
        <v>#N/A</v>
      </c>
      <c r="AB153" s="1098" t="e">
        <f>IF(E153="A",INDEX(Lookup!$L$9:$L$24,MATCH(Z153,Lookup!$K$9:$K$24,0)),IF(E153="B",INDEX(Lookup!$M$9:$M$24,MATCH(Z153,Lookup!$K$9:$K$24,0)),IF(E153="C",INDEX(Lookup!$N$9:$N$24,MATCH(Z153,Lookup!$K$9:$K$24,0)),"N/A")))</f>
        <v>#N/A</v>
      </c>
    </row>
    <row r="154" spans="1:28">
      <c r="A154" s="1006"/>
      <c r="B154" s="69"/>
      <c r="C154" s="323"/>
      <c r="D154" s="323"/>
      <c r="E154" s="324" t="e">
        <f>INDEX(Lookup!$I$9:$I$24,MATCH('Interior Lighting'!D154,Lookup!$C$9:$C$24,0))</f>
        <v>#N/A</v>
      </c>
      <c r="F154" s="69"/>
      <c r="G154" s="69"/>
      <c r="H154" s="69"/>
      <c r="I154" s="324" t="e">
        <f t="shared" si="21"/>
        <v>#N/A</v>
      </c>
      <c r="J154" s="170"/>
      <c r="K154" s="325">
        <f t="shared" si="22"/>
        <v>0</v>
      </c>
      <c r="L154" s="326" t="e">
        <f t="shared" si="23"/>
        <v>#DIV/0!</v>
      </c>
      <c r="M154" s="326" t="str">
        <f>IF(H154="Yes",IF(D154='Drop Down'!$W$4,0.9*L154,IF(D154='Drop Down'!$W$5,0.9*L154,IF(D154='Drop Down'!$W$10,0.9*L154,IF(D154='Drop Down'!$W$16,0.9*L154,"No credit allowed.")))),"N/A")</f>
        <v>N/A</v>
      </c>
      <c r="N154" s="327" t="e">
        <f>IF($D$20="Space-By-Space (90.1-2013)",INDEX(LPD2013SS,MATCH('Interior Lighting'!D154,LightingSpaceType,0)*W154),INDEX(LPD2013WB,MATCH('Interior Lighting'!D154,LightingSpaceType,0)))</f>
        <v>#N/A</v>
      </c>
      <c r="O154" s="327">
        <f t="shared" si="24"/>
        <v>0</v>
      </c>
      <c r="P154" s="407" t="e">
        <f t="shared" si="14"/>
        <v>#N/A</v>
      </c>
      <c r="Q154" s="407" t="e">
        <f t="shared" si="25"/>
        <v>#N/A</v>
      </c>
      <c r="R154" s="407" t="e">
        <f t="shared" si="15"/>
        <v>#N/A</v>
      </c>
      <c r="S154" s="324">
        <f t="shared" si="16"/>
        <v>0</v>
      </c>
      <c r="T154" s="924" t="str">
        <f t="shared" si="17"/>
        <v/>
      </c>
      <c r="U154" s="1221" t="str">
        <f t="shared" si="26"/>
        <v/>
      </c>
      <c r="W154" s="1098">
        <f t="shared" si="18"/>
        <v>1</v>
      </c>
      <c r="X154" s="1098" t="e">
        <f>INDEX(OSReq,MATCH('Interior Lighting'!D154,LightingSpaceType,0))</f>
        <v>#N/A</v>
      </c>
      <c r="Y154" s="1098" t="e">
        <f t="shared" si="19"/>
        <v>#N/A</v>
      </c>
      <c r="Z154" s="1098" t="e">
        <f t="shared" si="20"/>
        <v>#N/A</v>
      </c>
      <c r="AA154" s="1098" t="e">
        <f>INDEX(Lookup!$O$9:$O$24,MATCH('Interior Lighting'!Z154,Lookup!$K$9:$K$24,0))</f>
        <v>#N/A</v>
      </c>
      <c r="AB154" s="1098" t="e">
        <f>IF(E154="A",INDEX(Lookup!$L$9:$L$24,MATCH(Z154,Lookup!$K$9:$K$24,0)),IF(E154="B",INDEX(Lookup!$M$9:$M$24,MATCH(Z154,Lookup!$K$9:$K$24,0)),IF(E154="C",INDEX(Lookup!$N$9:$N$24,MATCH(Z154,Lookup!$K$9:$K$24,0)),"N/A")))</f>
        <v>#N/A</v>
      </c>
    </row>
    <row r="155" spans="1:28">
      <c r="A155" s="1006"/>
      <c r="B155" s="69"/>
      <c r="C155" s="330"/>
      <c r="D155" s="323"/>
      <c r="E155" s="324" t="e">
        <f>INDEX(Lookup!$I$9:$I$24,MATCH('Interior Lighting'!D155,Lookup!$C$9:$C$24,0))</f>
        <v>#N/A</v>
      </c>
      <c r="F155" s="69"/>
      <c r="G155" s="69"/>
      <c r="H155" s="69"/>
      <c r="I155" s="324" t="e">
        <f t="shared" si="21"/>
        <v>#N/A</v>
      </c>
      <c r="J155" s="170"/>
      <c r="K155" s="325">
        <f t="shared" si="22"/>
        <v>0</v>
      </c>
      <c r="L155" s="326" t="e">
        <f t="shared" si="23"/>
        <v>#DIV/0!</v>
      </c>
      <c r="M155" s="326" t="str">
        <f>IF(H155="Yes",IF(D155='Drop Down'!$W$4,0.9*L155,IF(D155='Drop Down'!$W$5,0.9*L155,IF(D155='Drop Down'!$W$10,0.9*L155,IF(D155='Drop Down'!$W$16,0.9*L155,"No credit allowed.")))),"N/A")</f>
        <v>N/A</v>
      </c>
      <c r="N155" s="327" t="e">
        <f>IF($D$20="Space-By-Space (90.1-2013)",INDEX(LPD2013SS,MATCH('Interior Lighting'!D155,LightingSpaceType,0)*W155),INDEX(LPD2013WB,MATCH('Interior Lighting'!D155,LightingSpaceType,0)))</f>
        <v>#N/A</v>
      </c>
      <c r="O155" s="327">
        <f t="shared" si="24"/>
        <v>0</v>
      </c>
      <c r="P155" s="407" t="e">
        <f t="shared" si="14"/>
        <v>#N/A</v>
      </c>
      <c r="Q155" s="407" t="e">
        <f t="shared" si="25"/>
        <v>#N/A</v>
      </c>
      <c r="R155" s="407" t="e">
        <f t="shared" si="15"/>
        <v>#N/A</v>
      </c>
      <c r="S155" s="324">
        <f t="shared" si="16"/>
        <v>0</v>
      </c>
      <c r="T155" s="924" t="str">
        <f t="shared" si="17"/>
        <v/>
      </c>
      <c r="U155" s="1221" t="str">
        <f t="shared" si="26"/>
        <v/>
      </c>
      <c r="W155" s="1098">
        <f t="shared" si="18"/>
        <v>1</v>
      </c>
      <c r="X155" s="1098" t="e">
        <f>INDEX(OSReq,MATCH('Interior Lighting'!D155,LightingSpaceType,0))</f>
        <v>#N/A</v>
      </c>
      <c r="Y155" s="1098" t="e">
        <f t="shared" si="19"/>
        <v>#N/A</v>
      </c>
      <c r="Z155" s="1098" t="e">
        <f t="shared" si="20"/>
        <v>#N/A</v>
      </c>
      <c r="AA155" s="1098" t="e">
        <f>INDEX(Lookup!$O$9:$O$24,MATCH('Interior Lighting'!Z155,Lookup!$K$9:$K$24,0))</f>
        <v>#N/A</v>
      </c>
      <c r="AB155" s="1098" t="e">
        <f>IF(E155="A",INDEX(Lookup!$L$9:$L$24,MATCH(Z155,Lookup!$K$9:$K$24,0)),IF(E155="B",INDEX(Lookup!$M$9:$M$24,MATCH(Z155,Lookup!$K$9:$K$24,0)),IF(E155="C",INDEX(Lookup!$N$9:$N$24,MATCH(Z155,Lookup!$K$9:$K$24,0)),"N/A")))</f>
        <v>#N/A</v>
      </c>
    </row>
    <row r="156" spans="1:28">
      <c r="A156" s="1006"/>
      <c r="B156" s="69"/>
      <c r="C156" s="323"/>
      <c r="D156" s="323"/>
      <c r="E156" s="324" t="e">
        <f>INDEX(Lookup!$I$9:$I$24,MATCH('Interior Lighting'!D156,Lookup!$C$9:$C$24,0))</f>
        <v>#N/A</v>
      </c>
      <c r="F156" s="69"/>
      <c r="G156" s="69"/>
      <c r="H156" s="69"/>
      <c r="I156" s="324" t="e">
        <f t="shared" si="21"/>
        <v>#N/A</v>
      </c>
      <c r="J156" s="170"/>
      <c r="K156" s="325">
        <f t="shared" si="22"/>
        <v>0</v>
      </c>
      <c r="L156" s="326" t="e">
        <f t="shared" si="23"/>
        <v>#DIV/0!</v>
      </c>
      <c r="M156" s="326" t="str">
        <f>IF(H156="Yes",IF(D156='Drop Down'!$W$4,0.9*L156,IF(D156='Drop Down'!$W$5,0.9*L156,IF(D156='Drop Down'!$W$10,0.9*L156,IF(D156='Drop Down'!$W$16,0.9*L156,"No credit allowed.")))),"N/A")</f>
        <v>N/A</v>
      </c>
      <c r="N156" s="327" t="e">
        <f>IF($D$20="Space-By-Space (90.1-2013)",INDEX(LPD2013SS,MATCH('Interior Lighting'!D156,LightingSpaceType,0)*W156),INDEX(LPD2013WB,MATCH('Interior Lighting'!D156,LightingSpaceType,0)))</f>
        <v>#N/A</v>
      </c>
      <c r="O156" s="327">
        <f t="shared" si="24"/>
        <v>0</v>
      </c>
      <c r="P156" s="407" t="e">
        <f t="shared" si="14"/>
        <v>#N/A</v>
      </c>
      <c r="Q156" s="407" t="e">
        <f t="shared" si="25"/>
        <v>#N/A</v>
      </c>
      <c r="R156" s="407" t="e">
        <f t="shared" si="15"/>
        <v>#N/A</v>
      </c>
      <c r="S156" s="324">
        <f t="shared" si="16"/>
        <v>0</v>
      </c>
      <c r="T156" s="924" t="str">
        <f t="shared" si="17"/>
        <v/>
      </c>
      <c r="U156" s="1221" t="str">
        <f t="shared" si="26"/>
        <v/>
      </c>
      <c r="W156" s="1098">
        <f t="shared" si="18"/>
        <v>1</v>
      </c>
      <c r="X156" s="1098" t="e">
        <f>INDEX(OSReq,MATCH('Interior Lighting'!D156,LightingSpaceType,0))</f>
        <v>#N/A</v>
      </c>
      <c r="Y156" s="1098" t="e">
        <f t="shared" si="19"/>
        <v>#N/A</v>
      </c>
      <c r="Z156" s="1098" t="e">
        <f t="shared" si="20"/>
        <v>#N/A</v>
      </c>
      <c r="AA156" s="1098" t="e">
        <f>INDEX(Lookup!$O$9:$O$24,MATCH('Interior Lighting'!Z156,Lookup!$K$9:$K$24,0))</f>
        <v>#N/A</v>
      </c>
      <c r="AB156" s="1098" t="e">
        <f>IF(E156="A",INDEX(Lookup!$L$9:$L$24,MATCH(Z156,Lookup!$K$9:$K$24,0)),IF(E156="B",INDEX(Lookup!$M$9:$M$24,MATCH(Z156,Lookup!$K$9:$K$24,0)),IF(E156="C",INDEX(Lookup!$N$9:$N$24,MATCH(Z156,Lookup!$K$9:$K$24,0)),"N/A")))</f>
        <v>#N/A</v>
      </c>
    </row>
    <row r="157" spans="1:28">
      <c r="A157" s="1006"/>
      <c r="B157" s="69"/>
      <c r="C157" s="323"/>
      <c r="D157" s="323"/>
      <c r="E157" s="324" t="e">
        <f>INDEX(Lookup!$I$9:$I$24,MATCH('Interior Lighting'!D157,Lookup!$C$9:$C$24,0))</f>
        <v>#N/A</v>
      </c>
      <c r="F157" s="69"/>
      <c r="G157" s="69"/>
      <c r="H157" s="69"/>
      <c r="I157" s="324" t="e">
        <f t="shared" si="21"/>
        <v>#N/A</v>
      </c>
      <c r="J157" s="170"/>
      <c r="K157" s="325">
        <f t="shared" si="22"/>
        <v>0</v>
      </c>
      <c r="L157" s="326" t="e">
        <f t="shared" si="23"/>
        <v>#DIV/0!</v>
      </c>
      <c r="M157" s="326" t="str">
        <f>IF(H157="Yes",IF(D157='Drop Down'!$W$4,0.9*L157,IF(D157='Drop Down'!$W$5,0.9*L157,IF(D157='Drop Down'!$W$10,0.9*L157,IF(D157='Drop Down'!$W$16,0.9*L157,"No credit allowed.")))),"N/A")</f>
        <v>N/A</v>
      </c>
      <c r="N157" s="327" t="e">
        <f>IF($D$20="Space-By-Space (90.1-2013)",INDEX(LPD2013SS,MATCH('Interior Lighting'!D157,LightingSpaceType,0)*W157),INDEX(LPD2013WB,MATCH('Interior Lighting'!D157,LightingSpaceType,0)))</f>
        <v>#N/A</v>
      </c>
      <c r="O157" s="327">
        <f t="shared" si="24"/>
        <v>0</v>
      </c>
      <c r="P157" s="407" t="e">
        <f t="shared" si="14"/>
        <v>#N/A</v>
      </c>
      <c r="Q157" s="407" t="e">
        <f t="shared" si="25"/>
        <v>#N/A</v>
      </c>
      <c r="R157" s="407" t="e">
        <f t="shared" si="15"/>
        <v>#N/A</v>
      </c>
      <c r="S157" s="324">
        <f t="shared" si="16"/>
        <v>0</v>
      </c>
      <c r="T157" s="924" t="str">
        <f t="shared" si="17"/>
        <v/>
      </c>
      <c r="U157" s="1221" t="str">
        <f t="shared" si="26"/>
        <v/>
      </c>
      <c r="W157" s="1098">
        <f t="shared" si="18"/>
        <v>1</v>
      </c>
      <c r="X157" s="1098" t="e">
        <f>INDEX(OSReq,MATCH('Interior Lighting'!D157,LightingSpaceType,0))</f>
        <v>#N/A</v>
      </c>
      <c r="Y157" s="1098" t="e">
        <f t="shared" si="19"/>
        <v>#N/A</v>
      </c>
      <c r="Z157" s="1098" t="e">
        <f t="shared" si="20"/>
        <v>#N/A</v>
      </c>
      <c r="AA157" s="1098" t="e">
        <f>INDEX(Lookup!$O$9:$O$24,MATCH('Interior Lighting'!Z157,Lookup!$K$9:$K$24,0))</f>
        <v>#N/A</v>
      </c>
      <c r="AB157" s="1098" t="e">
        <f>IF(E157="A",INDEX(Lookup!$L$9:$L$24,MATCH(Z157,Lookup!$K$9:$K$24,0)),IF(E157="B",INDEX(Lookup!$M$9:$M$24,MATCH(Z157,Lookup!$K$9:$K$24,0)),IF(E157="C",INDEX(Lookup!$N$9:$N$24,MATCH(Z157,Lookup!$K$9:$K$24,0)),"N/A")))</f>
        <v>#N/A</v>
      </c>
    </row>
    <row r="158" spans="1:28">
      <c r="A158" s="1006"/>
      <c r="B158" s="69"/>
      <c r="C158" s="323"/>
      <c r="D158" s="323"/>
      <c r="E158" s="324" t="e">
        <f>INDEX(Lookup!$I$9:$I$24,MATCH('Interior Lighting'!D158,Lookup!$C$9:$C$24,0))</f>
        <v>#N/A</v>
      </c>
      <c r="F158" s="69"/>
      <c r="G158" s="69"/>
      <c r="H158" s="69"/>
      <c r="I158" s="324" t="e">
        <f t="shared" si="21"/>
        <v>#N/A</v>
      </c>
      <c r="J158" s="170"/>
      <c r="K158" s="325">
        <f t="shared" si="22"/>
        <v>0</v>
      </c>
      <c r="L158" s="326" t="e">
        <f t="shared" si="23"/>
        <v>#DIV/0!</v>
      </c>
      <c r="M158" s="326" t="str">
        <f>IF(H158="Yes",IF(D158='Drop Down'!$W$4,0.9*L158,IF(D158='Drop Down'!$W$5,0.9*L158,IF(D158='Drop Down'!$W$10,0.9*L158,IF(D158='Drop Down'!$W$16,0.9*L158,"No credit allowed.")))),"N/A")</f>
        <v>N/A</v>
      </c>
      <c r="N158" s="327" t="e">
        <f>IF($D$20="Space-By-Space (90.1-2013)",INDEX(LPD2013SS,MATCH('Interior Lighting'!D158,LightingSpaceType,0)*W158),INDEX(LPD2013WB,MATCH('Interior Lighting'!D158,LightingSpaceType,0)))</f>
        <v>#N/A</v>
      </c>
      <c r="O158" s="327">
        <f t="shared" si="24"/>
        <v>0</v>
      </c>
      <c r="P158" s="407" t="e">
        <f t="shared" ref="P158:P221" si="27">Y158*AA158*AB158</f>
        <v>#N/A</v>
      </c>
      <c r="Q158" s="407" t="e">
        <f t="shared" si="25"/>
        <v>#N/A</v>
      </c>
      <c r="R158" s="407" t="e">
        <f t="shared" ref="R158:R221" si="28">INDEX(Footcandles,MATCH(D158,LightingSpaceType,0))</f>
        <v>#N/A</v>
      </c>
      <c r="S158" s="324">
        <f t="shared" ref="S158:S221" si="29">J158*B158</f>
        <v>0</v>
      </c>
      <c r="T158" s="924" t="str">
        <f t="shared" ref="T158:T221" si="30">IF(F158&gt;0, IF(Q158&lt;R158, "Insufficient lighting to meet IESNA footcandle recommendations.", ""), "")</f>
        <v/>
      </c>
      <c r="U158" s="1221" t="str">
        <f t="shared" si="26"/>
        <v/>
      </c>
      <c r="W158" s="1098">
        <f t="shared" ref="W158:W221" si="31">IF(A158="Yes",1.2,1)</f>
        <v>1</v>
      </c>
      <c r="X158" s="1098" t="e">
        <f>INDEX(OSReq,MATCH('Interior Lighting'!D158,LightingSpaceType,0))</f>
        <v>#N/A</v>
      </c>
      <c r="Y158" s="1098" t="e">
        <f t="shared" ref="Y158:Y221" si="32">INDEX($M$4:$M$27,MATCH(G158,$J$4:$J$27,0))</f>
        <v>#N/A</v>
      </c>
      <c r="Z158" s="1098" t="e">
        <f t="shared" ref="Z158:Z221" si="33">INDEX($K$4:$K$27,MATCH(G158,$J$4:$J$27,0))</f>
        <v>#N/A</v>
      </c>
      <c r="AA158" s="1098" t="e">
        <f>INDEX(Lookup!$O$9:$O$24,MATCH('Interior Lighting'!Z158,Lookup!$K$9:$K$24,0))</f>
        <v>#N/A</v>
      </c>
      <c r="AB158" s="1098" t="e">
        <f>IF(E158="A",INDEX(Lookup!$L$9:$L$24,MATCH(Z158,Lookup!$K$9:$K$24,0)),IF(E158="B",INDEX(Lookup!$M$9:$M$24,MATCH(Z158,Lookup!$K$9:$K$24,0)),IF(E158="C",INDEX(Lookup!$N$9:$N$24,MATCH(Z158,Lookup!$K$9:$K$24,0)),"N/A")))</f>
        <v>#N/A</v>
      </c>
    </row>
    <row r="159" spans="1:28">
      <c r="A159" s="1006"/>
      <c r="B159" s="69"/>
      <c r="C159" s="323"/>
      <c r="D159" s="323"/>
      <c r="E159" s="324" t="e">
        <f>INDEX(Lookup!$I$9:$I$24,MATCH('Interior Lighting'!D159,Lookup!$C$9:$C$24,0))</f>
        <v>#N/A</v>
      </c>
      <c r="F159" s="69"/>
      <c r="G159" s="69"/>
      <c r="H159" s="69"/>
      <c r="I159" s="324" t="e">
        <f t="shared" ref="I159:I222" si="34">INDEX($L$4:$L$27,MATCH(G159,$J$4:$J$27,0))</f>
        <v>#N/A</v>
      </c>
      <c r="J159" s="170"/>
      <c r="K159" s="325">
        <f t="shared" ref="K159:K222" si="35">IF(F159&gt;0, F159*I159*J159, 0)</f>
        <v>0</v>
      </c>
      <c r="L159" s="326" t="e">
        <f t="shared" ref="L159:L222" si="36">IF(D159="Exit Signs","convert to kW", K159/S159)</f>
        <v>#DIV/0!</v>
      </c>
      <c r="M159" s="326" t="str">
        <f>IF(H159="Yes",IF(D159='Drop Down'!$W$4,0.9*L159,IF(D159='Drop Down'!$W$5,0.9*L159,IF(D159='Drop Down'!$W$10,0.9*L159,IF(D159='Drop Down'!$W$16,0.9*L159,"No credit allowed.")))),"N/A")</f>
        <v>N/A</v>
      </c>
      <c r="N159" s="327" t="e">
        <f>IF($D$20="Space-By-Space (90.1-2013)",INDEX(LPD2013SS,MATCH('Interior Lighting'!D159,LightingSpaceType,0)*W159),INDEX(LPD2013WB,MATCH('Interior Lighting'!D159,LightingSpaceType,0)))</f>
        <v>#N/A</v>
      </c>
      <c r="O159" s="327">
        <f t="shared" ref="O159:O222" si="37">IF(D159="Exit Signs", 5*F159*J159, IF(B159&gt;0, N159*S159, 0))</f>
        <v>0</v>
      </c>
      <c r="P159" s="407" t="e">
        <f t="shared" si="27"/>
        <v>#N/A</v>
      </c>
      <c r="Q159" s="407" t="e">
        <f t="shared" ref="Q159:Q222" si="38">IF(D159="Exit Signs","NA", K159*P159/S159)</f>
        <v>#N/A</v>
      </c>
      <c r="R159" s="407" t="e">
        <f t="shared" si="28"/>
        <v>#N/A</v>
      </c>
      <c r="S159" s="324">
        <f t="shared" si="29"/>
        <v>0</v>
      </c>
      <c r="T159" s="924" t="str">
        <f t="shared" si="30"/>
        <v/>
      </c>
      <c r="U159" s="1221" t="str">
        <f t="shared" si="26"/>
        <v/>
      </c>
      <c r="W159" s="1098">
        <f t="shared" si="31"/>
        <v>1</v>
      </c>
      <c r="X159" s="1098" t="e">
        <f>INDEX(OSReq,MATCH('Interior Lighting'!D159,LightingSpaceType,0))</f>
        <v>#N/A</v>
      </c>
      <c r="Y159" s="1098" t="e">
        <f t="shared" si="32"/>
        <v>#N/A</v>
      </c>
      <c r="Z159" s="1098" t="e">
        <f t="shared" si="33"/>
        <v>#N/A</v>
      </c>
      <c r="AA159" s="1098" t="e">
        <f>INDEX(Lookup!$O$9:$O$24,MATCH('Interior Lighting'!Z159,Lookup!$K$9:$K$24,0))</f>
        <v>#N/A</v>
      </c>
      <c r="AB159" s="1098" t="e">
        <f>IF(E159="A",INDEX(Lookup!$L$9:$L$24,MATCH(Z159,Lookup!$K$9:$K$24,0)),IF(E159="B",INDEX(Lookup!$M$9:$M$24,MATCH(Z159,Lookup!$K$9:$K$24,0)),IF(E159="C",INDEX(Lookup!$N$9:$N$24,MATCH(Z159,Lookup!$K$9:$K$24,0)),"N/A")))</f>
        <v>#N/A</v>
      </c>
    </row>
    <row r="160" spans="1:28">
      <c r="A160" s="1006"/>
      <c r="B160" s="69"/>
      <c r="C160" s="323"/>
      <c r="D160" s="323"/>
      <c r="E160" s="324" t="e">
        <f>INDEX(Lookup!$I$9:$I$24,MATCH('Interior Lighting'!D160,Lookup!$C$9:$C$24,0))</f>
        <v>#N/A</v>
      </c>
      <c r="F160" s="69"/>
      <c r="G160" s="69"/>
      <c r="H160" s="69"/>
      <c r="I160" s="324" t="e">
        <f t="shared" si="34"/>
        <v>#N/A</v>
      </c>
      <c r="J160" s="170"/>
      <c r="K160" s="325">
        <f t="shared" si="35"/>
        <v>0</v>
      </c>
      <c r="L160" s="326" t="e">
        <f t="shared" si="36"/>
        <v>#DIV/0!</v>
      </c>
      <c r="M160" s="326" t="str">
        <f>IF(H160="Yes",IF(D160='Drop Down'!$W$4,0.9*L160,IF(D160='Drop Down'!$W$5,0.9*L160,IF(D160='Drop Down'!$W$10,0.9*L160,IF(D160='Drop Down'!$W$16,0.9*L160,"No credit allowed.")))),"N/A")</f>
        <v>N/A</v>
      </c>
      <c r="N160" s="327" t="e">
        <f>IF($D$20="Space-By-Space (90.1-2013)",INDEX(LPD2013SS,MATCH('Interior Lighting'!D160,LightingSpaceType,0)*W160),INDEX(LPD2013WB,MATCH('Interior Lighting'!D160,LightingSpaceType,0)))</f>
        <v>#N/A</v>
      </c>
      <c r="O160" s="327">
        <f t="shared" si="37"/>
        <v>0</v>
      </c>
      <c r="P160" s="407" t="e">
        <f t="shared" si="27"/>
        <v>#N/A</v>
      </c>
      <c r="Q160" s="407" t="e">
        <f t="shared" si="38"/>
        <v>#N/A</v>
      </c>
      <c r="R160" s="407" t="e">
        <f t="shared" si="28"/>
        <v>#N/A</v>
      </c>
      <c r="S160" s="324">
        <f t="shared" si="29"/>
        <v>0</v>
      </c>
      <c r="T160" s="924" t="str">
        <f t="shared" si="30"/>
        <v/>
      </c>
      <c r="U160" s="1221" t="str">
        <f t="shared" ref="U160:U223" si="39">IF(H160="","",IF(AND(H160="No",X160="Y"),"Please check ASHRAE Table 9.6.1 to ensure compliance with lighting control requirements for this space type.",""))</f>
        <v/>
      </c>
      <c r="W160" s="1098">
        <f t="shared" si="31"/>
        <v>1</v>
      </c>
      <c r="X160" s="1098" t="e">
        <f>INDEX(OSReq,MATCH('Interior Lighting'!D160,LightingSpaceType,0))</f>
        <v>#N/A</v>
      </c>
      <c r="Y160" s="1098" t="e">
        <f t="shared" si="32"/>
        <v>#N/A</v>
      </c>
      <c r="Z160" s="1098" t="e">
        <f t="shared" si="33"/>
        <v>#N/A</v>
      </c>
      <c r="AA160" s="1098" t="e">
        <f>INDEX(Lookup!$O$9:$O$24,MATCH('Interior Lighting'!Z160,Lookup!$K$9:$K$24,0))</f>
        <v>#N/A</v>
      </c>
      <c r="AB160" s="1098" t="e">
        <f>IF(E160="A",INDEX(Lookup!$L$9:$L$24,MATCH(Z160,Lookup!$K$9:$K$24,0)),IF(E160="B",INDEX(Lookup!$M$9:$M$24,MATCH(Z160,Lookup!$K$9:$K$24,0)),IF(E160="C",INDEX(Lookup!$N$9:$N$24,MATCH(Z160,Lookup!$K$9:$K$24,0)),"N/A")))</f>
        <v>#N/A</v>
      </c>
    </row>
    <row r="161" spans="1:28">
      <c r="A161" s="1006"/>
      <c r="B161" s="69"/>
      <c r="C161" s="330"/>
      <c r="D161" s="323"/>
      <c r="E161" s="324" t="e">
        <f>INDEX(Lookup!$I$9:$I$24,MATCH('Interior Lighting'!D161,Lookup!$C$9:$C$24,0))</f>
        <v>#N/A</v>
      </c>
      <c r="F161" s="69"/>
      <c r="G161" s="69"/>
      <c r="H161" s="69"/>
      <c r="I161" s="324" t="e">
        <f t="shared" si="34"/>
        <v>#N/A</v>
      </c>
      <c r="J161" s="170"/>
      <c r="K161" s="325">
        <f t="shared" si="35"/>
        <v>0</v>
      </c>
      <c r="L161" s="326" t="e">
        <f t="shared" si="36"/>
        <v>#DIV/0!</v>
      </c>
      <c r="M161" s="326" t="str">
        <f>IF(H161="Yes",IF(D161='Drop Down'!$W$4,0.9*L161,IF(D161='Drop Down'!$W$5,0.9*L161,IF(D161='Drop Down'!$W$10,0.9*L161,IF(D161='Drop Down'!$W$16,0.9*L161,"No credit allowed.")))),"N/A")</f>
        <v>N/A</v>
      </c>
      <c r="N161" s="327" t="e">
        <f>IF($D$20="Space-By-Space (90.1-2013)",INDEX(LPD2013SS,MATCH('Interior Lighting'!D161,LightingSpaceType,0)*W161),INDEX(LPD2013WB,MATCH('Interior Lighting'!D161,LightingSpaceType,0)))</f>
        <v>#N/A</v>
      </c>
      <c r="O161" s="327">
        <f t="shared" si="37"/>
        <v>0</v>
      </c>
      <c r="P161" s="407" t="e">
        <f t="shared" si="27"/>
        <v>#N/A</v>
      </c>
      <c r="Q161" s="407" t="e">
        <f t="shared" si="38"/>
        <v>#N/A</v>
      </c>
      <c r="R161" s="407" t="e">
        <f t="shared" si="28"/>
        <v>#N/A</v>
      </c>
      <c r="S161" s="324">
        <f t="shared" si="29"/>
        <v>0</v>
      </c>
      <c r="T161" s="924" t="str">
        <f t="shared" si="30"/>
        <v/>
      </c>
      <c r="U161" s="1221" t="str">
        <f t="shared" si="39"/>
        <v/>
      </c>
      <c r="W161" s="1098">
        <f t="shared" si="31"/>
        <v>1</v>
      </c>
      <c r="X161" s="1098" t="e">
        <f>INDEX(OSReq,MATCH('Interior Lighting'!D161,LightingSpaceType,0))</f>
        <v>#N/A</v>
      </c>
      <c r="Y161" s="1098" t="e">
        <f t="shared" si="32"/>
        <v>#N/A</v>
      </c>
      <c r="Z161" s="1098" t="e">
        <f t="shared" si="33"/>
        <v>#N/A</v>
      </c>
      <c r="AA161" s="1098" t="e">
        <f>INDEX(Lookup!$O$9:$O$24,MATCH('Interior Lighting'!Z161,Lookup!$K$9:$K$24,0))</f>
        <v>#N/A</v>
      </c>
      <c r="AB161" s="1098" t="e">
        <f>IF(E161="A",INDEX(Lookup!$L$9:$L$24,MATCH(Z161,Lookup!$K$9:$K$24,0)),IF(E161="B",INDEX(Lookup!$M$9:$M$24,MATCH(Z161,Lookup!$K$9:$K$24,0)),IF(E161="C",INDEX(Lookup!$N$9:$N$24,MATCH(Z161,Lookup!$K$9:$K$24,0)),"N/A")))</f>
        <v>#N/A</v>
      </c>
    </row>
    <row r="162" spans="1:28">
      <c r="A162" s="1006"/>
      <c r="B162" s="69"/>
      <c r="C162" s="323"/>
      <c r="D162" s="323"/>
      <c r="E162" s="324" t="e">
        <f>INDEX(Lookup!$I$9:$I$24,MATCH('Interior Lighting'!D162,Lookup!$C$9:$C$24,0))</f>
        <v>#N/A</v>
      </c>
      <c r="F162" s="69"/>
      <c r="G162" s="69"/>
      <c r="H162" s="69"/>
      <c r="I162" s="324" t="e">
        <f t="shared" si="34"/>
        <v>#N/A</v>
      </c>
      <c r="J162" s="170"/>
      <c r="K162" s="325">
        <f t="shared" si="35"/>
        <v>0</v>
      </c>
      <c r="L162" s="326" t="e">
        <f t="shared" si="36"/>
        <v>#DIV/0!</v>
      </c>
      <c r="M162" s="326" t="str">
        <f>IF(H162="Yes",IF(D162='Drop Down'!$W$4,0.9*L162,IF(D162='Drop Down'!$W$5,0.9*L162,IF(D162='Drop Down'!$W$10,0.9*L162,IF(D162='Drop Down'!$W$16,0.9*L162,"No credit allowed.")))),"N/A")</f>
        <v>N/A</v>
      </c>
      <c r="N162" s="327" t="e">
        <f>IF($D$20="Space-By-Space (90.1-2013)",INDEX(LPD2013SS,MATCH('Interior Lighting'!D162,LightingSpaceType,0)*W162),INDEX(LPD2013WB,MATCH('Interior Lighting'!D162,LightingSpaceType,0)))</f>
        <v>#N/A</v>
      </c>
      <c r="O162" s="327">
        <f t="shared" si="37"/>
        <v>0</v>
      </c>
      <c r="P162" s="407" t="e">
        <f t="shared" si="27"/>
        <v>#N/A</v>
      </c>
      <c r="Q162" s="407" t="e">
        <f t="shared" si="38"/>
        <v>#N/A</v>
      </c>
      <c r="R162" s="407" t="e">
        <f t="shared" si="28"/>
        <v>#N/A</v>
      </c>
      <c r="S162" s="324">
        <f t="shared" si="29"/>
        <v>0</v>
      </c>
      <c r="T162" s="924" t="str">
        <f t="shared" si="30"/>
        <v/>
      </c>
      <c r="U162" s="1221" t="str">
        <f t="shared" si="39"/>
        <v/>
      </c>
      <c r="W162" s="1098">
        <f t="shared" si="31"/>
        <v>1</v>
      </c>
      <c r="X162" s="1098" t="e">
        <f>INDEX(OSReq,MATCH('Interior Lighting'!D162,LightingSpaceType,0))</f>
        <v>#N/A</v>
      </c>
      <c r="Y162" s="1098" t="e">
        <f t="shared" si="32"/>
        <v>#N/A</v>
      </c>
      <c r="Z162" s="1098" t="e">
        <f t="shared" si="33"/>
        <v>#N/A</v>
      </c>
      <c r="AA162" s="1098" t="e">
        <f>INDEX(Lookup!$O$9:$O$24,MATCH('Interior Lighting'!Z162,Lookup!$K$9:$K$24,0))</f>
        <v>#N/A</v>
      </c>
      <c r="AB162" s="1098" t="e">
        <f>IF(E162="A",INDEX(Lookup!$L$9:$L$24,MATCH(Z162,Lookup!$K$9:$K$24,0)),IF(E162="B",INDEX(Lookup!$M$9:$M$24,MATCH(Z162,Lookup!$K$9:$K$24,0)),IF(E162="C",INDEX(Lookup!$N$9:$N$24,MATCH(Z162,Lookup!$K$9:$K$24,0)),"N/A")))</f>
        <v>#N/A</v>
      </c>
    </row>
    <row r="163" spans="1:28">
      <c r="A163" s="1006"/>
      <c r="B163" s="69"/>
      <c r="C163" s="323"/>
      <c r="D163" s="323"/>
      <c r="E163" s="324" t="e">
        <f>INDEX(Lookup!$I$9:$I$24,MATCH('Interior Lighting'!D163,Lookup!$C$9:$C$24,0))</f>
        <v>#N/A</v>
      </c>
      <c r="F163" s="69"/>
      <c r="G163" s="69"/>
      <c r="H163" s="69"/>
      <c r="I163" s="324" t="e">
        <f t="shared" si="34"/>
        <v>#N/A</v>
      </c>
      <c r="J163" s="170"/>
      <c r="K163" s="325">
        <f t="shared" si="35"/>
        <v>0</v>
      </c>
      <c r="L163" s="326" t="e">
        <f t="shared" si="36"/>
        <v>#DIV/0!</v>
      </c>
      <c r="M163" s="326" t="str">
        <f>IF(H163="Yes",IF(D163='Drop Down'!$W$4,0.9*L163,IF(D163='Drop Down'!$W$5,0.9*L163,IF(D163='Drop Down'!$W$10,0.9*L163,IF(D163='Drop Down'!$W$16,0.9*L163,"No credit allowed.")))),"N/A")</f>
        <v>N/A</v>
      </c>
      <c r="N163" s="327" t="e">
        <f>IF($D$20="Space-By-Space (90.1-2013)",INDEX(LPD2013SS,MATCH('Interior Lighting'!D163,LightingSpaceType,0)*W163),INDEX(LPD2013WB,MATCH('Interior Lighting'!D163,LightingSpaceType,0)))</f>
        <v>#N/A</v>
      </c>
      <c r="O163" s="327">
        <f t="shared" si="37"/>
        <v>0</v>
      </c>
      <c r="P163" s="407" t="e">
        <f t="shared" si="27"/>
        <v>#N/A</v>
      </c>
      <c r="Q163" s="407" t="e">
        <f t="shared" si="38"/>
        <v>#N/A</v>
      </c>
      <c r="R163" s="407" t="e">
        <f t="shared" si="28"/>
        <v>#N/A</v>
      </c>
      <c r="S163" s="324">
        <f t="shared" si="29"/>
        <v>0</v>
      </c>
      <c r="T163" s="924" t="str">
        <f t="shared" si="30"/>
        <v/>
      </c>
      <c r="U163" s="1221" t="str">
        <f t="shared" si="39"/>
        <v/>
      </c>
      <c r="W163" s="1098">
        <f t="shared" si="31"/>
        <v>1</v>
      </c>
      <c r="X163" s="1098" t="e">
        <f>INDEX(OSReq,MATCH('Interior Lighting'!D163,LightingSpaceType,0))</f>
        <v>#N/A</v>
      </c>
      <c r="Y163" s="1098" t="e">
        <f t="shared" si="32"/>
        <v>#N/A</v>
      </c>
      <c r="Z163" s="1098" t="e">
        <f t="shared" si="33"/>
        <v>#N/A</v>
      </c>
      <c r="AA163" s="1098" t="e">
        <f>INDEX(Lookup!$O$9:$O$24,MATCH('Interior Lighting'!Z163,Lookup!$K$9:$K$24,0))</f>
        <v>#N/A</v>
      </c>
      <c r="AB163" s="1098" t="e">
        <f>IF(E163="A",INDEX(Lookup!$L$9:$L$24,MATCH(Z163,Lookup!$K$9:$K$24,0)),IF(E163="B",INDEX(Lookup!$M$9:$M$24,MATCH(Z163,Lookup!$K$9:$K$24,0)),IF(E163="C",INDEX(Lookup!$N$9:$N$24,MATCH(Z163,Lookup!$K$9:$K$24,0)),"N/A")))</f>
        <v>#N/A</v>
      </c>
    </row>
    <row r="164" spans="1:28">
      <c r="A164" s="1006"/>
      <c r="B164" s="69"/>
      <c r="C164" s="323"/>
      <c r="D164" s="323"/>
      <c r="E164" s="324" t="e">
        <f>INDEX(Lookup!$I$9:$I$24,MATCH('Interior Lighting'!D164,Lookup!$C$9:$C$24,0))</f>
        <v>#N/A</v>
      </c>
      <c r="F164" s="69"/>
      <c r="G164" s="69"/>
      <c r="H164" s="69"/>
      <c r="I164" s="324" t="e">
        <f t="shared" si="34"/>
        <v>#N/A</v>
      </c>
      <c r="J164" s="170"/>
      <c r="K164" s="325">
        <f t="shared" si="35"/>
        <v>0</v>
      </c>
      <c r="L164" s="326" t="e">
        <f t="shared" si="36"/>
        <v>#DIV/0!</v>
      </c>
      <c r="M164" s="326" t="str">
        <f>IF(H164="Yes",IF(D164='Drop Down'!$W$4,0.9*L164,IF(D164='Drop Down'!$W$5,0.9*L164,IF(D164='Drop Down'!$W$10,0.9*L164,IF(D164='Drop Down'!$W$16,0.9*L164,"No credit allowed.")))),"N/A")</f>
        <v>N/A</v>
      </c>
      <c r="N164" s="327" t="e">
        <f>IF($D$20="Space-By-Space (90.1-2013)",INDEX(LPD2013SS,MATCH('Interior Lighting'!D164,LightingSpaceType,0)*W164),INDEX(LPD2013WB,MATCH('Interior Lighting'!D164,LightingSpaceType,0)))</f>
        <v>#N/A</v>
      </c>
      <c r="O164" s="327">
        <f t="shared" si="37"/>
        <v>0</v>
      </c>
      <c r="P164" s="407" t="e">
        <f t="shared" si="27"/>
        <v>#N/A</v>
      </c>
      <c r="Q164" s="407" t="e">
        <f t="shared" si="38"/>
        <v>#N/A</v>
      </c>
      <c r="R164" s="407" t="e">
        <f t="shared" si="28"/>
        <v>#N/A</v>
      </c>
      <c r="S164" s="324">
        <f t="shared" si="29"/>
        <v>0</v>
      </c>
      <c r="T164" s="924" t="str">
        <f t="shared" si="30"/>
        <v/>
      </c>
      <c r="U164" s="1221" t="str">
        <f t="shared" si="39"/>
        <v/>
      </c>
      <c r="W164" s="1098">
        <f t="shared" si="31"/>
        <v>1</v>
      </c>
      <c r="X164" s="1098" t="e">
        <f>INDEX(OSReq,MATCH('Interior Lighting'!D164,LightingSpaceType,0))</f>
        <v>#N/A</v>
      </c>
      <c r="Y164" s="1098" t="e">
        <f t="shared" si="32"/>
        <v>#N/A</v>
      </c>
      <c r="Z164" s="1098" t="e">
        <f t="shared" si="33"/>
        <v>#N/A</v>
      </c>
      <c r="AA164" s="1098" t="e">
        <f>INDEX(Lookup!$O$9:$O$24,MATCH('Interior Lighting'!Z164,Lookup!$K$9:$K$24,0))</f>
        <v>#N/A</v>
      </c>
      <c r="AB164" s="1098" t="e">
        <f>IF(E164="A",INDEX(Lookup!$L$9:$L$24,MATCH(Z164,Lookup!$K$9:$K$24,0)),IF(E164="B",INDEX(Lookup!$M$9:$M$24,MATCH(Z164,Lookup!$K$9:$K$24,0)),IF(E164="C",INDEX(Lookup!$N$9:$N$24,MATCH(Z164,Lookup!$K$9:$K$24,0)),"N/A")))</f>
        <v>#N/A</v>
      </c>
    </row>
    <row r="165" spans="1:28">
      <c r="A165" s="1006"/>
      <c r="B165" s="69"/>
      <c r="C165" s="323"/>
      <c r="D165" s="323"/>
      <c r="E165" s="324" t="e">
        <f>INDEX(Lookup!$I$9:$I$24,MATCH('Interior Lighting'!D165,Lookup!$C$9:$C$24,0))</f>
        <v>#N/A</v>
      </c>
      <c r="F165" s="69"/>
      <c r="G165" s="69"/>
      <c r="H165" s="69"/>
      <c r="I165" s="324" t="e">
        <f t="shared" si="34"/>
        <v>#N/A</v>
      </c>
      <c r="J165" s="170"/>
      <c r="K165" s="325">
        <f t="shared" si="35"/>
        <v>0</v>
      </c>
      <c r="L165" s="326" t="e">
        <f t="shared" si="36"/>
        <v>#DIV/0!</v>
      </c>
      <c r="M165" s="326" t="str">
        <f>IF(H165="Yes",IF(D165='Drop Down'!$W$4,0.9*L165,IF(D165='Drop Down'!$W$5,0.9*L165,IF(D165='Drop Down'!$W$10,0.9*L165,IF(D165='Drop Down'!$W$16,0.9*L165,"No credit allowed.")))),"N/A")</f>
        <v>N/A</v>
      </c>
      <c r="N165" s="327" t="e">
        <f>IF($D$20="Space-By-Space (90.1-2013)",INDEX(LPD2013SS,MATCH('Interior Lighting'!D165,LightingSpaceType,0)*W165),INDEX(LPD2013WB,MATCH('Interior Lighting'!D165,LightingSpaceType,0)))</f>
        <v>#N/A</v>
      </c>
      <c r="O165" s="327">
        <f t="shared" si="37"/>
        <v>0</v>
      </c>
      <c r="P165" s="407" t="e">
        <f t="shared" si="27"/>
        <v>#N/A</v>
      </c>
      <c r="Q165" s="407" t="e">
        <f t="shared" si="38"/>
        <v>#N/A</v>
      </c>
      <c r="R165" s="407" t="e">
        <f t="shared" si="28"/>
        <v>#N/A</v>
      </c>
      <c r="S165" s="324">
        <f t="shared" si="29"/>
        <v>0</v>
      </c>
      <c r="T165" s="924" t="str">
        <f t="shared" si="30"/>
        <v/>
      </c>
      <c r="U165" s="1221" t="str">
        <f t="shared" si="39"/>
        <v/>
      </c>
      <c r="W165" s="1098">
        <f t="shared" si="31"/>
        <v>1</v>
      </c>
      <c r="X165" s="1098" t="e">
        <f>INDEX(OSReq,MATCH('Interior Lighting'!D165,LightingSpaceType,0))</f>
        <v>#N/A</v>
      </c>
      <c r="Y165" s="1098" t="e">
        <f t="shared" si="32"/>
        <v>#N/A</v>
      </c>
      <c r="Z165" s="1098" t="e">
        <f t="shared" si="33"/>
        <v>#N/A</v>
      </c>
      <c r="AA165" s="1098" t="e">
        <f>INDEX(Lookup!$O$9:$O$24,MATCH('Interior Lighting'!Z165,Lookup!$K$9:$K$24,0))</f>
        <v>#N/A</v>
      </c>
      <c r="AB165" s="1098" t="e">
        <f>IF(E165="A",INDEX(Lookup!$L$9:$L$24,MATCH(Z165,Lookup!$K$9:$K$24,0)),IF(E165="B",INDEX(Lookup!$M$9:$M$24,MATCH(Z165,Lookup!$K$9:$K$24,0)),IF(E165="C",INDEX(Lookup!$N$9:$N$24,MATCH(Z165,Lookup!$K$9:$K$24,0)),"N/A")))</f>
        <v>#N/A</v>
      </c>
    </row>
    <row r="166" spans="1:28">
      <c r="A166" s="1006"/>
      <c r="B166" s="69"/>
      <c r="C166" s="323"/>
      <c r="D166" s="323"/>
      <c r="E166" s="324" t="e">
        <f>INDEX(Lookup!$I$9:$I$24,MATCH('Interior Lighting'!D166,Lookup!$C$9:$C$24,0))</f>
        <v>#N/A</v>
      </c>
      <c r="F166" s="69"/>
      <c r="G166" s="69"/>
      <c r="H166" s="69"/>
      <c r="I166" s="324" t="e">
        <f t="shared" si="34"/>
        <v>#N/A</v>
      </c>
      <c r="J166" s="170"/>
      <c r="K166" s="325">
        <f t="shared" si="35"/>
        <v>0</v>
      </c>
      <c r="L166" s="326" t="e">
        <f t="shared" si="36"/>
        <v>#DIV/0!</v>
      </c>
      <c r="M166" s="326" t="str">
        <f>IF(H166="Yes",IF(D166='Drop Down'!$W$4,0.9*L166,IF(D166='Drop Down'!$W$5,0.9*L166,IF(D166='Drop Down'!$W$10,0.9*L166,IF(D166='Drop Down'!$W$16,0.9*L166,"No credit allowed.")))),"N/A")</f>
        <v>N/A</v>
      </c>
      <c r="N166" s="327" t="e">
        <f>IF($D$20="Space-By-Space (90.1-2013)",INDEX(LPD2013SS,MATCH('Interior Lighting'!D166,LightingSpaceType,0)*W166),INDEX(LPD2013WB,MATCH('Interior Lighting'!D166,LightingSpaceType,0)))</f>
        <v>#N/A</v>
      </c>
      <c r="O166" s="327">
        <f t="shared" si="37"/>
        <v>0</v>
      </c>
      <c r="P166" s="407" t="e">
        <f t="shared" si="27"/>
        <v>#N/A</v>
      </c>
      <c r="Q166" s="407" t="e">
        <f t="shared" si="38"/>
        <v>#N/A</v>
      </c>
      <c r="R166" s="407" t="e">
        <f t="shared" si="28"/>
        <v>#N/A</v>
      </c>
      <c r="S166" s="324">
        <f t="shared" si="29"/>
        <v>0</v>
      </c>
      <c r="T166" s="924" t="str">
        <f t="shared" si="30"/>
        <v/>
      </c>
      <c r="U166" s="1221" t="str">
        <f t="shared" si="39"/>
        <v/>
      </c>
      <c r="W166" s="1098">
        <f t="shared" si="31"/>
        <v>1</v>
      </c>
      <c r="X166" s="1098" t="e">
        <f>INDEX(OSReq,MATCH('Interior Lighting'!D166,LightingSpaceType,0))</f>
        <v>#N/A</v>
      </c>
      <c r="Y166" s="1098" t="e">
        <f t="shared" si="32"/>
        <v>#N/A</v>
      </c>
      <c r="Z166" s="1098" t="e">
        <f t="shared" si="33"/>
        <v>#N/A</v>
      </c>
      <c r="AA166" s="1098" t="e">
        <f>INDEX(Lookup!$O$9:$O$24,MATCH('Interior Lighting'!Z166,Lookup!$K$9:$K$24,0))</f>
        <v>#N/A</v>
      </c>
      <c r="AB166" s="1098" t="e">
        <f>IF(E166="A",INDEX(Lookup!$L$9:$L$24,MATCH(Z166,Lookup!$K$9:$K$24,0)),IF(E166="B",INDEX(Lookup!$M$9:$M$24,MATCH(Z166,Lookup!$K$9:$K$24,0)),IF(E166="C",INDEX(Lookup!$N$9:$N$24,MATCH(Z166,Lookup!$K$9:$K$24,0)),"N/A")))</f>
        <v>#N/A</v>
      </c>
    </row>
    <row r="167" spans="1:28">
      <c r="A167" s="1006"/>
      <c r="B167" s="69"/>
      <c r="C167" s="330"/>
      <c r="D167" s="323"/>
      <c r="E167" s="324" t="e">
        <f>INDEX(Lookup!$I$9:$I$24,MATCH('Interior Lighting'!D167,Lookup!$C$9:$C$24,0))</f>
        <v>#N/A</v>
      </c>
      <c r="F167" s="69"/>
      <c r="G167" s="69"/>
      <c r="H167" s="69"/>
      <c r="I167" s="324" t="e">
        <f t="shared" si="34"/>
        <v>#N/A</v>
      </c>
      <c r="J167" s="170"/>
      <c r="K167" s="325">
        <f t="shared" si="35"/>
        <v>0</v>
      </c>
      <c r="L167" s="326" t="e">
        <f t="shared" si="36"/>
        <v>#DIV/0!</v>
      </c>
      <c r="M167" s="326" t="str">
        <f>IF(H167="Yes",IF(D167='Drop Down'!$W$4,0.9*L167,IF(D167='Drop Down'!$W$5,0.9*L167,IF(D167='Drop Down'!$W$10,0.9*L167,IF(D167='Drop Down'!$W$16,0.9*L167,"No credit allowed.")))),"N/A")</f>
        <v>N/A</v>
      </c>
      <c r="N167" s="327" t="e">
        <f>IF($D$20="Space-By-Space (90.1-2013)",INDEX(LPD2013SS,MATCH('Interior Lighting'!D167,LightingSpaceType,0)*W167),INDEX(LPD2013WB,MATCH('Interior Lighting'!D167,LightingSpaceType,0)))</f>
        <v>#N/A</v>
      </c>
      <c r="O167" s="327">
        <f t="shared" si="37"/>
        <v>0</v>
      </c>
      <c r="P167" s="407" t="e">
        <f t="shared" si="27"/>
        <v>#N/A</v>
      </c>
      <c r="Q167" s="407" t="e">
        <f t="shared" si="38"/>
        <v>#N/A</v>
      </c>
      <c r="R167" s="407" t="e">
        <f t="shared" si="28"/>
        <v>#N/A</v>
      </c>
      <c r="S167" s="324">
        <f t="shared" si="29"/>
        <v>0</v>
      </c>
      <c r="T167" s="924" t="str">
        <f t="shared" si="30"/>
        <v/>
      </c>
      <c r="U167" s="1221" t="str">
        <f t="shared" si="39"/>
        <v/>
      </c>
      <c r="W167" s="1098">
        <f t="shared" si="31"/>
        <v>1</v>
      </c>
      <c r="X167" s="1098" t="e">
        <f>INDEX(OSReq,MATCH('Interior Lighting'!D167,LightingSpaceType,0))</f>
        <v>#N/A</v>
      </c>
      <c r="Y167" s="1098" t="e">
        <f t="shared" si="32"/>
        <v>#N/A</v>
      </c>
      <c r="Z167" s="1098" t="e">
        <f t="shared" si="33"/>
        <v>#N/A</v>
      </c>
      <c r="AA167" s="1098" t="e">
        <f>INDEX(Lookup!$O$9:$O$24,MATCH('Interior Lighting'!Z167,Lookup!$K$9:$K$24,0))</f>
        <v>#N/A</v>
      </c>
      <c r="AB167" s="1098" t="e">
        <f>IF(E167="A",INDEX(Lookup!$L$9:$L$24,MATCH(Z167,Lookup!$K$9:$K$24,0)),IF(E167="B",INDEX(Lookup!$M$9:$M$24,MATCH(Z167,Lookup!$K$9:$K$24,0)),IF(E167="C",INDEX(Lookup!$N$9:$N$24,MATCH(Z167,Lookup!$K$9:$K$24,0)),"N/A")))</f>
        <v>#N/A</v>
      </c>
    </row>
    <row r="168" spans="1:28">
      <c r="A168" s="1006"/>
      <c r="B168" s="69"/>
      <c r="C168" s="323"/>
      <c r="D168" s="323"/>
      <c r="E168" s="324" t="e">
        <f>INDEX(Lookup!$I$9:$I$24,MATCH('Interior Lighting'!D168,Lookup!$C$9:$C$24,0))</f>
        <v>#N/A</v>
      </c>
      <c r="F168" s="69"/>
      <c r="G168" s="69"/>
      <c r="H168" s="69"/>
      <c r="I168" s="324" t="e">
        <f t="shared" si="34"/>
        <v>#N/A</v>
      </c>
      <c r="J168" s="170"/>
      <c r="K168" s="325">
        <f t="shared" si="35"/>
        <v>0</v>
      </c>
      <c r="L168" s="326" t="e">
        <f t="shared" si="36"/>
        <v>#DIV/0!</v>
      </c>
      <c r="M168" s="326" t="str">
        <f>IF(H168="Yes",IF(D168='Drop Down'!$W$4,0.9*L168,IF(D168='Drop Down'!$W$5,0.9*L168,IF(D168='Drop Down'!$W$10,0.9*L168,IF(D168='Drop Down'!$W$16,0.9*L168,"No credit allowed.")))),"N/A")</f>
        <v>N/A</v>
      </c>
      <c r="N168" s="327" t="e">
        <f>IF($D$20="Space-By-Space (90.1-2013)",INDEX(LPD2013SS,MATCH('Interior Lighting'!D168,LightingSpaceType,0)*W168),INDEX(LPD2013WB,MATCH('Interior Lighting'!D168,LightingSpaceType,0)))</f>
        <v>#N/A</v>
      </c>
      <c r="O168" s="327">
        <f t="shared" si="37"/>
        <v>0</v>
      </c>
      <c r="P168" s="407" t="e">
        <f t="shared" si="27"/>
        <v>#N/A</v>
      </c>
      <c r="Q168" s="407" t="e">
        <f t="shared" si="38"/>
        <v>#N/A</v>
      </c>
      <c r="R168" s="407" t="e">
        <f t="shared" si="28"/>
        <v>#N/A</v>
      </c>
      <c r="S168" s="324">
        <f t="shared" si="29"/>
        <v>0</v>
      </c>
      <c r="T168" s="924" t="str">
        <f t="shared" si="30"/>
        <v/>
      </c>
      <c r="U168" s="1221" t="str">
        <f t="shared" si="39"/>
        <v/>
      </c>
      <c r="W168" s="1098">
        <f t="shared" si="31"/>
        <v>1</v>
      </c>
      <c r="X168" s="1098" t="e">
        <f>INDEX(OSReq,MATCH('Interior Lighting'!D168,LightingSpaceType,0))</f>
        <v>#N/A</v>
      </c>
      <c r="Y168" s="1098" t="e">
        <f t="shared" si="32"/>
        <v>#N/A</v>
      </c>
      <c r="Z168" s="1098" t="e">
        <f t="shared" si="33"/>
        <v>#N/A</v>
      </c>
      <c r="AA168" s="1098" t="e">
        <f>INDEX(Lookup!$O$9:$O$24,MATCH('Interior Lighting'!Z168,Lookup!$K$9:$K$24,0))</f>
        <v>#N/A</v>
      </c>
      <c r="AB168" s="1098" t="e">
        <f>IF(E168="A",INDEX(Lookup!$L$9:$L$24,MATCH(Z168,Lookup!$K$9:$K$24,0)),IF(E168="B",INDEX(Lookup!$M$9:$M$24,MATCH(Z168,Lookup!$K$9:$K$24,0)),IF(E168="C",INDEX(Lookup!$N$9:$N$24,MATCH(Z168,Lookup!$K$9:$K$24,0)),"N/A")))</f>
        <v>#N/A</v>
      </c>
    </row>
    <row r="169" spans="1:28">
      <c r="A169" s="1006"/>
      <c r="B169" s="69"/>
      <c r="C169" s="323"/>
      <c r="D169" s="323"/>
      <c r="E169" s="324" t="e">
        <f>INDEX(Lookup!$I$9:$I$24,MATCH('Interior Lighting'!D169,Lookup!$C$9:$C$24,0))</f>
        <v>#N/A</v>
      </c>
      <c r="F169" s="69"/>
      <c r="G169" s="69"/>
      <c r="H169" s="69"/>
      <c r="I169" s="324" t="e">
        <f t="shared" si="34"/>
        <v>#N/A</v>
      </c>
      <c r="J169" s="170"/>
      <c r="K169" s="325">
        <f t="shared" si="35"/>
        <v>0</v>
      </c>
      <c r="L169" s="326" t="e">
        <f t="shared" si="36"/>
        <v>#DIV/0!</v>
      </c>
      <c r="M169" s="326" t="str">
        <f>IF(H169="Yes",IF(D169='Drop Down'!$W$4,0.9*L169,IF(D169='Drop Down'!$W$5,0.9*L169,IF(D169='Drop Down'!$W$10,0.9*L169,IF(D169='Drop Down'!$W$16,0.9*L169,"No credit allowed.")))),"N/A")</f>
        <v>N/A</v>
      </c>
      <c r="N169" s="327" t="e">
        <f>IF($D$20="Space-By-Space (90.1-2013)",INDEX(LPD2013SS,MATCH('Interior Lighting'!D169,LightingSpaceType,0)*W169),INDEX(LPD2013WB,MATCH('Interior Lighting'!D169,LightingSpaceType,0)))</f>
        <v>#N/A</v>
      </c>
      <c r="O169" s="327">
        <f t="shared" si="37"/>
        <v>0</v>
      </c>
      <c r="P169" s="407" t="e">
        <f t="shared" si="27"/>
        <v>#N/A</v>
      </c>
      <c r="Q169" s="407" t="e">
        <f t="shared" si="38"/>
        <v>#N/A</v>
      </c>
      <c r="R169" s="407" t="e">
        <f t="shared" si="28"/>
        <v>#N/A</v>
      </c>
      <c r="S169" s="324">
        <f t="shared" si="29"/>
        <v>0</v>
      </c>
      <c r="T169" s="924" t="str">
        <f t="shared" si="30"/>
        <v/>
      </c>
      <c r="U169" s="1221" t="str">
        <f t="shared" si="39"/>
        <v/>
      </c>
      <c r="W169" s="1098">
        <f t="shared" si="31"/>
        <v>1</v>
      </c>
      <c r="X169" s="1098" t="e">
        <f>INDEX(OSReq,MATCH('Interior Lighting'!D169,LightingSpaceType,0))</f>
        <v>#N/A</v>
      </c>
      <c r="Y169" s="1098" t="e">
        <f t="shared" si="32"/>
        <v>#N/A</v>
      </c>
      <c r="Z169" s="1098" t="e">
        <f t="shared" si="33"/>
        <v>#N/A</v>
      </c>
      <c r="AA169" s="1098" t="e">
        <f>INDEX(Lookup!$O$9:$O$24,MATCH('Interior Lighting'!Z169,Lookup!$K$9:$K$24,0))</f>
        <v>#N/A</v>
      </c>
      <c r="AB169" s="1098" t="e">
        <f>IF(E169="A",INDEX(Lookup!$L$9:$L$24,MATCH(Z169,Lookup!$K$9:$K$24,0)),IF(E169="B",INDEX(Lookup!$M$9:$M$24,MATCH(Z169,Lookup!$K$9:$K$24,0)),IF(E169="C",INDEX(Lookup!$N$9:$N$24,MATCH(Z169,Lookup!$K$9:$K$24,0)),"N/A")))</f>
        <v>#N/A</v>
      </c>
    </row>
    <row r="170" spans="1:28">
      <c r="A170" s="1006"/>
      <c r="B170" s="69"/>
      <c r="C170" s="323"/>
      <c r="D170" s="323"/>
      <c r="E170" s="324" t="e">
        <f>INDEX(Lookup!$I$9:$I$24,MATCH('Interior Lighting'!D170,Lookup!$C$9:$C$24,0))</f>
        <v>#N/A</v>
      </c>
      <c r="F170" s="69"/>
      <c r="G170" s="69"/>
      <c r="H170" s="69"/>
      <c r="I170" s="324" t="e">
        <f t="shared" si="34"/>
        <v>#N/A</v>
      </c>
      <c r="J170" s="170"/>
      <c r="K170" s="325">
        <f t="shared" si="35"/>
        <v>0</v>
      </c>
      <c r="L170" s="326" t="e">
        <f t="shared" si="36"/>
        <v>#DIV/0!</v>
      </c>
      <c r="M170" s="326" t="str">
        <f>IF(H170="Yes",IF(D170='Drop Down'!$W$4,0.9*L170,IF(D170='Drop Down'!$W$5,0.9*L170,IF(D170='Drop Down'!$W$10,0.9*L170,IF(D170='Drop Down'!$W$16,0.9*L170,"No credit allowed.")))),"N/A")</f>
        <v>N/A</v>
      </c>
      <c r="N170" s="327" t="e">
        <f>IF($D$20="Space-By-Space (90.1-2013)",INDEX(LPD2013SS,MATCH('Interior Lighting'!D170,LightingSpaceType,0)*W170),INDEX(LPD2013WB,MATCH('Interior Lighting'!D170,LightingSpaceType,0)))</f>
        <v>#N/A</v>
      </c>
      <c r="O170" s="327">
        <f t="shared" si="37"/>
        <v>0</v>
      </c>
      <c r="P170" s="407" t="e">
        <f t="shared" si="27"/>
        <v>#N/A</v>
      </c>
      <c r="Q170" s="407" t="e">
        <f t="shared" si="38"/>
        <v>#N/A</v>
      </c>
      <c r="R170" s="407" t="e">
        <f t="shared" si="28"/>
        <v>#N/A</v>
      </c>
      <c r="S170" s="324">
        <f t="shared" si="29"/>
        <v>0</v>
      </c>
      <c r="T170" s="924" t="str">
        <f t="shared" si="30"/>
        <v/>
      </c>
      <c r="U170" s="1221" t="str">
        <f t="shared" si="39"/>
        <v/>
      </c>
      <c r="W170" s="1098">
        <f t="shared" si="31"/>
        <v>1</v>
      </c>
      <c r="X170" s="1098" t="e">
        <f>INDEX(OSReq,MATCH('Interior Lighting'!D170,LightingSpaceType,0))</f>
        <v>#N/A</v>
      </c>
      <c r="Y170" s="1098" t="e">
        <f t="shared" si="32"/>
        <v>#N/A</v>
      </c>
      <c r="Z170" s="1098" t="e">
        <f t="shared" si="33"/>
        <v>#N/A</v>
      </c>
      <c r="AA170" s="1098" t="e">
        <f>INDEX(Lookup!$O$9:$O$24,MATCH('Interior Lighting'!Z170,Lookup!$K$9:$K$24,0))</f>
        <v>#N/A</v>
      </c>
      <c r="AB170" s="1098" t="e">
        <f>IF(E170="A",INDEX(Lookup!$L$9:$L$24,MATCH(Z170,Lookup!$K$9:$K$24,0)),IF(E170="B",INDEX(Lookup!$M$9:$M$24,MATCH(Z170,Lookup!$K$9:$K$24,0)),IF(E170="C",INDEX(Lookup!$N$9:$N$24,MATCH(Z170,Lookup!$K$9:$K$24,0)),"N/A")))</f>
        <v>#N/A</v>
      </c>
    </row>
    <row r="171" spans="1:28">
      <c r="A171" s="1006"/>
      <c r="B171" s="69"/>
      <c r="C171" s="323"/>
      <c r="D171" s="323"/>
      <c r="E171" s="324" t="e">
        <f>INDEX(Lookup!$I$9:$I$24,MATCH('Interior Lighting'!D171,Lookup!$C$9:$C$24,0))</f>
        <v>#N/A</v>
      </c>
      <c r="F171" s="69"/>
      <c r="G171" s="69"/>
      <c r="H171" s="69"/>
      <c r="I171" s="324" t="e">
        <f t="shared" si="34"/>
        <v>#N/A</v>
      </c>
      <c r="J171" s="170"/>
      <c r="K171" s="325">
        <f t="shared" si="35"/>
        <v>0</v>
      </c>
      <c r="L171" s="326" t="e">
        <f t="shared" si="36"/>
        <v>#DIV/0!</v>
      </c>
      <c r="M171" s="326" t="str">
        <f>IF(H171="Yes",IF(D171='Drop Down'!$W$4,0.9*L171,IF(D171='Drop Down'!$W$5,0.9*L171,IF(D171='Drop Down'!$W$10,0.9*L171,IF(D171='Drop Down'!$W$16,0.9*L171,"No credit allowed.")))),"N/A")</f>
        <v>N/A</v>
      </c>
      <c r="N171" s="327" t="e">
        <f>IF($D$20="Space-By-Space (90.1-2013)",INDEX(LPD2013SS,MATCH('Interior Lighting'!D171,LightingSpaceType,0)*W171),INDEX(LPD2013WB,MATCH('Interior Lighting'!D171,LightingSpaceType,0)))</f>
        <v>#N/A</v>
      </c>
      <c r="O171" s="327">
        <f t="shared" si="37"/>
        <v>0</v>
      </c>
      <c r="P171" s="407" t="e">
        <f t="shared" si="27"/>
        <v>#N/A</v>
      </c>
      <c r="Q171" s="407" t="e">
        <f t="shared" si="38"/>
        <v>#N/A</v>
      </c>
      <c r="R171" s="407" t="e">
        <f t="shared" si="28"/>
        <v>#N/A</v>
      </c>
      <c r="S171" s="324">
        <f t="shared" si="29"/>
        <v>0</v>
      </c>
      <c r="T171" s="924" t="str">
        <f t="shared" si="30"/>
        <v/>
      </c>
      <c r="U171" s="1221" t="str">
        <f t="shared" si="39"/>
        <v/>
      </c>
      <c r="W171" s="1098">
        <f t="shared" si="31"/>
        <v>1</v>
      </c>
      <c r="X171" s="1098" t="e">
        <f>INDEX(OSReq,MATCH('Interior Lighting'!D171,LightingSpaceType,0))</f>
        <v>#N/A</v>
      </c>
      <c r="Y171" s="1098" t="e">
        <f t="shared" si="32"/>
        <v>#N/A</v>
      </c>
      <c r="Z171" s="1098" t="e">
        <f t="shared" si="33"/>
        <v>#N/A</v>
      </c>
      <c r="AA171" s="1098" t="e">
        <f>INDEX(Lookup!$O$9:$O$24,MATCH('Interior Lighting'!Z171,Lookup!$K$9:$K$24,0))</f>
        <v>#N/A</v>
      </c>
      <c r="AB171" s="1098" t="e">
        <f>IF(E171="A",INDEX(Lookup!$L$9:$L$24,MATCH(Z171,Lookup!$K$9:$K$24,0)),IF(E171="B",INDEX(Lookup!$M$9:$M$24,MATCH(Z171,Lookup!$K$9:$K$24,0)),IF(E171="C",INDEX(Lookup!$N$9:$N$24,MATCH(Z171,Lookup!$K$9:$K$24,0)),"N/A")))</f>
        <v>#N/A</v>
      </c>
    </row>
    <row r="172" spans="1:28">
      <c r="A172" s="1006"/>
      <c r="B172" s="69"/>
      <c r="C172" s="323"/>
      <c r="D172" s="323"/>
      <c r="E172" s="324" t="e">
        <f>INDEX(Lookup!$I$9:$I$24,MATCH('Interior Lighting'!D172,Lookup!$C$9:$C$24,0))</f>
        <v>#N/A</v>
      </c>
      <c r="F172" s="69"/>
      <c r="G172" s="69"/>
      <c r="H172" s="69"/>
      <c r="I172" s="324" t="e">
        <f t="shared" si="34"/>
        <v>#N/A</v>
      </c>
      <c r="J172" s="170"/>
      <c r="K172" s="325">
        <f t="shared" si="35"/>
        <v>0</v>
      </c>
      <c r="L172" s="326" t="e">
        <f t="shared" si="36"/>
        <v>#DIV/0!</v>
      </c>
      <c r="M172" s="326" t="str">
        <f>IF(H172="Yes",IF(D172='Drop Down'!$W$4,0.9*L172,IF(D172='Drop Down'!$W$5,0.9*L172,IF(D172='Drop Down'!$W$10,0.9*L172,IF(D172='Drop Down'!$W$16,0.9*L172,"No credit allowed.")))),"N/A")</f>
        <v>N/A</v>
      </c>
      <c r="N172" s="327" t="e">
        <f>IF($D$20="Space-By-Space (90.1-2013)",INDEX(LPD2013SS,MATCH('Interior Lighting'!D172,LightingSpaceType,0)*W172),INDEX(LPD2013WB,MATCH('Interior Lighting'!D172,LightingSpaceType,0)))</f>
        <v>#N/A</v>
      </c>
      <c r="O172" s="327">
        <f t="shared" si="37"/>
        <v>0</v>
      </c>
      <c r="P172" s="407" t="e">
        <f t="shared" si="27"/>
        <v>#N/A</v>
      </c>
      <c r="Q172" s="407" t="e">
        <f t="shared" si="38"/>
        <v>#N/A</v>
      </c>
      <c r="R172" s="407" t="e">
        <f t="shared" si="28"/>
        <v>#N/A</v>
      </c>
      <c r="S172" s="324">
        <f t="shared" si="29"/>
        <v>0</v>
      </c>
      <c r="T172" s="924" t="str">
        <f t="shared" si="30"/>
        <v/>
      </c>
      <c r="U172" s="1221" t="str">
        <f t="shared" si="39"/>
        <v/>
      </c>
      <c r="W172" s="1098">
        <f t="shared" si="31"/>
        <v>1</v>
      </c>
      <c r="X172" s="1098" t="e">
        <f>INDEX(OSReq,MATCH('Interior Lighting'!D172,LightingSpaceType,0))</f>
        <v>#N/A</v>
      </c>
      <c r="Y172" s="1098" t="e">
        <f t="shared" si="32"/>
        <v>#N/A</v>
      </c>
      <c r="Z172" s="1098" t="e">
        <f t="shared" si="33"/>
        <v>#N/A</v>
      </c>
      <c r="AA172" s="1098" t="e">
        <f>INDEX(Lookup!$O$9:$O$24,MATCH('Interior Lighting'!Z172,Lookup!$K$9:$K$24,0))</f>
        <v>#N/A</v>
      </c>
      <c r="AB172" s="1098" t="e">
        <f>IF(E172="A",INDEX(Lookup!$L$9:$L$24,MATCH(Z172,Lookup!$K$9:$K$24,0)),IF(E172="B",INDEX(Lookup!$M$9:$M$24,MATCH(Z172,Lookup!$K$9:$K$24,0)),IF(E172="C",INDEX(Lookup!$N$9:$N$24,MATCH(Z172,Lookup!$K$9:$K$24,0)),"N/A")))</f>
        <v>#N/A</v>
      </c>
    </row>
    <row r="173" spans="1:28">
      <c r="A173" s="1006"/>
      <c r="B173" s="69"/>
      <c r="C173" s="330"/>
      <c r="D173" s="323"/>
      <c r="E173" s="324" t="e">
        <f>INDEX(Lookup!$I$9:$I$24,MATCH('Interior Lighting'!D173,Lookup!$C$9:$C$24,0))</f>
        <v>#N/A</v>
      </c>
      <c r="F173" s="69"/>
      <c r="G173" s="69"/>
      <c r="H173" s="69"/>
      <c r="I173" s="324" t="e">
        <f t="shared" si="34"/>
        <v>#N/A</v>
      </c>
      <c r="J173" s="170"/>
      <c r="K173" s="325">
        <f t="shared" si="35"/>
        <v>0</v>
      </c>
      <c r="L173" s="326" t="e">
        <f t="shared" si="36"/>
        <v>#DIV/0!</v>
      </c>
      <c r="M173" s="326" t="str">
        <f>IF(H173="Yes",IF(D173='Drop Down'!$W$4,0.9*L173,IF(D173='Drop Down'!$W$5,0.9*L173,IF(D173='Drop Down'!$W$10,0.9*L173,IF(D173='Drop Down'!$W$16,0.9*L173,"No credit allowed.")))),"N/A")</f>
        <v>N/A</v>
      </c>
      <c r="N173" s="327" t="e">
        <f>IF($D$20="Space-By-Space (90.1-2013)",INDEX(LPD2013SS,MATCH('Interior Lighting'!D173,LightingSpaceType,0)*W173),INDEX(LPD2013WB,MATCH('Interior Lighting'!D173,LightingSpaceType,0)))</f>
        <v>#N/A</v>
      </c>
      <c r="O173" s="327">
        <f t="shared" si="37"/>
        <v>0</v>
      </c>
      <c r="P173" s="407" t="e">
        <f t="shared" si="27"/>
        <v>#N/A</v>
      </c>
      <c r="Q173" s="407" t="e">
        <f t="shared" si="38"/>
        <v>#N/A</v>
      </c>
      <c r="R173" s="407" t="e">
        <f t="shared" si="28"/>
        <v>#N/A</v>
      </c>
      <c r="S173" s="324">
        <f t="shared" si="29"/>
        <v>0</v>
      </c>
      <c r="T173" s="924" t="str">
        <f t="shared" si="30"/>
        <v/>
      </c>
      <c r="U173" s="1221" t="str">
        <f t="shared" si="39"/>
        <v/>
      </c>
      <c r="W173" s="1098">
        <f t="shared" si="31"/>
        <v>1</v>
      </c>
      <c r="X173" s="1098" t="e">
        <f>INDEX(OSReq,MATCH('Interior Lighting'!D173,LightingSpaceType,0))</f>
        <v>#N/A</v>
      </c>
      <c r="Y173" s="1098" t="e">
        <f t="shared" si="32"/>
        <v>#N/A</v>
      </c>
      <c r="Z173" s="1098" t="e">
        <f t="shared" si="33"/>
        <v>#N/A</v>
      </c>
      <c r="AA173" s="1098" t="e">
        <f>INDEX(Lookup!$O$9:$O$24,MATCH('Interior Lighting'!Z173,Lookup!$K$9:$K$24,0))</f>
        <v>#N/A</v>
      </c>
      <c r="AB173" s="1098" t="e">
        <f>IF(E173="A",INDEX(Lookup!$L$9:$L$24,MATCH(Z173,Lookup!$K$9:$K$24,0)),IF(E173="B",INDEX(Lookup!$M$9:$M$24,MATCH(Z173,Lookup!$K$9:$K$24,0)),IF(E173="C",INDEX(Lookup!$N$9:$N$24,MATCH(Z173,Lookup!$K$9:$K$24,0)),"N/A")))</f>
        <v>#N/A</v>
      </c>
    </row>
    <row r="174" spans="1:28">
      <c r="A174" s="1006"/>
      <c r="B174" s="69"/>
      <c r="C174" s="323"/>
      <c r="D174" s="323"/>
      <c r="E174" s="324" t="e">
        <f>INDEX(Lookup!$I$9:$I$24,MATCH('Interior Lighting'!D174,Lookup!$C$9:$C$24,0))</f>
        <v>#N/A</v>
      </c>
      <c r="F174" s="69"/>
      <c r="G174" s="69"/>
      <c r="H174" s="69"/>
      <c r="I174" s="324" t="e">
        <f t="shared" si="34"/>
        <v>#N/A</v>
      </c>
      <c r="J174" s="170"/>
      <c r="K174" s="325">
        <f t="shared" si="35"/>
        <v>0</v>
      </c>
      <c r="L174" s="326" t="e">
        <f t="shared" si="36"/>
        <v>#DIV/0!</v>
      </c>
      <c r="M174" s="326" t="str">
        <f>IF(H174="Yes",IF(D174='Drop Down'!$W$4,0.9*L174,IF(D174='Drop Down'!$W$5,0.9*L174,IF(D174='Drop Down'!$W$10,0.9*L174,IF(D174='Drop Down'!$W$16,0.9*L174,"No credit allowed.")))),"N/A")</f>
        <v>N/A</v>
      </c>
      <c r="N174" s="327" t="e">
        <f>IF($D$20="Space-By-Space (90.1-2013)",INDEX(LPD2013SS,MATCH('Interior Lighting'!D174,LightingSpaceType,0)*W174),INDEX(LPD2013WB,MATCH('Interior Lighting'!D174,LightingSpaceType,0)))</f>
        <v>#N/A</v>
      </c>
      <c r="O174" s="327">
        <f t="shared" si="37"/>
        <v>0</v>
      </c>
      <c r="P174" s="407" t="e">
        <f t="shared" si="27"/>
        <v>#N/A</v>
      </c>
      <c r="Q174" s="407" t="e">
        <f t="shared" si="38"/>
        <v>#N/A</v>
      </c>
      <c r="R174" s="407" t="e">
        <f t="shared" si="28"/>
        <v>#N/A</v>
      </c>
      <c r="S174" s="324">
        <f t="shared" si="29"/>
        <v>0</v>
      </c>
      <c r="T174" s="924" t="str">
        <f t="shared" si="30"/>
        <v/>
      </c>
      <c r="U174" s="1221" t="str">
        <f t="shared" si="39"/>
        <v/>
      </c>
      <c r="W174" s="1098">
        <f t="shared" si="31"/>
        <v>1</v>
      </c>
      <c r="X174" s="1098" t="e">
        <f>INDEX(OSReq,MATCH('Interior Lighting'!D174,LightingSpaceType,0))</f>
        <v>#N/A</v>
      </c>
      <c r="Y174" s="1098" t="e">
        <f t="shared" si="32"/>
        <v>#N/A</v>
      </c>
      <c r="Z174" s="1098" t="e">
        <f t="shared" si="33"/>
        <v>#N/A</v>
      </c>
      <c r="AA174" s="1098" t="e">
        <f>INDEX(Lookup!$O$9:$O$24,MATCH('Interior Lighting'!Z174,Lookup!$K$9:$K$24,0))</f>
        <v>#N/A</v>
      </c>
      <c r="AB174" s="1098" t="e">
        <f>IF(E174="A",INDEX(Lookup!$L$9:$L$24,MATCH(Z174,Lookup!$K$9:$K$24,0)),IF(E174="B",INDEX(Lookup!$M$9:$M$24,MATCH(Z174,Lookup!$K$9:$K$24,0)),IF(E174="C",INDEX(Lookup!$N$9:$N$24,MATCH(Z174,Lookup!$K$9:$K$24,0)),"N/A")))</f>
        <v>#N/A</v>
      </c>
    </row>
    <row r="175" spans="1:28">
      <c r="A175" s="1006"/>
      <c r="B175" s="69"/>
      <c r="C175" s="323"/>
      <c r="D175" s="323"/>
      <c r="E175" s="324" t="e">
        <f>INDEX(Lookup!$I$9:$I$24,MATCH('Interior Lighting'!D175,Lookup!$C$9:$C$24,0))</f>
        <v>#N/A</v>
      </c>
      <c r="F175" s="69"/>
      <c r="G175" s="69"/>
      <c r="H175" s="69"/>
      <c r="I175" s="324" t="e">
        <f t="shared" si="34"/>
        <v>#N/A</v>
      </c>
      <c r="J175" s="170"/>
      <c r="K175" s="325">
        <f t="shared" si="35"/>
        <v>0</v>
      </c>
      <c r="L175" s="326" t="e">
        <f t="shared" si="36"/>
        <v>#DIV/0!</v>
      </c>
      <c r="M175" s="326" t="str">
        <f>IF(H175="Yes",IF(D175='Drop Down'!$W$4,0.9*L175,IF(D175='Drop Down'!$W$5,0.9*L175,IF(D175='Drop Down'!$W$10,0.9*L175,IF(D175='Drop Down'!$W$16,0.9*L175,"No credit allowed.")))),"N/A")</f>
        <v>N/A</v>
      </c>
      <c r="N175" s="327" t="e">
        <f>IF($D$20="Space-By-Space (90.1-2013)",INDEX(LPD2013SS,MATCH('Interior Lighting'!D175,LightingSpaceType,0)*W175),INDEX(LPD2013WB,MATCH('Interior Lighting'!D175,LightingSpaceType,0)))</f>
        <v>#N/A</v>
      </c>
      <c r="O175" s="327">
        <f t="shared" si="37"/>
        <v>0</v>
      </c>
      <c r="P175" s="407" t="e">
        <f t="shared" si="27"/>
        <v>#N/A</v>
      </c>
      <c r="Q175" s="407" t="e">
        <f t="shared" si="38"/>
        <v>#N/A</v>
      </c>
      <c r="R175" s="407" t="e">
        <f t="shared" si="28"/>
        <v>#N/A</v>
      </c>
      <c r="S175" s="324">
        <f t="shared" si="29"/>
        <v>0</v>
      </c>
      <c r="T175" s="924" t="str">
        <f t="shared" si="30"/>
        <v/>
      </c>
      <c r="U175" s="1221" t="str">
        <f t="shared" si="39"/>
        <v/>
      </c>
      <c r="W175" s="1098">
        <f t="shared" si="31"/>
        <v>1</v>
      </c>
      <c r="X175" s="1098" t="e">
        <f>INDEX(OSReq,MATCH('Interior Lighting'!D175,LightingSpaceType,0))</f>
        <v>#N/A</v>
      </c>
      <c r="Y175" s="1098" t="e">
        <f t="shared" si="32"/>
        <v>#N/A</v>
      </c>
      <c r="Z175" s="1098" t="e">
        <f t="shared" si="33"/>
        <v>#N/A</v>
      </c>
      <c r="AA175" s="1098" t="e">
        <f>INDEX(Lookup!$O$9:$O$24,MATCH('Interior Lighting'!Z175,Lookup!$K$9:$K$24,0))</f>
        <v>#N/A</v>
      </c>
      <c r="AB175" s="1098" t="e">
        <f>IF(E175="A",INDEX(Lookup!$L$9:$L$24,MATCH(Z175,Lookup!$K$9:$K$24,0)),IF(E175="B",INDEX(Lookup!$M$9:$M$24,MATCH(Z175,Lookup!$K$9:$K$24,0)),IF(E175="C",INDEX(Lookup!$N$9:$N$24,MATCH(Z175,Lookup!$K$9:$K$24,0)),"N/A")))</f>
        <v>#N/A</v>
      </c>
    </row>
    <row r="176" spans="1:28">
      <c r="A176" s="1006"/>
      <c r="B176" s="69"/>
      <c r="C176" s="323"/>
      <c r="D176" s="323"/>
      <c r="E176" s="324" t="e">
        <f>INDEX(Lookup!$I$9:$I$24,MATCH('Interior Lighting'!D176,Lookup!$C$9:$C$24,0))</f>
        <v>#N/A</v>
      </c>
      <c r="F176" s="69"/>
      <c r="G176" s="69"/>
      <c r="H176" s="69"/>
      <c r="I176" s="324" t="e">
        <f t="shared" si="34"/>
        <v>#N/A</v>
      </c>
      <c r="J176" s="170"/>
      <c r="K176" s="325">
        <f t="shared" si="35"/>
        <v>0</v>
      </c>
      <c r="L176" s="326" t="e">
        <f t="shared" si="36"/>
        <v>#DIV/0!</v>
      </c>
      <c r="M176" s="326" t="str">
        <f>IF(H176="Yes",IF(D176='Drop Down'!$W$4,0.9*L176,IF(D176='Drop Down'!$W$5,0.9*L176,IF(D176='Drop Down'!$W$10,0.9*L176,IF(D176='Drop Down'!$W$16,0.9*L176,"No credit allowed.")))),"N/A")</f>
        <v>N/A</v>
      </c>
      <c r="N176" s="327" t="e">
        <f>IF($D$20="Space-By-Space (90.1-2013)",INDEX(LPD2013SS,MATCH('Interior Lighting'!D176,LightingSpaceType,0)*W176),INDEX(LPD2013WB,MATCH('Interior Lighting'!D176,LightingSpaceType,0)))</f>
        <v>#N/A</v>
      </c>
      <c r="O176" s="327">
        <f t="shared" si="37"/>
        <v>0</v>
      </c>
      <c r="P176" s="407" t="e">
        <f t="shared" si="27"/>
        <v>#N/A</v>
      </c>
      <c r="Q176" s="407" t="e">
        <f t="shared" si="38"/>
        <v>#N/A</v>
      </c>
      <c r="R176" s="407" t="e">
        <f t="shared" si="28"/>
        <v>#N/A</v>
      </c>
      <c r="S176" s="324">
        <f t="shared" si="29"/>
        <v>0</v>
      </c>
      <c r="T176" s="924" t="str">
        <f t="shared" si="30"/>
        <v/>
      </c>
      <c r="U176" s="1221" t="str">
        <f t="shared" si="39"/>
        <v/>
      </c>
      <c r="W176" s="1098">
        <f t="shared" si="31"/>
        <v>1</v>
      </c>
      <c r="X176" s="1098" t="e">
        <f>INDEX(OSReq,MATCH('Interior Lighting'!D176,LightingSpaceType,0))</f>
        <v>#N/A</v>
      </c>
      <c r="Y176" s="1098" t="e">
        <f t="shared" si="32"/>
        <v>#N/A</v>
      </c>
      <c r="Z176" s="1098" t="e">
        <f t="shared" si="33"/>
        <v>#N/A</v>
      </c>
      <c r="AA176" s="1098" t="e">
        <f>INDEX(Lookup!$O$9:$O$24,MATCH('Interior Lighting'!Z176,Lookup!$K$9:$K$24,0))</f>
        <v>#N/A</v>
      </c>
      <c r="AB176" s="1098" t="e">
        <f>IF(E176="A",INDEX(Lookup!$L$9:$L$24,MATCH(Z176,Lookup!$K$9:$K$24,0)),IF(E176="B",INDEX(Lookup!$M$9:$M$24,MATCH(Z176,Lookup!$K$9:$K$24,0)),IF(E176="C",INDEX(Lookup!$N$9:$N$24,MATCH(Z176,Lookup!$K$9:$K$24,0)),"N/A")))</f>
        <v>#N/A</v>
      </c>
    </row>
    <row r="177" spans="1:28">
      <c r="A177" s="1006"/>
      <c r="B177" s="69"/>
      <c r="C177" s="323"/>
      <c r="D177" s="323"/>
      <c r="E177" s="324" t="e">
        <f>INDEX(Lookup!$I$9:$I$24,MATCH('Interior Lighting'!D177,Lookup!$C$9:$C$24,0))</f>
        <v>#N/A</v>
      </c>
      <c r="F177" s="69"/>
      <c r="G177" s="69"/>
      <c r="H177" s="69"/>
      <c r="I177" s="324" t="e">
        <f t="shared" si="34"/>
        <v>#N/A</v>
      </c>
      <c r="J177" s="170"/>
      <c r="K177" s="325">
        <f t="shared" si="35"/>
        <v>0</v>
      </c>
      <c r="L177" s="326" t="e">
        <f t="shared" si="36"/>
        <v>#DIV/0!</v>
      </c>
      <c r="M177" s="326" t="str">
        <f>IF(H177="Yes",IF(D177='Drop Down'!$W$4,0.9*L177,IF(D177='Drop Down'!$W$5,0.9*L177,IF(D177='Drop Down'!$W$10,0.9*L177,IF(D177='Drop Down'!$W$16,0.9*L177,"No credit allowed.")))),"N/A")</f>
        <v>N/A</v>
      </c>
      <c r="N177" s="327" t="e">
        <f>IF($D$20="Space-By-Space (90.1-2013)",INDEX(LPD2013SS,MATCH('Interior Lighting'!D177,LightingSpaceType,0)*W177),INDEX(LPD2013WB,MATCH('Interior Lighting'!D177,LightingSpaceType,0)))</f>
        <v>#N/A</v>
      </c>
      <c r="O177" s="327">
        <f t="shared" si="37"/>
        <v>0</v>
      </c>
      <c r="P177" s="407" t="e">
        <f t="shared" si="27"/>
        <v>#N/A</v>
      </c>
      <c r="Q177" s="407" t="e">
        <f t="shared" si="38"/>
        <v>#N/A</v>
      </c>
      <c r="R177" s="407" t="e">
        <f t="shared" si="28"/>
        <v>#N/A</v>
      </c>
      <c r="S177" s="324">
        <f t="shared" si="29"/>
        <v>0</v>
      </c>
      <c r="T177" s="924" t="str">
        <f t="shared" si="30"/>
        <v/>
      </c>
      <c r="U177" s="1221" t="str">
        <f t="shared" si="39"/>
        <v/>
      </c>
      <c r="W177" s="1098">
        <f t="shared" si="31"/>
        <v>1</v>
      </c>
      <c r="X177" s="1098" t="e">
        <f>INDEX(OSReq,MATCH('Interior Lighting'!D177,LightingSpaceType,0))</f>
        <v>#N/A</v>
      </c>
      <c r="Y177" s="1098" t="e">
        <f t="shared" si="32"/>
        <v>#N/A</v>
      </c>
      <c r="Z177" s="1098" t="e">
        <f t="shared" si="33"/>
        <v>#N/A</v>
      </c>
      <c r="AA177" s="1098" t="e">
        <f>INDEX(Lookup!$O$9:$O$24,MATCH('Interior Lighting'!Z177,Lookup!$K$9:$K$24,0))</f>
        <v>#N/A</v>
      </c>
      <c r="AB177" s="1098" t="e">
        <f>IF(E177="A",INDEX(Lookup!$L$9:$L$24,MATCH(Z177,Lookup!$K$9:$K$24,0)),IF(E177="B",INDEX(Lookup!$M$9:$M$24,MATCH(Z177,Lookup!$K$9:$K$24,0)),IF(E177="C",INDEX(Lookup!$N$9:$N$24,MATCH(Z177,Lookup!$K$9:$K$24,0)),"N/A")))</f>
        <v>#N/A</v>
      </c>
    </row>
    <row r="178" spans="1:28">
      <c r="A178" s="1006"/>
      <c r="B178" s="69"/>
      <c r="C178" s="323"/>
      <c r="D178" s="323"/>
      <c r="E178" s="324" t="e">
        <f>INDEX(Lookup!$I$9:$I$24,MATCH('Interior Lighting'!D178,Lookup!$C$9:$C$24,0))</f>
        <v>#N/A</v>
      </c>
      <c r="F178" s="69"/>
      <c r="G178" s="69"/>
      <c r="H178" s="69"/>
      <c r="I178" s="324" t="e">
        <f t="shared" si="34"/>
        <v>#N/A</v>
      </c>
      <c r="J178" s="170"/>
      <c r="K178" s="325">
        <f t="shared" si="35"/>
        <v>0</v>
      </c>
      <c r="L178" s="326" t="e">
        <f t="shared" si="36"/>
        <v>#DIV/0!</v>
      </c>
      <c r="M178" s="326" t="str">
        <f>IF(H178="Yes",IF(D178='Drop Down'!$W$4,0.9*L178,IF(D178='Drop Down'!$W$5,0.9*L178,IF(D178='Drop Down'!$W$10,0.9*L178,IF(D178='Drop Down'!$W$16,0.9*L178,"No credit allowed.")))),"N/A")</f>
        <v>N/A</v>
      </c>
      <c r="N178" s="327" t="e">
        <f>IF($D$20="Space-By-Space (90.1-2013)",INDEX(LPD2013SS,MATCH('Interior Lighting'!D178,LightingSpaceType,0)*W178),INDEX(LPD2013WB,MATCH('Interior Lighting'!D178,LightingSpaceType,0)))</f>
        <v>#N/A</v>
      </c>
      <c r="O178" s="327">
        <f t="shared" si="37"/>
        <v>0</v>
      </c>
      <c r="P178" s="407" t="e">
        <f t="shared" si="27"/>
        <v>#N/A</v>
      </c>
      <c r="Q178" s="407" t="e">
        <f t="shared" si="38"/>
        <v>#N/A</v>
      </c>
      <c r="R178" s="407" t="e">
        <f t="shared" si="28"/>
        <v>#N/A</v>
      </c>
      <c r="S178" s="324">
        <f t="shared" si="29"/>
        <v>0</v>
      </c>
      <c r="T178" s="924" t="str">
        <f t="shared" si="30"/>
        <v/>
      </c>
      <c r="U178" s="1221" t="str">
        <f t="shared" si="39"/>
        <v/>
      </c>
      <c r="W178" s="1098">
        <f t="shared" si="31"/>
        <v>1</v>
      </c>
      <c r="X178" s="1098" t="e">
        <f>INDEX(OSReq,MATCH('Interior Lighting'!D178,LightingSpaceType,0))</f>
        <v>#N/A</v>
      </c>
      <c r="Y178" s="1098" t="e">
        <f t="shared" si="32"/>
        <v>#N/A</v>
      </c>
      <c r="Z178" s="1098" t="e">
        <f t="shared" si="33"/>
        <v>#N/A</v>
      </c>
      <c r="AA178" s="1098" t="e">
        <f>INDEX(Lookup!$O$9:$O$24,MATCH('Interior Lighting'!Z178,Lookup!$K$9:$K$24,0))</f>
        <v>#N/A</v>
      </c>
      <c r="AB178" s="1098" t="e">
        <f>IF(E178="A",INDEX(Lookup!$L$9:$L$24,MATCH(Z178,Lookup!$K$9:$K$24,0)),IF(E178="B",INDEX(Lookup!$M$9:$M$24,MATCH(Z178,Lookup!$K$9:$K$24,0)),IF(E178="C",INDEX(Lookup!$N$9:$N$24,MATCH(Z178,Lookup!$K$9:$K$24,0)),"N/A")))</f>
        <v>#N/A</v>
      </c>
    </row>
    <row r="179" spans="1:28">
      <c r="A179" s="1006"/>
      <c r="B179" s="69"/>
      <c r="C179" s="330"/>
      <c r="D179" s="323"/>
      <c r="E179" s="324" t="e">
        <f>INDEX(Lookup!$I$9:$I$24,MATCH('Interior Lighting'!D179,Lookup!$C$9:$C$24,0))</f>
        <v>#N/A</v>
      </c>
      <c r="F179" s="69"/>
      <c r="G179" s="69"/>
      <c r="H179" s="69"/>
      <c r="I179" s="324" t="e">
        <f t="shared" si="34"/>
        <v>#N/A</v>
      </c>
      <c r="J179" s="170"/>
      <c r="K179" s="325">
        <f t="shared" si="35"/>
        <v>0</v>
      </c>
      <c r="L179" s="326" t="e">
        <f t="shared" si="36"/>
        <v>#DIV/0!</v>
      </c>
      <c r="M179" s="326" t="str">
        <f>IF(H179="Yes",IF(D179='Drop Down'!$W$4,0.9*L179,IF(D179='Drop Down'!$W$5,0.9*L179,IF(D179='Drop Down'!$W$10,0.9*L179,IF(D179='Drop Down'!$W$16,0.9*L179,"No credit allowed.")))),"N/A")</f>
        <v>N/A</v>
      </c>
      <c r="N179" s="327" t="e">
        <f>IF($D$20="Space-By-Space (90.1-2013)",INDEX(LPD2013SS,MATCH('Interior Lighting'!D179,LightingSpaceType,0)*W179),INDEX(LPD2013WB,MATCH('Interior Lighting'!D179,LightingSpaceType,0)))</f>
        <v>#N/A</v>
      </c>
      <c r="O179" s="327">
        <f t="shared" si="37"/>
        <v>0</v>
      </c>
      <c r="P179" s="407" t="e">
        <f t="shared" si="27"/>
        <v>#N/A</v>
      </c>
      <c r="Q179" s="407" t="e">
        <f t="shared" si="38"/>
        <v>#N/A</v>
      </c>
      <c r="R179" s="407" t="e">
        <f t="shared" si="28"/>
        <v>#N/A</v>
      </c>
      <c r="S179" s="324">
        <f t="shared" si="29"/>
        <v>0</v>
      </c>
      <c r="T179" s="924" t="str">
        <f t="shared" si="30"/>
        <v/>
      </c>
      <c r="U179" s="1221" t="str">
        <f t="shared" si="39"/>
        <v/>
      </c>
      <c r="W179" s="1098">
        <f t="shared" si="31"/>
        <v>1</v>
      </c>
      <c r="X179" s="1098" t="e">
        <f>INDEX(OSReq,MATCH('Interior Lighting'!D179,LightingSpaceType,0))</f>
        <v>#N/A</v>
      </c>
      <c r="Y179" s="1098" t="e">
        <f t="shared" si="32"/>
        <v>#N/A</v>
      </c>
      <c r="Z179" s="1098" t="e">
        <f t="shared" si="33"/>
        <v>#N/A</v>
      </c>
      <c r="AA179" s="1098" t="e">
        <f>INDEX(Lookup!$O$9:$O$24,MATCH('Interior Lighting'!Z179,Lookup!$K$9:$K$24,0))</f>
        <v>#N/A</v>
      </c>
      <c r="AB179" s="1098" t="e">
        <f>IF(E179="A",INDEX(Lookup!$L$9:$L$24,MATCH(Z179,Lookup!$K$9:$K$24,0)),IF(E179="B",INDEX(Lookup!$M$9:$M$24,MATCH(Z179,Lookup!$K$9:$K$24,0)),IF(E179="C",INDEX(Lookup!$N$9:$N$24,MATCH(Z179,Lookup!$K$9:$K$24,0)),"N/A")))</f>
        <v>#N/A</v>
      </c>
    </row>
    <row r="180" spans="1:28">
      <c r="A180" s="1006"/>
      <c r="B180" s="69"/>
      <c r="C180" s="323"/>
      <c r="D180" s="323"/>
      <c r="E180" s="324" t="e">
        <f>INDEX(Lookup!$I$9:$I$24,MATCH('Interior Lighting'!D180,Lookup!$C$9:$C$24,0))</f>
        <v>#N/A</v>
      </c>
      <c r="F180" s="69"/>
      <c r="G180" s="69"/>
      <c r="H180" s="69"/>
      <c r="I180" s="324" t="e">
        <f t="shared" si="34"/>
        <v>#N/A</v>
      </c>
      <c r="J180" s="170"/>
      <c r="K180" s="325">
        <f t="shared" si="35"/>
        <v>0</v>
      </c>
      <c r="L180" s="326" t="e">
        <f t="shared" si="36"/>
        <v>#DIV/0!</v>
      </c>
      <c r="M180" s="326" t="str">
        <f>IF(H180="Yes",IF(D180='Drop Down'!$W$4,0.9*L180,IF(D180='Drop Down'!$W$5,0.9*L180,IF(D180='Drop Down'!$W$10,0.9*L180,IF(D180='Drop Down'!$W$16,0.9*L180,"No credit allowed.")))),"N/A")</f>
        <v>N/A</v>
      </c>
      <c r="N180" s="327" t="e">
        <f>IF($D$20="Space-By-Space (90.1-2013)",INDEX(LPD2013SS,MATCH('Interior Lighting'!D180,LightingSpaceType,0)*W180),INDEX(LPD2013WB,MATCH('Interior Lighting'!D180,LightingSpaceType,0)))</f>
        <v>#N/A</v>
      </c>
      <c r="O180" s="327">
        <f t="shared" si="37"/>
        <v>0</v>
      </c>
      <c r="P180" s="407" t="e">
        <f t="shared" si="27"/>
        <v>#N/A</v>
      </c>
      <c r="Q180" s="407" t="e">
        <f t="shared" si="38"/>
        <v>#N/A</v>
      </c>
      <c r="R180" s="407" t="e">
        <f t="shared" si="28"/>
        <v>#N/A</v>
      </c>
      <c r="S180" s="324">
        <f t="shared" si="29"/>
        <v>0</v>
      </c>
      <c r="T180" s="924" t="str">
        <f t="shared" si="30"/>
        <v/>
      </c>
      <c r="U180" s="1221" t="str">
        <f t="shared" si="39"/>
        <v/>
      </c>
      <c r="W180" s="1098">
        <f t="shared" si="31"/>
        <v>1</v>
      </c>
      <c r="X180" s="1098" t="e">
        <f>INDEX(OSReq,MATCH('Interior Lighting'!D180,LightingSpaceType,0))</f>
        <v>#N/A</v>
      </c>
      <c r="Y180" s="1098" t="e">
        <f t="shared" si="32"/>
        <v>#N/A</v>
      </c>
      <c r="Z180" s="1098" t="e">
        <f t="shared" si="33"/>
        <v>#N/A</v>
      </c>
      <c r="AA180" s="1098" t="e">
        <f>INDEX(Lookup!$O$9:$O$24,MATCH('Interior Lighting'!Z180,Lookup!$K$9:$K$24,0))</f>
        <v>#N/A</v>
      </c>
      <c r="AB180" s="1098" t="e">
        <f>IF(E180="A",INDEX(Lookup!$L$9:$L$24,MATCH(Z180,Lookup!$K$9:$K$24,0)),IF(E180="B",INDEX(Lookup!$M$9:$M$24,MATCH(Z180,Lookup!$K$9:$K$24,0)),IF(E180="C",INDEX(Lookup!$N$9:$N$24,MATCH(Z180,Lookup!$K$9:$K$24,0)),"N/A")))</f>
        <v>#N/A</v>
      </c>
    </row>
    <row r="181" spans="1:28">
      <c r="A181" s="1006"/>
      <c r="B181" s="69"/>
      <c r="C181" s="323"/>
      <c r="D181" s="323"/>
      <c r="E181" s="324" t="e">
        <f>INDEX(Lookup!$I$9:$I$24,MATCH('Interior Lighting'!D181,Lookup!$C$9:$C$24,0))</f>
        <v>#N/A</v>
      </c>
      <c r="F181" s="69"/>
      <c r="G181" s="69"/>
      <c r="H181" s="69"/>
      <c r="I181" s="324" t="e">
        <f t="shared" si="34"/>
        <v>#N/A</v>
      </c>
      <c r="J181" s="170"/>
      <c r="K181" s="325">
        <f t="shared" si="35"/>
        <v>0</v>
      </c>
      <c r="L181" s="326" t="e">
        <f t="shared" si="36"/>
        <v>#DIV/0!</v>
      </c>
      <c r="M181" s="326" t="str">
        <f>IF(H181="Yes",IF(D181='Drop Down'!$W$4,0.9*L181,IF(D181='Drop Down'!$W$5,0.9*L181,IF(D181='Drop Down'!$W$10,0.9*L181,IF(D181='Drop Down'!$W$16,0.9*L181,"No credit allowed.")))),"N/A")</f>
        <v>N/A</v>
      </c>
      <c r="N181" s="327" t="e">
        <f>IF($D$20="Space-By-Space (90.1-2013)",INDEX(LPD2013SS,MATCH('Interior Lighting'!D181,LightingSpaceType,0)*W181),INDEX(LPD2013WB,MATCH('Interior Lighting'!D181,LightingSpaceType,0)))</f>
        <v>#N/A</v>
      </c>
      <c r="O181" s="327">
        <f t="shared" si="37"/>
        <v>0</v>
      </c>
      <c r="P181" s="407" t="e">
        <f t="shared" si="27"/>
        <v>#N/A</v>
      </c>
      <c r="Q181" s="407" t="e">
        <f t="shared" si="38"/>
        <v>#N/A</v>
      </c>
      <c r="R181" s="407" t="e">
        <f t="shared" si="28"/>
        <v>#N/A</v>
      </c>
      <c r="S181" s="324">
        <f t="shared" si="29"/>
        <v>0</v>
      </c>
      <c r="T181" s="924" t="str">
        <f t="shared" si="30"/>
        <v/>
      </c>
      <c r="U181" s="1221" t="str">
        <f t="shared" si="39"/>
        <v/>
      </c>
      <c r="W181" s="1098">
        <f t="shared" si="31"/>
        <v>1</v>
      </c>
      <c r="X181" s="1098" t="e">
        <f>INDEX(OSReq,MATCH('Interior Lighting'!D181,LightingSpaceType,0))</f>
        <v>#N/A</v>
      </c>
      <c r="Y181" s="1098" t="e">
        <f t="shared" si="32"/>
        <v>#N/A</v>
      </c>
      <c r="Z181" s="1098" t="e">
        <f t="shared" si="33"/>
        <v>#N/A</v>
      </c>
      <c r="AA181" s="1098" t="e">
        <f>INDEX(Lookup!$O$9:$O$24,MATCH('Interior Lighting'!Z181,Lookup!$K$9:$K$24,0))</f>
        <v>#N/A</v>
      </c>
      <c r="AB181" s="1098" t="e">
        <f>IF(E181="A",INDEX(Lookup!$L$9:$L$24,MATCH(Z181,Lookup!$K$9:$K$24,0)),IF(E181="B",INDEX(Lookup!$M$9:$M$24,MATCH(Z181,Lookup!$K$9:$K$24,0)),IF(E181="C",INDEX(Lookup!$N$9:$N$24,MATCH(Z181,Lookup!$K$9:$K$24,0)),"N/A")))</f>
        <v>#N/A</v>
      </c>
    </row>
    <row r="182" spans="1:28">
      <c r="A182" s="1006"/>
      <c r="B182" s="69"/>
      <c r="C182" s="323"/>
      <c r="D182" s="323"/>
      <c r="E182" s="324" t="e">
        <f>INDEX(Lookup!$I$9:$I$24,MATCH('Interior Lighting'!D182,Lookup!$C$9:$C$24,0))</f>
        <v>#N/A</v>
      </c>
      <c r="F182" s="69"/>
      <c r="G182" s="69"/>
      <c r="H182" s="69"/>
      <c r="I182" s="324" t="e">
        <f t="shared" si="34"/>
        <v>#N/A</v>
      </c>
      <c r="J182" s="170"/>
      <c r="K182" s="325">
        <f t="shared" si="35"/>
        <v>0</v>
      </c>
      <c r="L182" s="326" t="e">
        <f t="shared" si="36"/>
        <v>#DIV/0!</v>
      </c>
      <c r="M182" s="326" t="str">
        <f>IF(H182="Yes",IF(D182='Drop Down'!$W$4,0.9*L182,IF(D182='Drop Down'!$W$5,0.9*L182,IF(D182='Drop Down'!$W$10,0.9*L182,IF(D182='Drop Down'!$W$16,0.9*L182,"No credit allowed.")))),"N/A")</f>
        <v>N/A</v>
      </c>
      <c r="N182" s="327" t="e">
        <f>IF($D$20="Space-By-Space (90.1-2013)",INDEX(LPD2013SS,MATCH('Interior Lighting'!D182,LightingSpaceType,0)*W182),INDEX(LPD2013WB,MATCH('Interior Lighting'!D182,LightingSpaceType,0)))</f>
        <v>#N/A</v>
      </c>
      <c r="O182" s="327">
        <f t="shared" si="37"/>
        <v>0</v>
      </c>
      <c r="P182" s="407" t="e">
        <f t="shared" si="27"/>
        <v>#N/A</v>
      </c>
      <c r="Q182" s="407" t="e">
        <f t="shared" si="38"/>
        <v>#N/A</v>
      </c>
      <c r="R182" s="407" t="e">
        <f t="shared" si="28"/>
        <v>#N/A</v>
      </c>
      <c r="S182" s="324">
        <f t="shared" si="29"/>
        <v>0</v>
      </c>
      <c r="T182" s="924" t="str">
        <f t="shared" si="30"/>
        <v/>
      </c>
      <c r="U182" s="1221" t="str">
        <f t="shared" si="39"/>
        <v/>
      </c>
      <c r="W182" s="1098">
        <f t="shared" si="31"/>
        <v>1</v>
      </c>
      <c r="X182" s="1098" t="e">
        <f>INDEX(OSReq,MATCH('Interior Lighting'!D182,LightingSpaceType,0))</f>
        <v>#N/A</v>
      </c>
      <c r="Y182" s="1098" t="e">
        <f t="shared" si="32"/>
        <v>#N/A</v>
      </c>
      <c r="Z182" s="1098" t="e">
        <f t="shared" si="33"/>
        <v>#N/A</v>
      </c>
      <c r="AA182" s="1098" t="e">
        <f>INDEX(Lookup!$O$9:$O$24,MATCH('Interior Lighting'!Z182,Lookup!$K$9:$K$24,0))</f>
        <v>#N/A</v>
      </c>
      <c r="AB182" s="1098" t="e">
        <f>IF(E182="A",INDEX(Lookup!$L$9:$L$24,MATCH(Z182,Lookup!$K$9:$K$24,0)),IF(E182="B",INDEX(Lookup!$M$9:$M$24,MATCH(Z182,Lookup!$K$9:$K$24,0)),IF(E182="C",INDEX(Lookup!$N$9:$N$24,MATCH(Z182,Lookup!$K$9:$K$24,0)),"N/A")))</f>
        <v>#N/A</v>
      </c>
    </row>
    <row r="183" spans="1:28">
      <c r="A183" s="1006"/>
      <c r="B183" s="69"/>
      <c r="C183" s="323"/>
      <c r="D183" s="323"/>
      <c r="E183" s="324" t="e">
        <f>INDEX(Lookup!$I$9:$I$24,MATCH('Interior Lighting'!D183,Lookup!$C$9:$C$24,0))</f>
        <v>#N/A</v>
      </c>
      <c r="F183" s="69"/>
      <c r="G183" s="69"/>
      <c r="H183" s="69"/>
      <c r="I183" s="324" t="e">
        <f t="shared" si="34"/>
        <v>#N/A</v>
      </c>
      <c r="J183" s="170"/>
      <c r="K183" s="325">
        <f t="shared" si="35"/>
        <v>0</v>
      </c>
      <c r="L183" s="326" t="e">
        <f t="shared" si="36"/>
        <v>#DIV/0!</v>
      </c>
      <c r="M183" s="326" t="str">
        <f>IF(H183="Yes",IF(D183='Drop Down'!$W$4,0.9*L183,IF(D183='Drop Down'!$W$5,0.9*L183,IF(D183='Drop Down'!$W$10,0.9*L183,IF(D183='Drop Down'!$W$16,0.9*L183,"No credit allowed.")))),"N/A")</f>
        <v>N/A</v>
      </c>
      <c r="N183" s="327" t="e">
        <f>IF($D$20="Space-By-Space (90.1-2013)",INDEX(LPD2013SS,MATCH('Interior Lighting'!D183,LightingSpaceType,0)*W183),INDEX(LPD2013WB,MATCH('Interior Lighting'!D183,LightingSpaceType,0)))</f>
        <v>#N/A</v>
      </c>
      <c r="O183" s="327">
        <f t="shared" si="37"/>
        <v>0</v>
      </c>
      <c r="P183" s="407" t="e">
        <f t="shared" si="27"/>
        <v>#N/A</v>
      </c>
      <c r="Q183" s="407" t="e">
        <f t="shared" si="38"/>
        <v>#N/A</v>
      </c>
      <c r="R183" s="407" t="e">
        <f t="shared" si="28"/>
        <v>#N/A</v>
      </c>
      <c r="S183" s="324">
        <f t="shared" si="29"/>
        <v>0</v>
      </c>
      <c r="T183" s="924" t="str">
        <f t="shared" si="30"/>
        <v/>
      </c>
      <c r="U183" s="1221" t="str">
        <f t="shared" si="39"/>
        <v/>
      </c>
      <c r="W183" s="1098">
        <f t="shared" si="31"/>
        <v>1</v>
      </c>
      <c r="X183" s="1098" t="e">
        <f>INDEX(OSReq,MATCH('Interior Lighting'!D183,LightingSpaceType,0))</f>
        <v>#N/A</v>
      </c>
      <c r="Y183" s="1098" t="e">
        <f t="shared" si="32"/>
        <v>#N/A</v>
      </c>
      <c r="Z183" s="1098" t="e">
        <f t="shared" si="33"/>
        <v>#N/A</v>
      </c>
      <c r="AA183" s="1098" t="e">
        <f>INDEX(Lookup!$O$9:$O$24,MATCH('Interior Lighting'!Z183,Lookup!$K$9:$K$24,0))</f>
        <v>#N/A</v>
      </c>
      <c r="AB183" s="1098" t="e">
        <f>IF(E183="A",INDEX(Lookup!$L$9:$L$24,MATCH(Z183,Lookup!$K$9:$K$24,0)),IF(E183="B",INDEX(Lookup!$M$9:$M$24,MATCH(Z183,Lookup!$K$9:$K$24,0)),IF(E183="C",INDEX(Lookup!$N$9:$N$24,MATCH(Z183,Lookup!$K$9:$K$24,0)),"N/A")))</f>
        <v>#N/A</v>
      </c>
    </row>
    <row r="184" spans="1:28">
      <c r="A184" s="1006"/>
      <c r="B184" s="69"/>
      <c r="C184" s="323"/>
      <c r="D184" s="323"/>
      <c r="E184" s="324" t="e">
        <f>INDEX(Lookup!$I$9:$I$24,MATCH('Interior Lighting'!D184,Lookup!$C$9:$C$24,0))</f>
        <v>#N/A</v>
      </c>
      <c r="F184" s="69"/>
      <c r="G184" s="69"/>
      <c r="H184" s="69"/>
      <c r="I184" s="324" t="e">
        <f t="shared" si="34"/>
        <v>#N/A</v>
      </c>
      <c r="J184" s="170"/>
      <c r="K184" s="325">
        <f t="shared" si="35"/>
        <v>0</v>
      </c>
      <c r="L184" s="326" t="e">
        <f t="shared" si="36"/>
        <v>#DIV/0!</v>
      </c>
      <c r="M184" s="326" t="str">
        <f>IF(H184="Yes",IF(D184='Drop Down'!$W$4,0.9*L184,IF(D184='Drop Down'!$W$5,0.9*L184,IF(D184='Drop Down'!$W$10,0.9*L184,IF(D184='Drop Down'!$W$16,0.9*L184,"No credit allowed.")))),"N/A")</f>
        <v>N/A</v>
      </c>
      <c r="N184" s="327" t="e">
        <f>IF($D$20="Space-By-Space (90.1-2013)",INDEX(LPD2013SS,MATCH('Interior Lighting'!D184,LightingSpaceType,0)*W184),INDEX(LPD2013WB,MATCH('Interior Lighting'!D184,LightingSpaceType,0)))</f>
        <v>#N/A</v>
      </c>
      <c r="O184" s="327">
        <f t="shared" si="37"/>
        <v>0</v>
      </c>
      <c r="P184" s="407" t="e">
        <f t="shared" si="27"/>
        <v>#N/A</v>
      </c>
      <c r="Q184" s="407" t="e">
        <f t="shared" si="38"/>
        <v>#N/A</v>
      </c>
      <c r="R184" s="407" t="e">
        <f t="shared" si="28"/>
        <v>#N/A</v>
      </c>
      <c r="S184" s="324">
        <f t="shared" si="29"/>
        <v>0</v>
      </c>
      <c r="T184" s="924" t="str">
        <f t="shared" si="30"/>
        <v/>
      </c>
      <c r="U184" s="1221" t="str">
        <f t="shared" si="39"/>
        <v/>
      </c>
      <c r="W184" s="1098">
        <f t="shared" si="31"/>
        <v>1</v>
      </c>
      <c r="X184" s="1098" t="e">
        <f>INDEX(OSReq,MATCH('Interior Lighting'!D184,LightingSpaceType,0))</f>
        <v>#N/A</v>
      </c>
      <c r="Y184" s="1098" t="e">
        <f t="shared" si="32"/>
        <v>#N/A</v>
      </c>
      <c r="Z184" s="1098" t="e">
        <f t="shared" si="33"/>
        <v>#N/A</v>
      </c>
      <c r="AA184" s="1098" t="e">
        <f>INDEX(Lookup!$O$9:$O$24,MATCH('Interior Lighting'!Z184,Lookup!$K$9:$K$24,0))</f>
        <v>#N/A</v>
      </c>
      <c r="AB184" s="1098" t="e">
        <f>IF(E184="A",INDEX(Lookup!$L$9:$L$24,MATCH(Z184,Lookup!$K$9:$K$24,0)),IF(E184="B",INDEX(Lookup!$M$9:$M$24,MATCH(Z184,Lookup!$K$9:$K$24,0)),IF(E184="C",INDEX(Lookup!$N$9:$N$24,MATCH(Z184,Lookup!$K$9:$K$24,0)),"N/A")))</f>
        <v>#N/A</v>
      </c>
    </row>
    <row r="185" spans="1:28">
      <c r="A185" s="1006"/>
      <c r="B185" s="69"/>
      <c r="C185" s="330"/>
      <c r="D185" s="323"/>
      <c r="E185" s="324" t="e">
        <f>INDEX(Lookup!$I$9:$I$24,MATCH('Interior Lighting'!D185,Lookup!$C$9:$C$24,0))</f>
        <v>#N/A</v>
      </c>
      <c r="F185" s="69"/>
      <c r="G185" s="69"/>
      <c r="H185" s="69"/>
      <c r="I185" s="324" t="e">
        <f t="shared" si="34"/>
        <v>#N/A</v>
      </c>
      <c r="J185" s="170"/>
      <c r="K185" s="325">
        <f t="shared" si="35"/>
        <v>0</v>
      </c>
      <c r="L185" s="326" t="e">
        <f t="shared" si="36"/>
        <v>#DIV/0!</v>
      </c>
      <c r="M185" s="326" t="str">
        <f>IF(H185="Yes",IF(D185='Drop Down'!$W$4,0.9*L185,IF(D185='Drop Down'!$W$5,0.9*L185,IF(D185='Drop Down'!$W$10,0.9*L185,IF(D185='Drop Down'!$W$16,0.9*L185,"No credit allowed.")))),"N/A")</f>
        <v>N/A</v>
      </c>
      <c r="N185" s="327" t="e">
        <f>IF($D$20="Space-By-Space (90.1-2013)",INDEX(LPD2013SS,MATCH('Interior Lighting'!D185,LightingSpaceType,0)*W185),INDEX(LPD2013WB,MATCH('Interior Lighting'!D185,LightingSpaceType,0)))</f>
        <v>#N/A</v>
      </c>
      <c r="O185" s="327">
        <f t="shared" si="37"/>
        <v>0</v>
      </c>
      <c r="P185" s="407" t="e">
        <f t="shared" si="27"/>
        <v>#N/A</v>
      </c>
      <c r="Q185" s="407" t="e">
        <f t="shared" si="38"/>
        <v>#N/A</v>
      </c>
      <c r="R185" s="407" t="e">
        <f t="shared" si="28"/>
        <v>#N/A</v>
      </c>
      <c r="S185" s="324">
        <f t="shared" si="29"/>
        <v>0</v>
      </c>
      <c r="T185" s="924" t="str">
        <f t="shared" si="30"/>
        <v/>
      </c>
      <c r="U185" s="1221" t="str">
        <f t="shared" si="39"/>
        <v/>
      </c>
      <c r="W185" s="1098">
        <f t="shared" si="31"/>
        <v>1</v>
      </c>
      <c r="X185" s="1098" t="e">
        <f>INDEX(OSReq,MATCH('Interior Lighting'!D185,LightingSpaceType,0))</f>
        <v>#N/A</v>
      </c>
      <c r="Y185" s="1098" t="e">
        <f t="shared" si="32"/>
        <v>#N/A</v>
      </c>
      <c r="Z185" s="1098" t="e">
        <f t="shared" si="33"/>
        <v>#N/A</v>
      </c>
      <c r="AA185" s="1098" t="e">
        <f>INDEX(Lookup!$O$9:$O$24,MATCH('Interior Lighting'!Z185,Lookup!$K$9:$K$24,0))</f>
        <v>#N/A</v>
      </c>
      <c r="AB185" s="1098" t="e">
        <f>IF(E185="A",INDEX(Lookup!$L$9:$L$24,MATCH(Z185,Lookup!$K$9:$K$24,0)),IF(E185="B",INDEX(Lookup!$M$9:$M$24,MATCH(Z185,Lookup!$K$9:$K$24,0)),IF(E185="C",INDEX(Lookup!$N$9:$N$24,MATCH(Z185,Lookup!$K$9:$K$24,0)),"N/A")))</f>
        <v>#N/A</v>
      </c>
    </row>
    <row r="186" spans="1:28">
      <c r="A186" s="1006"/>
      <c r="B186" s="69"/>
      <c r="C186" s="323"/>
      <c r="D186" s="323"/>
      <c r="E186" s="324" t="e">
        <f>INDEX(Lookup!$I$9:$I$24,MATCH('Interior Lighting'!D186,Lookup!$C$9:$C$24,0))</f>
        <v>#N/A</v>
      </c>
      <c r="F186" s="69"/>
      <c r="G186" s="69"/>
      <c r="H186" s="69"/>
      <c r="I186" s="324" t="e">
        <f t="shared" si="34"/>
        <v>#N/A</v>
      </c>
      <c r="J186" s="170"/>
      <c r="K186" s="325">
        <f t="shared" si="35"/>
        <v>0</v>
      </c>
      <c r="L186" s="326" t="e">
        <f t="shared" si="36"/>
        <v>#DIV/0!</v>
      </c>
      <c r="M186" s="326" t="str">
        <f>IF(H186="Yes",IF(D186='Drop Down'!$W$4,0.9*L186,IF(D186='Drop Down'!$W$5,0.9*L186,IF(D186='Drop Down'!$W$10,0.9*L186,IF(D186='Drop Down'!$W$16,0.9*L186,"No credit allowed.")))),"N/A")</f>
        <v>N/A</v>
      </c>
      <c r="N186" s="327" t="e">
        <f>IF($D$20="Space-By-Space (90.1-2013)",INDEX(LPD2013SS,MATCH('Interior Lighting'!D186,LightingSpaceType,0)*W186),INDEX(LPD2013WB,MATCH('Interior Lighting'!D186,LightingSpaceType,0)))</f>
        <v>#N/A</v>
      </c>
      <c r="O186" s="327">
        <f t="shared" si="37"/>
        <v>0</v>
      </c>
      <c r="P186" s="407" t="e">
        <f t="shared" si="27"/>
        <v>#N/A</v>
      </c>
      <c r="Q186" s="407" t="e">
        <f t="shared" si="38"/>
        <v>#N/A</v>
      </c>
      <c r="R186" s="407" t="e">
        <f t="shared" si="28"/>
        <v>#N/A</v>
      </c>
      <c r="S186" s="324">
        <f t="shared" si="29"/>
        <v>0</v>
      </c>
      <c r="T186" s="924" t="str">
        <f t="shared" si="30"/>
        <v/>
      </c>
      <c r="U186" s="1221" t="str">
        <f t="shared" si="39"/>
        <v/>
      </c>
      <c r="W186" s="1098">
        <f t="shared" si="31"/>
        <v>1</v>
      </c>
      <c r="X186" s="1098" t="e">
        <f>INDEX(OSReq,MATCH('Interior Lighting'!D186,LightingSpaceType,0))</f>
        <v>#N/A</v>
      </c>
      <c r="Y186" s="1098" t="e">
        <f t="shared" si="32"/>
        <v>#N/A</v>
      </c>
      <c r="Z186" s="1098" t="e">
        <f t="shared" si="33"/>
        <v>#N/A</v>
      </c>
      <c r="AA186" s="1098" t="e">
        <f>INDEX(Lookup!$O$9:$O$24,MATCH('Interior Lighting'!Z186,Lookup!$K$9:$K$24,0))</f>
        <v>#N/A</v>
      </c>
      <c r="AB186" s="1098" t="e">
        <f>IF(E186="A",INDEX(Lookup!$L$9:$L$24,MATCH(Z186,Lookup!$K$9:$K$24,0)),IF(E186="B",INDEX(Lookup!$M$9:$M$24,MATCH(Z186,Lookup!$K$9:$K$24,0)),IF(E186="C",INDEX(Lookup!$N$9:$N$24,MATCH(Z186,Lookup!$K$9:$K$24,0)),"N/A")))</f>
        <v>#N/A</v>
      </c>
    </row>
    <row r="187" spans="1:28">
      <c r="A187" s="1006"/>
      <c r="B187" s="69"/>
      <c r="C187" s="323"/>
      <c r="D187" s="323"/>
      <c r="E187" s="324" t="e">
        <f>INDEX(Lookup!$I$9:$I$24,MATCH('Interior Lighting'!D187,Lookup!$C$9:$C$24,0))</f>
        <v>#N/A</v>
      </c>
      <c r="F187" s="69"/>
      <c r="G187" s="69"/>
      <c r="H187" s="69"/>
      <c r="I187" s="324" t="e">
        <f t="shared" si="34"/>
        <v>#N/A</v>
      </c>
      <c r="J187" s="170"/>
      <c r="K187" s="325">
        <f t="shared" si="35"/>
        <v>0</v>
      </c>
      <c r="L187" s="326" t="e">
        <f t="shared" si="36"/>
        <v>#DIV/0!</v>
      </c>
      <c r="M187" s="326" t="str">
        <f>IF(H187="Yes",IF(D187='Drop Down'!$W$4,0.9*L187,IF(D187='Drop Down'!$W$5,0.9*L187,IF(D187='Drop Down'!$W$10,0.9*L187,IF(D187='Drop Down'!$W$16,0.9*L187,"No credit allowed.")))),"N/A")</f>
        <v>N/A</v>
      </c>
      <c r="N187" s="327" t="e">
        <f>IF($D$20="Space-By-Space (90.1-2013)",INDEX(LPD2013SS,MATCH('Interior Lighting'!D187,LightingSpaceType,0)*W187),INDEX(LPD2013WB,MATCH('Interior Lighting'!D187,LightingSpaceType,0)))</f>
        <v>#N/A</v>
      </c>
      <c r="O187" s="327">
        <f t="shared" si="37"/>
        <v>0</v>
      </c>
      <c r="P187" s="407" t="e">
        <f t="shared" si="27"/>
        <v>#N/A</v>
      </c>
      <c r="Q187" s="407" t="e">
        <f t="shared" si="38"/>
        <v>#N/A</v>
      </c>
      <c r="R187" s="407" t="e">
        <f t="shared" si="28"/>
        <v>#N/A</v>
      </c>
      <c r="S187" s="324">
        <f t="shared" si="29"/>
        <v>0</v>
      </c>
      <c r="T187" s="924" t="str">
        <f t="shared" si="30"/>
        <v/>
      </c>
      <c r="U187" s="1221" t="str">
        <f t="shared" si="39"/>
        <v/>
      </c>
      <c r="W187" s="1098">
        <f t="shared" si="31"/>
        <v>1</v>
      </c>
      <c r="X187" s="1098" t="e">
        <f>INDEX(OSReq,MATCH('Interior Lighting'!D187,LightingSpaceType,0))</f>
        <v>#N/A</v>
      </c>
      <c r="Y187" s="1098" t="e">
        <f t="shared" si="32"/>
        <v>#N/A</v>
      </c>
      <c r="Z187" s="1098" t="e">
        <f t="shared" si="33"/>
        <v>#N/A</v>
      </c>
      <c r="AA187" s="1098" t="e">
        <f>INDEX(Lookup!$O$9:$O$24,MATCH('Interior Lighting'!Z187,Lookup!$K$9:$K$24,0))</f>
        <v>#N/A</v>
      </c>
      <c r="AB187" s="1098" t="e">
        <f>IF(E187="A",INDEX(Lookup!$L$9:$L$24,MATCH(Z187,Lookup!$K$9:$K$24,0)),IF(E187="B",INDEX(Lookup!$M$9:$M$24,MATCH(Z187,Lookup!$K$9:$K$24,0)),IF(E187="C",INDEX(Lookup!$N$9:$N$24,MATCH(Z187,Lookup!$K$9:$K$24,0)),"N/A")))</f>
        <v>#N/A</v>
      </c>
    </row>
    <row r="188" spans="1:28">
      <c r="A188" s="1006"/>
      <c r="B188" s="69"/>
      <c r="C188" s="323"/>
      <c r="D188" s="323"/>
      <c r="E188" s="324" t="e">
        <f>INDEX(Lookup!$I$9:$I$24,MATCH('Interior Lighting'!D188,Lookup!$C$9:$C$24,0))</f>
        <v>#N/A</v>
      </c>
      <c r="F188" s="69"/>
      <c r="G188" s="69"/>
      <c r="H188" s="69"/>
      <c r="I188" s="324" t="e">
        <f t="shared" si="34"/>
        <v>#N/A</v>
      </c>
      <c r="J188" s="170"/>
      <c r="K188" s="325">
        <f t="shared" si="35"/>
        <v>0</v>
      </c>
      <c r="L188" s="326" t="e">
        <f t="shared" si="36"/>
        <v>#DIV/0!</v>
      </c>
      <c r="M188" s="326" t="str">
        <f>IF(H188="Yes",IF(D188='Drop Down'!$W$4,0.9*L188,IF(D188='Drop Down'!$W$5,0.9*L188,IF(D188='Drop Down'!$W$10,0.9*L188,IF(D188='Drop Down'!$W$16,0.9*L188,"No credit allowed.")))),"N/A")</f>
        <v>N/A</v>
      </c>
      <c r="N188" s="327" t="e">
        <f>IF($D$20="Space-By-Space (90.1-2013)",INDEX(LPD2013SS,MATCH('Interior Lighting'!D188,LightingSpaceType,0)*W188),INDEX(LPD2013WB,MATCH('Interior Lighting'!D188,LightingSpaceType,0)))</f>
        <v>#N/A</v>
      </c>
      <c r="O188" s="327">
        <f t="shared" si="37"/>
        <v>0</v>
      </c>
      <c r="P188" s="407" t="e">
        <f t="shared" si="27"/>
        <v>#N/A</v>
      </c>
      <c r="Q188" s="407" t="e">
        <f t="shared" si="38"/>
        <v>#N/A</v>
      </c>
      <c r="R188" s="407" t="e">
        <f t="shared" si="28"/>
        <v>#N/A</v>
      </c>
      <c r="S188" s="324">
        <f t="shared" si="29"/>
        <v>0</v>
      </c>
      <c r="T188" s="924" t="str">
        <f t="shared" si="30"/>
        <v/>
      </c>
      <c r="U188" s="1221" t="str">
        <f t="shared" si="39"/>
        <v/>
      </c>
      <c r="W188" s="1098">
        <f t="shared" si="31"/>
        <v>1</v>
      </c>
      <c r="X188" s="1098" t="e">
        <f>INDEX(OSReq,MATCH('Interior Lighting'!D188,LightingSpaceType,0))</f>
        <v>#N/A</v>
      </c>
      <c r="Y188" s="1098" t="e">
        <f t="shared" si="32"/>
        <v>#N/A</v>
      </c>
      <c r="Z188" s="1098" t="e">
        <f t="shared" si="33"/>
        <v>#N/A</v>
      </c>
      <c r="AA188" s="1098" t="e">
        <f>INDEX(Lookup!$O$9:$O$24,MATCH('Interior Lighting'!Z188,Lookup!$K$9:$K$24,0))</f>
        <v>#N/A</v>
      </c>
      <c r="AB188" s="1098" t="e">
        <f>IF(E188="A",INDEX(Lookup!$L$9:$L$24,MATCH(Z188,Lookup!$K$9:$K$24,0)),IF(E188="B",INDEX(Lookup!$M$9:$M$24,MATCH(Z188,Lookup!$K$9:$K$24,0)),IF(E188="C",INDEX(Lookup!$N$9:$N$24,MATCH(Z188,Lookup!$K$9:$K$24,0)),"N/A")))</f>
        <v>#N/A</v>
      </c>
    </row>
    <row r="189" spans="1:28">
      <c r="A189" s="1006"/>
      <c r="B189" s="69"/>
      <c r="C189" s="323"/>
      <c r="D189" s="323"/>
      <c r="E189" s="324" t="e">
        <f>INDEX(Lookup!$I$9:$I$24,MATCH('Interior Lighting'!D189,Lookup!$C$9:$C$24,0))</f>
        <v>#N/A</v>
      </c>
      <c r="F189" s="69"/>
      <c r="G189" s="69"/>
      <c r="H189" s="69"/>
      <c r="I189" s="324" t="e">
        <f t="shared" si="34"/>
        <v>#N/A</v>
      </c>
      <c r="J189" s="170"/>
      <c r="K189" s="325">
        <f t="shared" si="35"/>
        <v>0</v>
      </c>
      <c r="L189" s="326" t="e">
        <f t="shared" si="36"/>
        <v>#DIV/0!</v>
      </c>
      <c r="M189" s="326" t="str">
        <f>IF(H189="Yes",IF(D189='Drop Down'!$W$4,0.9*L189,IF(D189='Drop Down'!$W$5,0.9*L189,IF(D189='Drop Down'!$W$10,0.9*L189,IF(D189='Drop Down'!$W$16,0.9*L189,"No credit allowed.")))),"N/A")</f>
        <v>N/A</v>
      </c>
      <c r="N189" s="327" t="e">
        <f>IF($D$20="Space-By-Space (90.1-2013)",INDEX(LPD2013SS,MATCH('Interior Lighting'!D189,LightingSpaceType,0)*W189),INDEX(LPD2013WB,MATCH('Interior Lighting'!D189,LightingSpaceType,0)))</f>
        <v>#N/A</v>
      </c>
      <c r="O189" s="327">
        <f t="shared" si="37"/>
        <v>0</v>
      </c>
      <c r="P189" s="407" t="e">
        <f t="shared" si="27"/>
        <v>#N/A</v>
      </c>
      <c r="Q189" s="407" t="e">
        <f t="shared" si="38"/>
        <v>#N/A</v>
      </c>
      <c r="R189" s="407" t="e">
        <f t="shared" si="28"/>
        <v>#N/A</v>
      </c>
      <c r="S189" s="324">
        <f t="shared" si="29"/>
        <v>0</v>
      </c>
      <c r="T189" s="924" t="str">
        <f t="shared" si="30"/>
        <v/>
      </c>
      <c r="U189" s="1221" t="str">
        <f t="shared" si="39"/>
        <v/>
      </c>
      <c r="W189" s="1098">
        <f t="shared" si="31"/>
        <v>1</v>
      </c>
      <c r="X189" s="1098" t="e">
        <f>INDEX(OSReq,MATCH('Interior Lighting'!D189,LightingSpaceType,0))</f>
        <v>#N/A</v>
      </c>
      <c r="Y189" s="1098" t="e">
        <f t="shared" si="32"/>
        <v>#N/A</v>
      </c>
      <c r="Z189" s="1098" t="e">
        <f t="shared" si="33"/>
        <v>#N/A</v>
      </c>
      <c r="AA189" s="1098" t="e">
        <f>INDEX(Lookup!$O$9:$O$24,MATCH('Interior Lighting'!Z189,Lookup!$K$9:$K$24,0))</f>
        <v>#N/A</v>
      </c>
      <c r="AB189" s="1098" t="e">
        <f>IF(E189="A",INDEX(Lookup!$L$9:$L$24,MATCH(Z189,Lookup!$K$9:$K$24,0)),IF(E189="B",INDEX(Lookup!$M$9:$M$24,MATCH(Z189,Lookup!$K$9:$K$24,0)),IF(E189="C",INDEX(Lookup!$N$9:$N$24,MATCH(Z189,Lookup!$K$9:$K$24,0)),"N/A")))</f>
        <v>#N/A</v>
      </c>
    </row>
    <row r="190" spans="1:28">
      <c r="A190" s="1006"/>
      <c r="B190" s="69"/>
      <c r="C190" s="323"/>
      <c r="D190" s="323"/>
      <c r="E190" s="324" t="e">
        <f>INDEX(Lookup!$I$9:$I$24,MATCH('Interior Lighting'!D190,Lookup!$C$9:$C$24,0))</f>
        <v>#N/A</v>
      </c>
      <c r="F190" s="69"/>
      <c r="G190" s="69"/>
      <c r="H190" s="69"/>
      <c r="I190" s="324" t="e">
        <f t="shared" si="34"/>
        <v>#N/A</v>
      </c>
      <c r="J190" s="170"/>
      <c r="K190" s="325">
        <f t="shared" si="35"/>
        <v>0</v>
      </c>
      <c r="L190" s="326" t="e">
        <f t="shared" si="36"/>
        <v>#DIV/0!</v>
      </c>
      <c r="M190" s="326" t="str">
        <f>IF(H190="Yes",IF(D190='Drop Down'!$W$4,0.9*L190,IF(D190='Drop Down'!$W$5,0.9*L190,IF(D190='Drop Down'!$W$10,0.9*L190,IF(D190='Drop Down'!$W$16,0.9*L190,"No credit allowed.")))),"N/A")</f>
        <v>N/A</v>
      </c>
      <c r="N190" s="327" t="e">
        <f>IF($D$20="Space-By-Space (90.1-2013)",INDEX(LPD2013SS,MATCH('Interior Lighting'!D190,LightingSpaceType,0)*W190),INDEX(LPD2013WB,MATCH('Interior Lighting'!D190,LightingSpaceType,0)))</f>
        <v>#N/A</v>
      </c>
      <c r="O190" s="327">
        <f t="shared" si="37"/>
        <v>0</v>
      </c>
      <c r="P190" s="407" t="e">
        <f t="shared" si="27"/>
        <v>#N/A</v>
      </c>
      <c r="Q190" s="407" t="e">
        <f t="shared" si="38"/>
        <v>#N/A</v>
      </c>
      <c r="R190" s="407" t="e">
        <f t="shared" si="28"/>
        <v>#N/A</v>
      </c>
      <c r="S190" s="324">
        <f t="shared" si="29"/>
        <v>0</v>
      </c>
      <c r="T190" s="924" t="str">
        <f t="shared" si="30"/>
        <v/>
      </c>
      <c r="U190" s="1221" t="str">
        <f t="shared" si="39"/>
        <v/>
      </c>
      <c r="W190" s="1098">
        <f t="shared" si="31"/>
        <v>1</v>
      </c>
      <c r="X190" s="1098" t="e">
        <f>INDEX(OSReq,MATCH('Interior Lighting'!D190,LightingSpaceType,0))</f>
        <v>#N/A</v>
      </c>
      <c r="Y190" s="1098" t="e">
        <f t="shared" si="32"/>
        <v>#N/A</v>
      </c>
      <c r="Z190" s="1098" t="e">
        <f t="shared" si="33"/>
        <v>#N/A</v>
      </c>
      <c r="AA190" s="1098" t="e">
        <f>INDEX(Lookup!$O$9:$O$24,MATCH('Interior Lighting'!Z190,Lookup!$K$9:$K$24,0))</f>
        <v>#N/A</v>
      </c>
      <c r="AB190" s="1098" t="e">
        <f>IF(E190="A",INDEX(Lookup!$L$9:$L$24,MATCH(Z190,Lookup!$K$9:$K$24,0)),IF(E190="B",INDEX(Lookup!$M$9:$M$24,MATCH(Z190,Lookup!$K$9:$K$24,0)),IF(E190="C",INDEX(Lookup!$N$9:$N$24,MATCH(Z190,Lookup!$K$9:$K$24,0)),"N/A")))</f>
        <v>#N/A</v>
      </c>
    </row>
    <row r="191" spans="1:28">
      <c r="A191" s="1006"/>
      <c r="B191" s="69"/>
      <c r="C191" s="330"/>
      <c r="D191" s="323"/>
      <c r="E191" s="324" t="e">
        <f>INDEX(Lookup!$I$9:$I$24,MATCH('Interior Lighting'!D191,Lookup!$C$9:$C$24,0))</f>
        <v>#N/A</v>
      </c>
      <c r="F191" s="69"/>
      <c r="G191" s="69"/>
      <c r="H191" s="69"/>
      <c r="I191" s="324" t="e">
        <f t="shared" si="34"/>
        <v>#N/A</v>
      </c>
      <c r="J191" s="170"/>
      <c r="K191" s="325">
        <f t="shared" si="35"/>
        <v>0</v>
      </c>
      <c r="L191" s="326" t="e">
        <f t="shared" si="36"/>
        <v>#DIV/0!</v>
      </c>
      <c r="M191" s="326" t="str">
        <f>IF(H191="Yes",IF(D191='Drop Down'!$W$4,0.9*L191,IF(D191='Drop Down'!$W$5,0.9*L191,IF(D191='Drop Down'!$W$10,0.9*L191,IF(D191='Drop Down'!$W$16,0.9*L191,"No credit allowed.")))),"N/A")</f>
        <v>N/A</v>
      </c>
      <c r="N191" s="327" t="e">
        <f>IF($D$20="Space-By-Space (90.1-2013)",INDEX(LPD2013SS,MATCH('Interior Lighting'!D191,LightingSpaceType,0)*W191),INDEX(LPD2013WB,MATCH('Interior Lighting'!D191,LightingSpaceType,0)))</f>
        <v>#N/A</v>
      </c>
      <c r="O191" s="327">
        <f t="shared" si="37"/>
        <v>0</v>
      </c>
      <c r="P191" s="407" t="e">
        <f t="shared" si="27"/>
        <v>#N/A</v>
      </c>
      <c r="Q191" s="407" t="e">
        <f t="shared" si="38"/>
        <v>#N/A</v>
      </c>
      <c r="R191" s="407" t="e">
        <f t="shared" si="28"/>
        <v>#N/A</v>
      </c>
      <c r="S191" s="324">
        <f t="shared" si="29"/>
        <v>0</v>
      </c>
      <c r="T191" s="924" t="str">
        <f t="shared" si="30"/>
        <v/>
      </c>
      <c r="U191" s="1221" t="str">
        <f t="shared" si="39"/>
        <v/>
      </c>
      <c r="W191" s="1098">
        <f t="shared" si="31"/>
        <v>1</v>
      </c>
      <c r="X191" s="1098" t="e">
        <f>INDEX(OSReq,MATCH('Interior Lighting'!D191,LightingSpaceType,0))</f>
        <v>#N/A</v>
      </c>
      <c r="Y191" s="1098" t="e">
        <f t="shared" si="32"/>
        <v>#N/A</v>
      </c>
      <c r="Z191" s="1098" t="e">
        <f t="shared" si="33"/>
        <v>#N/A</v>
      </c>
      <c r="AA191" s="1098" t="e">
        <f>INDEX(Lookup!$O$9:$O$24,MATCH('Interior Lighting'!Z191,Lookup!$K$9:$K$24,0))</f>
        <v>#N/A</v>
      </c>
      <c r="AB191" s="1098" t="e">
        <f>IF(E191="A",INDEX(Lookup!$L$9:$L$24,MATCH(Z191,Lookup!$K$9:$K$24,0)),IF(E191="B",INDEX(Lookup!$M$9:$M$24,MATCH(Z191,Lookup!$K$9:$K$24,0)),IF(E191="C",INDEX(Lookup!$N$9:$N$24,MATCH(Z191,Lookup!$K$9:$K$24,0)),"N/A")))</f>
        <v>#N/A</v>
      </c>
    </row>
    <row r="192" spans="1:28">
      <c r="A192" s="1006"/>
      <c r="B192" s="69"/>
      <c r="C192" s="323"/>
      <c r="D192" s="323"/>
      <c r="E192" s="324" t="e">
        <f>INDEX(Lookup!$I$9:$I$24,MATCH('Interior Lighting'!D192,Lookup!$C$9:$C$24,0))</f>
        <v>#N/A</v>
      </c>
      <c r="F192" s="69"/>
      <c r="G192" s="69"/>
      <c r="H192" s="69"/>
      <c r="I192" s="324" t="e">
        <f t="shared" si="34"/>
        <v>#N/A</v>
      </c>
      <c r="J192" s="170"/>
      <c r="K192" s="325">
        <f t="shared" si="35"/>
        <v>0</v>
      </c>
      <c r="L192" s="326" t="e">
        <f t="shared" si="36"/>
        <v>#DIV/0!</v>
      </c>
      <c r="M192" s="326" t="str">
        <f>IF(H192="Yes",IF(D192='Drop Down'!$W$4,0.9*L192,IF(D192='Drop Down'!$W$5,0.9*L192,IF(D192='Drop Down'!$W$10,0.9*L192,IF(D192='Drop Down'!$W$16,0.9*L192,"No credit allowed.")))),"N/A")</f>
        <v>N/A</v>
      </c>
      <c r="N192" s="327" t="e">
        <f>IF($D$20="Space-By-Space (90.1-2013)",INDEX(LPD2013SS,MATCH('Interior Lighting'!D192,LightingSpaceType,0)*W192),INDEX(LPD2013WB,MATCH('Interior Lighting'!D192,LightingSpaceType,0)))</f>
        <v>#N/A</v>
      </c>
      <c r="O192" s="327">
        <f t="shared" si="37"/>
        <v>0</v>
      </c>
      <c r="P192" s="407" t="e">
        <f t="shared" si="27"/>
        <v>#N/A</v>
      </c>
      <c r="Q192" s="407" t="e">
        <f t="shared" si="38"/>
        <v>#N/A</v>
      </c>
      <c r="R192" s="407" t="e">
        <f t="shared" si="28"/>
        <v>#N/A</v>
      </c>
      <c r="S192" s="324">
        <f t="shared" si="29"/>
        <v>0</v>
      </c>
      <c r="T192" s="924" t="str">
        <f t="shared" si="30"/>
        <v/>
      </c>
      <c r="U192" s="1221" t="str">
        <f t="shared" si="39"/>
        <v/>
      </c>
      <c r="W192" s="1098">
        <f t="shared" si="31"/>
        <v>1</v>
      </c>
      <c r="X192" s="1098" t="e">
        <f>INDEX(OSReq,MATCH('Interior Lighting'!D192,LightingSpaceType,0))</f>
        <v>#N/A</v>
      </c>
      <c r="Y192" s="1098" t="e">
        <f t="shared" si="32"/>
        <v>#N/A</v>
      </c>
      <c r="Z192" s="1098" t="e">
        <f t="shared" si="33"/>
        <v>#N/A</v>
      </c>
      <c r="AA192" s="1098" t="e">
        <f>INDEX(Lookup!$O$9:$O$24,MATCH('Interior Lighting'!Z192,Lookup!$K$9:$K$24,0))</f>
        <v>#N/A</v>
      </c>
      <c r="AB192" s="1098" t="e">
        <f>IF(E192="A",INDEX(Lookup!$L$9:$L$24,MATCH(Z192,Lookup!$K$9:$K$24,0)),IF(E192="B",INDEX(Lookup!$M$9:$M$24,MATCH(Z192,Lookup!$K$9:$K$24,0)),IF(E192="C",INDEX(Lookup!$N$9:$N$24,MATCH(Z192,Lookup!$K$9:$K$24,0)),"N/A")))</f>
        <v>#N/A</v>
      </c>
    </row>
    <row r="193" spans="1:28">
      <c r="A193" s="1006"/>
      <c r="B193" s="69"/>
      <c r="C193" s="323"/>
      <c r="D193" s="323"/>
      <c r="E193" s="324" t="e">
        <f>INDEX(Lookup!$I$9:$I$24,MATCH('Interior Lighting'!D193,Lookup!$C$9:$C$24,0))</f>
        <v>#N/A</v>
      </c>
      <c r="F193" s="69"/>
      <c r="G193" s="69"/>
      <c r="H193" s="69"/>
      <c r="I193" s="324" t="e">
        <f t="shared" si="34"/>
        <v>#N/A</v>
      </c>
      <c r="J193" s="170"/>
      <c r="K193" s="325">
        <f t="shared" si="35"/>
        <v>0</v>
      </c>
      <c r="L193" s="326" t="e">
        <f t="shared" si="36"/>
        <v>#DIV/0!</v>
      </c>
      <c r="M193" s="326" t="str">
        <f>IF(H193="Yes",IF(D193='Drop Down'!$W$4,0.9*L193,IF(D193='Drop Down'!$W$5,0.9*L193,IF(D193='Drop Down'!$W$10,0.9*L193,IF(D193='Drop Down'!$W$16,0.9*L193,"No credit allowed.")))),"N/A")</f>
        <v>N/A</v>
      </c>
      <c r="N193" s="327" t="e">
        <f>IF($D$20="Space-By-Space (90.1-2013)",INDEX(LPD2013SS,MATCH('Interior Lighting'!D193,LightingSpaceType,0)*W193),INDEX(LPD2013WB,MATCH('Interior Lighting'!D193,LightingSpaceType,0)))</f>
        <v>#N/A</v>
      </c>
      <c r="O193" s="327">
        <f t="shared" si="37"/>
        <v>0</v>
      </c>
      <c r="P193" s="407" t="e">
        <f t="shared" si="27"/>
        <v>#N/A</v>
      </c>
      <c r="Q193" s="407" t="e">
        <f t="shared" si="38"/>
        <v>#N/A</v>
      </c>
      <c r="R193" s="407" t="e">
        <f t="shared" si="28"/>
        <v>#N/A</v>
      </c>
      <c r="S193" s="324">
        <f t="shared" si="29"/>
        <v>0</v>
      </c>
      <c r="T193" s="924" t="str">
        <f t="shared" si="30"/>
        <v/>
      </c>
      <c r="U193" s="1221" t="str">
        <f t="shared" si="39"/>
        <v/>
      </c>
      <c r="W193" s="1098">
        <f t="shared" si="31"/>
        <v>1</v>
      </c>
      <c r="X193" s="1098" t="e">
        <f>INDEX(OSReq,MATCH('Interior Lighting'!D193,LightingSpaceType,0))</f>
        <v>#N/A</v>
      </c>
      <c r="Y193" s="1098" t="e">
        <f t="shared" si="32"/>
        <v>#N/A</v>
      </c>
      <c r="Z193" s="1098" t="e">
        <f t="shared" si="33"/>
        <v>#N/A</v>
      </c>
      <c r="AA193" s="1098" t="e">
        <f>INDEX(Lookup!$O$9:$O$24,MATCH('Interior Lighting'!Z193,Lookup!$K$9:$K$24,0))</f>
        <v>#N/A</v>
      </c>
      <c r="AB193" s="1098" t="e">
        <f>IF(E193="A",INDEX(Lookup!$L$9:$L$24,MATCH(Z193,Lookup!$K$9:$K$24,0)),IF(E193="B",INDEX(Lookup!$M$9:$M$24,MATCH(Z193,Lookup!$K$9:$K$24,0)),IF(E193="C",INDEX(Lookup!$N$9:$N$24,MATCH(Z193,Lookup!$K$9:$K$24,0)),"N/A")))</f>
        <v>#N/A</v>
      </c>
    </row>
    <row r="194" spans="1:28">
      <c r="A194" s="1006"/>
      <c r="B194" s="69"/>
      <c r="C194" s="323"/>
      <c r="D194" s="323"/>
      <c r="E194" s="324" t="e">
        <f>INDEX(Lookup!$I$9:$I$24,MATCH('Interior Lighting'!D194,Lookup!$C$9:$C$24,0))</f>
        <v>#N/A</v>
      </c>
      <c r="F194" s="69"/>
      <c r="G194" s="69"/>
      <c r="H194" s="69"/>
      <c r="I194" s="324" t="e">
        <f t="shared" si="34"/>
        <v>#N/A</v>
      </c>
      <c r="J194" s="170"/>
      <c r="K194" s="325">
        <f t="shared" si="35"/>
        <v>0</v>
      </c>
      <c r="L194" s="326" t="e">
        <f t="shared" si="36"/>
        <v>#DIV/0!</v>
      </c>
      <c r="M194" s="326" t="str">
        <f>IF(H194="Yes",IF(D194='Drop Down'!$W$4,0.9*L194,IF(D194='Drop Down'!$W$5,0.9*L194,IF(D194='Drop Down'!$W$10,0.9*L194,IF(D194='Drop Down'!$W$16,0.9*L194,"No credit allowed.")))),"N/A")</f>
        <v>N/A</v>
      </c>
      <c r="N194" s="327" t="e">
        <f>IF($D$20="Space-By-Space (90.1-2013)",INDEX(LPD2013SS,MATCH('Interior Lighting'!D194,LightingSpaceType,0)*W194),INDEX(LPD2013WB,MATCH('Interior Lighting'!D194,LightingSpaceType,0)))</f>
        <v>#N/A</v>
      </c>
      <c r="O194" s="327">
        <f t="shared" si="37"/>
        <v>0</v>
      </c>
      <c r="P194" s="407" t="e">
        <f t="shared" si="27"/>
        <v>#N/A</v>
      </c>
      <c r="Q194" s="407" t="e">
        <f t="shared" si="38"/>
        <v>#N/A</v>
      </c>
      <c r="R194" s="407" t="e">
        <f t="shared" si="28"/>
        <v>#N/A</v>
      </c>
      <c r="S194" s="324">
        <f t="shared" si="29"/>
        <v>0</v>
      </c>
      <c r="T194" s="924" t="str">
        <f t="shared" si="30"/>
        <v/>
      </c>
      <c r="U194" s="1221" t="str">
        <f t="shared" si="39"/>
        <v/>
      </c>
      <c r="W194" s="1098">
        <f t="shared" si="31"/>
        <v>1</v>
      </c>
      <c r="X194" s="1098" t="e">
        <f>INDEX(OSReq,MATCH('Interior Lighting'!D194,LightingSpaceType,0))</f>
        <v>#N/A</v>
      </c>
      <c r="Y194" s="1098" t="e">
        <f t="shared" si="32"/>
        <v>#N/A</v>
      </c>
      <c r="Z194" s="1098" t="e">
        <f t="shared" si="33"/>
        <v>#N/A</v>
      </c>
      <c r="AA194" s="1098" t="e">
        <f>INDEX(Lookup!$O$9:$O$24,MATCH('Interior Lighting'!Z194,Lookup!$K$9:$K$24,0))</f>
        <v>#N/A</v>
      </c>
      <c r="AB194" s="1098" t="e">
        <f>IF(E194="A",INDEX(Lookup!$L$9:$L$24,MATCH(Z194,Lookup!$K$9:$K$24,0)),IF(E194="B",INDEX(Lookup!$M$9:$M$24,MATCH(Z194,Lookup!$K$9:$K$24,0)),IF(E194="C",INDEX(Lookup!$N$9:$N$24,MATCH(Z194,Lookup!$K$9:$K$24,0)),"N/A")))</f>
        <v>#N/A</v>
      </c>
    </row>
    <row r="195" spans="1:28">
      <c r="A195" s="1006"/>
      <c r="B195" s="69"/>
      <c r="C195" s="323"/>
      <c r="D195" s="323"/>
      <c r="E195" s="324" t="e">
        <f>INDEX(Lookup!$I$9:$I$24,MATCH('Interior Lighting'!D195,Lookup!$C$9:$C$24,0))</f>
        <v>#N/A</v>
      </c>
      <c r="F195" s="69"/>
      <c r="G195" s="69"/>
      <c r="H195" s="69"/>
      <c r="I195" s="324" t="e">
        <f t="shared" si="34"/>
        <v>#N/A</v>
      </c>
      <c r="J195" s="170"/>
      <c r="K195" s="325">
        <f t="shared" si="35"/>
        <v>0</v>
      </c>
      <c r="L195" s="326" t="e">
        <f t="shared" si="36"/>
        <v>#DIV/0!</v>
      </c>
      <c r="M195" s="326" t="str">
        <f>IF(H195="Yes",IF(D195='Drop Down'!$W$4,0.9*L195,IF(D195='Drop Down'!$W$5,0.9*L195,IF(D195='Drop Down'!$W$10,0.9*L195,IF(D195='Drop Down'!$W$16,0.9*L195,"No credit allowed.")))),"N/A")</f>
        <v>N/A</v>
      </c>
      <c r="N195" s="327" t="e">
        <f>IF($D$20="Space-By-Space (90.1-2013)",INDEX(LPD2013SS,MATCH('Interior Lighting'!D195,LightingSpaceType,0)*W195),INDEX(LPD2013WB,MATCH('Interior Lighting'!D195,LightingSpaceType,0)))</f>
        <v>#N/A</v>
      </c>
      <c r="O195" s="327">
        <f t="shared" si="37"/>
        <v>0</v>
      </c>
      <c r="P195" s="407" t="e">
        <f t="shared" si="27"/>
        <v>#N/A</v>
      </c>
      <c r="Q195" s="407" t="e">
        <f t="shared" si="38"/>
        <v>#N/A</v>
      </c>
      <c r="R195" s="407" t="e">
        <f t="shared" si="28"/>
        <v>#N/A</v>
      </c>
      <c r="S195" s="324">
        <f t="shared" si="29"/>
        <v>0</v>
      </c>
      <c r="T195" s="924" t="str">
        <f t="shared" si="30"/>
        <v/>
      </c>
      <c r="U195" s="1221" t="str">
        <f t="shared" si="39"/>
        <v/>
      </c>
      <c r="W195" s="1098">
        <f t="shared" si="31"/>
        <v>1</v>
      </c>
      <c r="X195" s="1098" t="e">
        <f>INDEX(OSReq,MATCH('Interior Lighting'!D195,LightingSpaceType,0))</f>
        <v>#N/A</v>
      </c>
      <c r="Y195" s="1098" t="e">
        <f t="shared" si="32"/>
        <v>#N/A</v>
      </c>
      <c r="Z195" s="1098" t="e">
        <f t="shared" si="33"/>
        <v>#N/A</v>
      </c>
      <c r="AA195" s="1098" t="e">
        <f>INDEX(Lookup!$O$9:$O$24,MATCH('Interior Lighting'!Z195,Lookup!$K$9:$K$24,0))</f>
        <v>#N/A</v>
      </c>
      <c r="AB195" s="1098" t="e">
        <f>IF(E195="A",INDEX(Lookup!$L$9:$L$24,MATCH(Z195,Lookup!$K$9:$K$24,0)),IF(E195="B",INDEX(Lookup!$M$9:$M$24,MATCH(Z195,Lookup!$K$9:$K$24,0)),IF(E195="C",INDEX(Lookup!$N$9:$N$24,MATCH(Z195,Lookup!$K$9:$K$24,0)),"N/A")))</f>
        <v>#N/A</v>
      </c>
    </row>
    <row r="196" spans="1:28">
      <c r="A196" s="1006"/>
      <c r="B196" s="69"/>
      <c r="C196" s="323"/>
      <c r="D196" s="323"/>
      <c r="E196" s="324" t="e">
        <f>INDEX(Lookup!$I$9:$I$24,MATCH('Interior Lighting'!D196,Lookup!$C$9:$C$24,0))</f>
        <v>#N/A</v>
      </c>
      <c r="F196" s="69"/>
      <c r="G196" s="69"/>
      <c r="H196" s="69"/>
      <c r="I196" s="324" t="e">
        <f t="shared" si="34"/>
        <v>#N/A</v>
      </c>
      <c r="J196" s="170"/>
      <c r="K196" s="325">
        <f t="shared" si="35"/>
        <v>0</v>
      </c>
      <c r="L196" s="326" t="e">
        <f t="shared" si="36"/>
        <v>#DIV/0!</v>
      </c>
      <c r="M196" s="326" t="str">
        <f>IF(H196="Yes",IF(D196='Drop Down'!$W$4,0.9*L196,IF(D196='Drop Down'!$W$5,0.9*L196,IF(D196='Drop Down'!$W$10,0.9*L196,IF(D196='Drop Down'!$W$16,0.9*L196,"No credit allowed.")))),"N/A")</f>
        <v>N/A</v>
      </c>
      <c r="N196" s="327" t="e">
        <f>IF($D$20="Space-By-Space (90.1-2013)",INDEX(LPD2013SS,MATCH('Interior Lighting'!D196,LightingSpaceType,0)*W196),INDEX(LPD2013WB,MATCH('Interior Lighting'!D196,LightingSpaceType,0)))</f>
        <v>#N/A</v>
      </c>
      <c r="O196" s="327">
        <f t="shared" si="37"/>
        <v>0</v>
      </c>
      <c r="P196" s="407" t="e">
        <f t="shared" si="27"/>
        <v>#N/A</v>
      </c>
      <c r="Q196" s="407" t="e">
        <f t="shared" si="38"/>
        <v>#N/A</v>
      </c>
      <c r="R196" s="407" t="e">
        <f t="shared" si="28"/>
        <v>#N/A</v>
      </c>
      <c r="S196" s="324">
        <f t="shared" si="29"/>
        <v>0</v>
      </c>
      <c r="T196" s="924" t="str">
        <f t="shared" si="30"/>
        <v/>
      </c>
      <c r="U196" s="1221" t="str">
        <f t="shared" si="39"/>
        <v/>
      </c>
      <c r="W196" s="1098">
        <f t="shared" si="31"/>
        <v>1</v>
      </c>
      <c r="X196" s="1098" t="e">
        <f>INDEX(OSReq,MATCH('Interior Lighting'!D196,LightingSpaceType,0))</f>
        <v>#N/A</v>
      </c>
      <c r="Y196" s="1098" t="e">
        <f t="shared" si="32"/>
        <v>#N/A</v>
      </c>
      <c r="Z196" s="1098" t="e">
        <f t="shared" si="33"/>
        <v>#N/A</v>
      </c>
      <c r="AA196" s="1098" t="e">
        <f>INDEX(Lookup!$O$9:$O$24,MATCH('Interior Lighting'!Z196,Lookup!$K$9:$K$24,0))</f>
        <v>#N/A</v>
      </c>
      <c r="AB196" s="1098" t="e">
        <f>IF(E196="A",INDEX(Lookup!$L$9:$L$24,MATCH(Z196,Lookup!$K$9:$K$24,0)),IF(E196="B",INDEX(Lookup!$M$9:$M$24,MATCH(Z196,Lookup!$K$9:$K$24,0)),IF(E196="C",INDEX(Lookup!$N$9:$N$24,MATCH(Z196,Lookup!$K$9:$K$24,0)),"N/A")))</f>
        <v>#N/A</v>
      </c>
    </row>
    <row r="197" spans="1:28">
      <c r="A197" s="1006"/>
      <c r="B197" s="69"/>
      <c r="C197" s="330"/>
      <c r="D197" s="323"/>
      <c r="E197" s="324" t="e">
        <f>INDEX(Lookup!$I$9:$I$24,MATCH('Interior Lighting'!D197,Lookup!$C$9:$C$24,0))</f>
        <v>#N/A</v>
      </c>
      <c r="F197" s="69"/>
      <c r="G197" s="69"/>
      <c r="H197" s="69"/>
      <c r="I197" s="324" t="e">
        <f t="shared" si="34"/>
        <v>#N/A</v>
      </c>
      <c r="J197" s="170"/>
      <c r="K197" s="325">
        <f t="shared" si="35"/>
        <v>0</v>
      </c>
      <c r="L197" s="326" t="e">
        <f t="shared" si="36"/>
        <v>#DIV/0!</v>
      </c>
      <c r="M197" s="326" t="str">
        <f>IF(H197="Yes",IF(D197='Drop Down'!$W$4,0.9*L197,IF(D197='Drop Down'!$W$5,0.9*L197,IF(D197='Drop Down'!$W$10,0.9*L197,IF(D197='Drop Down'!$W$16,0.9*L197,"No credit allowed.")))),"N/A")</f>
        <v>N/A</v>
      </c>
      <c r="N197" s="327" t="e">
        <f>IF($D$20="Space-By-Space (90.1-2013)",INDEX(LPD2013SS,MATCH('Interior Lighting'!D197,LightingSpaceType,0)*W197),INDEX(LPD2013WB,MATCH('Interior Lighting'!D197,LightingSpaceType,0)))</f>
        <v>#N/A</v>
      </c>
      <c r="O197" s="327">
        <f t="shared" si="37"/>
        <v>0</v>
      </c>
      <c r="P197" s="407" t="e">
        <f t="shared" si="27"/>
        <v>#N/A</v>
      </c>
      <c r="Q197" s="407" t="e">
        <f t="shared" si="38"/>
        <v>#N/A</v>
      </c>
      <c r="R197" s="407" t="e">
        <f t="shared" si="28"/>
        <v>#N/A</v>
      </c>
      <c r="S197" s="324">
        <f t="shared" si="29"/>
        <v>0</v>
      </c>
      <c r="T197" s="924" t="str">
        <f t="shared" si="30"/>
        <v/>
      </c>
      <c r="U197" s="1221" t="str">
        <f t="shared" si="39"/>
        <v/>
      </c>
      <c r="W197" s="1098">
        <f t="shared" si="31"/>
        <v>1</v>
      </c>
      <c r="X197" s="1098" t="e">
        <f>INDEX(OSReq,MATCH('Interior Lighting'!D197,LightingSpaceType,0))</f>
        <v>#N/A</v>
      </c>
      <c r="Y197" s="1098" t="e">
        <f t="shared" si="32"/>
        <v>#N/A</v>
      </c>
      <c r="Z197" s="1098" t="e">
        <f t="shared" si="33"/>
        <v>#N/A</v>
      </c>
      <c r="AA197" s="1098" t="e">
        <f>INDEX(Lookup!$O$9:$O$24,MATCH('Interior Lighting'!Z197,Lookup!$K$9:$K$24,0))</f>
        <v>#N/A</v>
      </c>
      <c r="AB197" s="1098" t="e">
        <f>IF(E197="A",INDEX(Lookup!$L$9:$L$24,MATCH(Z197,Lookup!$K$9:$K$24,0)),IF(E197="B",INDEX(Lookup!$M$9:$M$24,MATCH(Z197,Lookup!$K$9:$K$24,0)),IF(E197="C",INDEX(Lookup!$N$9:$N$24,MATCH(Z197,Lookup!$K$9:$K$24,0)),"N/A")))</f>
        <v>#N/A</v>
      </c>
    </row>
    <row r="198" spans="1:28">
      <c r="A198" s="1006"/>
      <c r="B198" s="69"/>
      <c r="C198" s="323"/>
      <c r="D198" s="323"/>
      <c r="E198" s="324" t="e">
        <f>INDEX(Lookup!$I$9:$I$24,MATCH('Interior Lighting'!D198,Lookup!$C$9:$C$24,0))</f>
        <v>#N/A</v>
      </c>
      <c r="F198" s="69"/>
      <c r="G198" s="69"/>
      <c r="H198" s="69"/>
      <c r="I198" s="324" t="e">
        <f t="shared" si="34"/>
        <v>#N/A</v>
      </c>
      <c r="J198" s="170"/>
      <c r="K198" s="325">
        <f t="shared" si="35"/>
        <v>0</v>
      </c>
      <c r="L198" s="326" t="e">
        <f t="shared" si="36"/>
        <v>#DIV/0!</v>
      </c>
      <c r="M198" s="326" t="str">
        <f>IF(H198="Yes",IF(D198='Drop Down'!$W$4,0.9*L198,IF(D198='Drop Down'!$W$5,0.9*L198,IF(D198='Drop Down'!$W$10,0.9*L198,IF(D198='Drop Down'!$W$16,0.9*L198,"No credit allowed.")))),"N/A")</f>
        <v>N/A</v>
      </c>
      <c r="N198" s="327" t="e">
        <f>IF($D$20="Space-By-Space (90.1-2013)",INDEX(LPD2013SS,MATCH('Interior Lighting'!D198,LightingSpaceType,0)*W198),INDEX(LPD2013WB,MATCH('Interior Lighting'!D198,LightingSpaceType,0)))</f>
        <v>#N/A</v>
      </c>
      <c r="O198" s="327">
        <f t="shared" si="37"/>
        <v>0</v>
      </c>
      <c r="P198" s="407" t="e">
        <f t="shared" si="27"/>
        <v>#N/A</v>
      </c>
      <c r="Q198" s="407" t="e">
        <f t="shared" si="38"/>
        <v>#N/A</v>
      </c>
      <c r="R198" s="407" t="e">
        <f t="shared" si="28"/>
        <v>#N/A</v>
      </c>
      <c r="S198" s="324">
        <f t="shared" si="29"/>
        <v>0</v>
      </c>
      <c r="T198" s="924" t="str">
        <f t="shared" si="30"/>
        <v/>
      </c>
      <c r="U198" s="1221" t="str">
        <f t="shared" si="39"/>
        <v/>
      </c>
      <c r="W198" s="1098">
        <f t="shared" si="31"/>
        <v>1</v>
      </c>
      <c r="X198" s="1098" t="e">
        <f>INDEX(OSReq,MATCH('Interior Lighting'!D198,LightingSpaceType,0))</f>
        <v>#N/A</v>
      </c>
      <c r="Y198" s="1098" t="e">
        <f t="shared" si="32"/>
        <v>#N/A</v>
      </c>
      <c r="Z198" s="1098" t="e">
        <f t="shared" si="33"/>
        <v>#N/A</v>
      </c>
      <c r="AA198" s="1098" t="e">
        <f>INDEX(Lookup!$O$9:$O$24,MATCH('Interior Lighting'!Z198,Lookup!$K$9:$K$24,0))</f>
        <v>#N/A</v>
      </c>
      <c r="AB198" s="1098" t="e">
        <f>IF(E198="A",INDEX(Lookup!$L$9:$L$24,MATCH(Z198,Lookup!$K$9:$K$24,0)),IF(E198="B",INDEX(Lookup!$M$9:$M$24,MATCH(Z198,Lookup!$K$9:$K$24,0)),IF(E198="C",INDEX(Lookup!$N$9:$N$24,MATCH(Z198,Lookup!$K$9:$K$24,0)),"N/A")))</f>
        <v>#N/A</v>
      </c>
    </row>
    <row r="199" spans="1:28">
      <c r="A199" s="1006"/>
      <c r="B199" s="69"/>
      <c r="C199" s="323"/>
      <c r="D199" s="323"/>
      <c r="E199" s="324" t="e">
        <f>INDEX(Lookup!$I$9:$I$24,MATCH('Interior Lighting'!D199,Lookup!$C$9:$C$24,0))</f>
        <v>#N/A</v>
      </c>
      <c r="F199" s="69"/>
      <c r="G199" s="69"/>
      <c r="H199" s="69"/>
      <c r="I199" s="324" t="e">
        <f t="shared" si="34"/>
        <v>#N/A</v>
      </c>
      <c r="J199" s="170"/>
      <c r="K199" s="325">
        <f t="shared" si="35"/>
        <v>0</v>
      </c>
      <c r="L199" s="326" t="e">
        <f t="shared" si="36"/>
        <v>#DIV/0!</v>
      </c>
      <c r="M199" s="326" t="str">
        <f>IF(H199="Yes",IF(D199='Drop Down'!$W$4,0.9*L199,IF(D199='Drop Down'!$W$5,0.9*L199,IF(D199='Drop Down'!$W$10,0.9*L199,IF(D199='Drop Down'!$W$16,0.9*L199,"No credit allowed.")))),"N/A")</f>
        <v>N/A</v>
      </c>
      <c r="N199" s="327" t="e">
        <f>IF($D$20="Space-By-Space (90.1-2013)",INDEX(LPD2013SS,MATCH('Interior Lighting'!D199,LightingSpaceType,0)*W199),INDEX(LPD2013WB,MATCH('Interior Lighting'!D199,LightingSpaceType,0)))</f>
        <v>#N/A</v>
      </c>
      <c r="O199" s="327">
        <f t="shared" si="37"/>
        <v>0</v>
      </c>
      <c r="P199" s="407" t="e">
        <f t="shared" si="27"/>
        <v>#N/A</v>
      </c>
      <c r="Q199" s="407" t="e">
        <f t="shared" si="38"/>
        <v>#N/A</v>
      </c>
      <c r="R199" s="407" t="e">
        <f t="shared" si="28"/>
        <v>#N/A</v>
      </c>
      <c r="S199" s="324">
        <f t="shared" si="29"/>
        <v>0</v>
      </c>
      <c r="T199" s="924" t="str">
        <f t="shared" si="30"/>
        <v/>
      </c>
      <c r="U199" s="1221" t="str">
        <f t="shared" si="39"/>
        <v/>
      </c>
      <c r="W199" s="1098">
        <f t="shared" si="31"/>
        <v>1</v>
      </c>
      <c r="X199" s="1098" t="e">
        <f>INDEX(OSReq,MATCH('Interior Lighting'!D199,LightingSpaceType,0))</f>
        <v>#N/A</v>
      </c>
      <c r="Y199" s="1098" t="e">
        <f t="shared" si="32"/>
        <v>#N/A</v>
      </c>
      <c r="Z199" s="1098" t="e">
        <f t="shared" si="33"/>
        <v>#N/A</v>
      </c>
      <c r="AA199" s="1098" t="e">
        <f>INDEX(Lookup!$O$9:$O$24,MATCH('Interior Lighting'!Z199,Lookup!$K$9:$K$24,0))</f>
        <v>#N/A</v>
      </c>
      <c r="AB199" s="1098" t="e">
        <f>IF(E199="A",INDEX(Lookup!$L$9:$L$24,MATCH(Z199,Lookup!$K$9:$K$24,0)),IF(E199="B",INDEX(Lookup!$M$9:$M$24,MATCH(Z199,Lookup!$K$9:$K$24,0)),IF(E199="C",INDEX(Lookup!$N$9:$N$24,MATCH(Z199,Lookup!$K$9:$K$24,0)),"N/A")))</f>
        <v>#N/A</v>
      </c>
    </row>
    <row r="200" spans="1:28">
      <c r="A200" s="1006"/>
      <c r="B200" s="69"/>
      <c r="C200" s="323"/>
      <c r="D200" s="323"/>
      <c r="E200" s="324" t="e">
        <f>INDEX(Lookup!$I$9:$I$24,MATCH('Interior Lighting'!D200,Lookup!$C$9:$C$24,0))</f>
        <v>#N/A</v>
      </c>
      <c r="F200" s="69"/>
      <c r="G200" s="69"/>
      <c r="H200" s="69"/>
      <c r="I200" s="324" t="e">
        <f t="shared" si="34"/>
        <v>#N/A</v>
      </c>
      <c r="J200" s="170"/>
      <c r="K200" s="325">
        <f t="shared" si="35"/>
        <v>0</v>
      </c>
      <c r="L200" s="326" t="e">
        <f t="shared" si="36"/>
        <v>#DIV/0!</v>
      </c>
      <c r="M200" s="326" t="str">
        <f>IF(H200="Yes",IF(D200='Drop Down'!$W$4,0.9*L200,IF(D200='Drop Down'!$W$5,0.9*L200,IF(D200='Drop Down'!$W$10,0.9*L200,IF(D200='Drop Down'!$W$16,0.9*L200,"No credit allowed.")))),"N/A")</f>
        <v>N/A</v>
      </c>
      <c r="N200" s="327" t="e">
        <f>IF($D$20="Space-By-Space (90.1-2013)",INDEX(LPD2013SS,MATCH('Interior Lighting'!D200,LightingSpaceType,0)*W200),INDEX(LPD2013WB,MATCH('Interior Lighting'!D200,LightingSpaceType,0)))</f>
        <v>#N/A</v>
      </c>
      <c r="O200" s="327">
        <f t="shared" si="37"/>
        <v>0</v>
      </c>
      <c r="P200" s="407" t="e">
        <f t="shared" si="27"/>
        <v>#N/A</v>
      </c>
      <c r="Q200" s="407" t="e">
        <f t="shared" si="38"/>
        <v>#N/A</v>
      </c>
      <c r="R200" s="407" t="e">
        <f t="shared" si="28"/>
        <v>#N/A</v>
      </c>
      <c r="S200" s="324">
        <f t="shared" si="29"/>
        <v>0</v>
      </c>
      <c r="T200" s="924" t="str">
        <f t="shared" si="30"/>
        <v/>
      </c>
      <c r="U200" s="1221" t="str">
        <f t="shared" si="39"/>
        <v/>
      </c>
      <c r="W200" s="1098">
        <f t="shared" si="31"/>
        <v>1</v>
      </c>
      <c r="X200" s="1098" t="e">
        <f>INDEX(OSReq,MATCH('Interior Lighting'!D200,LightingSpaceType,0))</f>
        <v>#N/A</v>
      </c>
      <c r="Y200" s="1098" t="e">
        <f t="shared" si="32"/>
        <v>#N/A</v>
      </c>
      <c r="Z200" s="1098" t="e">
        <f t="shared" si="33"/>
        <v>#N/A</v>
      </c>
      <c r="AA200" s="1098" t="e">
        <f>INDEX(Lookup!$O$9:$O$24,MATCH('Interior Lighting'!Z200,Lookup!$K$9:$K$24,0))</f>
        <v>#N/A</v>
      </c>
      <c r="AB200" s="1098" t="e">
        <f>IF(E200="A",INDEX(Lookup!$L$9:$L$24,MATCH(Z200,Lookup!$K$9:$K$24,0)),IF(E200="B",INDEX(Lookup!$M$9:$M$24,MATCH(Z200,Lookup!$K$9:$K$24,0)),IF(E200="C",INDEX(Lookup!$N$9:$N$24,MATCH(Z200,Lookup!$K$9:$K$24,0)),"N/A")))</f>
        <v>#N/A</v>
      </c>
    </row>
    <row r="201" spans="1:28">
      <c r="A201" s="1006"/>
      <c r="B201" s="69"/>
      <c r="C201" s="323"/>
      <c r="D201" s="323"/>
      <c r="E201" s="324" t="e">
        <f>INDEX(Lookup!$I$9:$I$24,MATCH('Interior Lighting'!D201,Lookup!$C$9:$C$24,0))</f>
        <v>#N/A</v>
      </c>
      <c r="F201" s="69"/>
      <c r="G201" s="69"/>
      <c r="H201" s="69"/>
      <c r="I201" s="324" t="e">
        <f t="shared" si="34"/>
        <v>#N/A</v>
      </c>
      <c r="J201" s="170"/>
      <c r="K201" s="325">
        <f t="shared" si="35"/>
        <v>0</v>
      </c>
      <c r="L201" s="326" t="e">
        <f t="shared" si="36"/>
        <v>#DIV/0!</v>
      </c>
      <c r="M201" s="326" t="str">
        <f>IF(H201="Yes",IF(D201='Drop Down'!$W$4,0.9*L201,IF(D201='Drop Down'!$W$5,0.9*L201,IF(D201='Drop Down'!$W$10,0.9*L201,IF(D201='Drop Down'!$W$16,0.9*L201,"No credit allowed.")))),"N/A")</f>
        <v>N/A</v>
      </c>
      <c r="N201" s="327" t="e">
        <f>IF($D$20="Space-By-Space (90.1-2013)",INDEX(LPD2013SS,MATCH('Interior Lighting'!D201,LightingSpaceType,0)*W201),INDEX(LPD2013WB,MATCH('Interior Lighting'!D201,LightingSpaceType,0)))</f>
        <v>#N/A</v>
      </c>
      <c r="O201" s="327">
        <f t="shared" si="37"/>
        <v>0</v>
      </c>
      <c r="P201" s="407" t="e">
        <f t="shared" si="27"/>
        <v>#N/A</v>
      </c>
      <c r="Q201" s="407" t="e">
        <f t="shared" si="38"/>
        <v>#N/A</v>
      </c>
      <c r="R201" s="407" t="e">
        <f t="shared" si="28"/>
        <v>#N/A</v>
      </c>
      <c r="S201" s="324">
        <f t="shared" si="29"/>
        <v>0</v>
      </c>
      <c r="T201" s="924" t="str">
        <f t="shared" si="30"/>
        <v/>
      </c>
      <c r="U201" s="1221" t="str">
        <f t="shared" si="39"/>
        <v/>
      </c>
      <c r="W201" s="1098">
        <f t="shared" si="31"/>
        <v>1</v>
      </c>
      <c r="X201" s="1098" t="e">
        <f>INDEX(OSReq,MATCH('Interior Lighting'!D201,LightingSpaceType,0))</f>
        <v>#N/A</v>
      </c>
      <c r="Y201" s="1098" t="e">
        <f t="shared" si="32"/>
        <v>#N/A</v>
      </c>
      <c r="Z201" s="1098" t="e">
        <f t="shared" si="33"/>
        <v>#N/A</v>
      </c>
      <c r="AA201" s="1098" t="e">
        <f>INDEX(Lookup!$O$9:$O$24,MATCH('Interior Lighting'!Z201,Lookup!$K$9:$K$24,0))</f>
        <v>#N/A</v>
      </c>
      <c r="AB201" s="1098" t="e">
        <f>IF(E201="A",INDEX(Lookup!$L$9:$L$24,MATCH(Z201,Lookup!$K$9:$K$24,0)),IF(E201="B",INDEX(Lookup!$M$9:$M$24,MATCH(Z201,Lookup!$K$9:$K$24,0)),IF(E201="C",INDEX(Lookup!$N$9:$N$24,MATCH(Z201,Lookup!$K$9:$K$24,0)),"N/A")))</f>
        <v>#N/A</v>
      </c>
    </row>
    <row r="202" spans="1:28">
      <c r="A202" s="1006"/>
      <c r="B202" s="69"/>
      <c r="C202" s="323"/>
      <c r="D202" s="323"/>
      <c r="E202" s="324" t="e">
        <f>INDEX(Lookup!$I$9:$I$24,MATCH('Interior Lighting'!D202,Lookup!$C$9:$C$24,0))</f>
        <v>#N/A</v>
      </c>
      <c r="F202" s="69"/>
      <c r="G202" s="69"/>
      <c r="H202" s="69"/>
      <c r="I202" s="324" t="e">
        <f t="shared" si="34"/>
        <v>#N/A</v>
      </c>
      <c r="J202" s="170"/>
      <c r="K202" s="325">
        <f t="shared" si="35"/>
        <v>0</v>
      </c>
      <c r="L202" s="326" t="e">
        <f t="shared" si="36"/>
        <v>#DIV/0!</v>
      </c>
      <c r="M202" s="326" t="str">
        <f>IF(H202="Yes",IF(D202='Drop Down'!$W$4,0.9*L202,IF(D202='Drop Down'!$W$5,0.9*L202,IF(D202='Drop Down'!$W$10,0.9*L202,IF(D202='Drop Down'!$W$16,0.9*L202,"No credit allowed.")))),"N/A")</f>
        <v>N/A</v>
      </c>
      <c r="N202" s="327" t="e">
        <f>IF($D$20="Space-By-Space (90.1-2013)",INDEX(LPD2013SS,MATCH('Interior Lighting'!D202,LightingSpaceType,0)*W202),INDEX(LPD2013WB,MATCH('Interior Lighting'!D202,LightingSpaceType,0)))</f>
        <v>#N/A</v>
      </c>
      <c r="O202" s="327">
        <f t="shared" si="37"/>
        <v>0</v>
      </c>
      <c r="P202" s="407" t="e">
        <f t="shared" si="27"/>
        <v>#N/A</v>
      </c>
      <c r="Q202" s="407" t="e">
        <f t="shared" si="38"/>
        <v>#N/A</v>
      </c>
      <c r="R202" s="407" t="e">
        <f t="shared" si="28"/>
        <v>#N/A</v>
      </c>
      <c r="S202" s="324">
        <f t="shared" si="29"/>
        <v>0</v>
      </c>
      <c r="T202" s="924" t="str">
        <f t="shared" si="30"/>
        <v/>
      </c>
      <c r="U202" s="1221" t="str">
        <f t="shared" si="39"/>
        <v/>
      </c>
      <c r="W202" s="1098">
        <f t="shared" si="31"/>
        <v>1</v>
      </c>
      <c r="X202" s="1098" t="e">
        <f>INDEX(OSReq,MATCH('Interior Lighting'!D202,LightingSpaceType,0))</f>
        <v>#N/A</v>
      </c>
      <c r="Y202" s="1098" t="e">
        <f t="shared" si="32"/>
        <v>#N/A</v>
      </c>
      <c r="Z202" s="1098" t="e">
        <f t="shared" si="33"/>
        <v>#N/A</v>
      </c>
      <c r="AA202" s="1098" t="e">
        <f>INDEX(Lookup!$O$9:$O$24,MATCH('Interior Lighting'!Z202,Lookup!$K$9:$K$24,0))</f>
        <v>#N/A</v>
      </c>
      <c r="AB202" s="1098" t="e">
        <f>IF(E202="A",INDEX(Lookup!$L$9:$L$24,MATCH(Z202,Lookup!$K$9:$K$24,0)),IF(E202="B",INDEX(Lookup!$M$9:$M$24,MATCH(Z202,Lookup!$K$9:$K$24,0)),IF(E202="C",INDEX(Lookup!$N$9:$N$24,MATCH(Z202,Lookup!$K$9:$K$24,0)),"N/A")))</f>
        <v>#N/A</v>
      </c>
    </row>
    <row r="203" spans="1:28">
      <c r="A203" s="1006"/>
      <c r="B203" s="69"/>
      <c r="C203" s="330"/>
      <c r="D203" s="323"/>
      <c r="E203" s="324" t="e">
        <f>INDEX(Lookup!$I$9:$I$24,MATCH('Interior Lighting'!D203,Lookup!$C$9:$C$24,0))</f>
        <v>#N/A</v>
      </c>
      <c r="F203" s="69"/>
      <c r="G203" s="69"/>
      <c r="H203" s="69"/>
      <c r="I203" s="324" t="e">
        <f t="shared" si="34"/>
        <v>#N/A</v>
      </c>
      <c r="J203" s="170"/>
      <c r="K203" s="325">
        <f t="shared" si="35"/>
        <v>0</v>
      </c>
      <c r="L203" s="326" t="e">
        <f t="shared" si="36"/>
        <v>#DIV/0!</v>
      </c>
      <c r="M203" s="326" t="str">
        <f>IF(H203="Yes",IF(D203='Drop Down'!$W$4,0.9*L203,IF(D203='Drop Down'!$W$5,0.9*L203,IF(D203='Drop Down'!$W$10,0.9*L203,IF(D203='Drop Down'!$W$16,0.9*L203,"No credit allowed.")))),"N/A")</f>
        <v>N/A</v>
      </c>
      <c r="N203" s="327" t="e">
        <f>IF($D$20="Space-By-Space (90.1-2013)",INDEX(LPD2013SS,MATCH('Interior Lighting'!D203,LightingSpaceType,0)*W203),INDEX(LPD2013WB,MATCH('Interior Lighting'!D203,LightingSpaceType,0)))</f>
        <v>#N/A</v>
      </c>
      <c r="O203" s="327">
        <f t="shared" si="37"/>
        <v>0</v>
      </c>
      <c r="P203" s="407" t="e">
        <f t="shared" si="27"/>
        <v>#N/A</v>
      </c>
      <c r="Q203" s="407" t="e">
        <f t="shared" si="38"/>
        <v>#N/A</v>
      </c>
      <c r="R203" s="407" t="e">
        <f t="shared" si="28"/>
        <v>#N/A</v>
      </c>
      <c r="S203" s="324">
        <f t="shared" si="29"/>
        <v>0</v>
      </c>
      <c r="T203" s="924" t="str">
        <f t="shared" si="30"/>
        <v/>
      </c>
      <c r="U203" s="1221" t="str">
        <f t="shared" si="39"/>
        <v/>
      </c>
      <c r="W203" s="1098">
        <f t="shared" si="31"/>
        <v>1</v>
      </c>
      <c r="X203" s="1098" t="e">
        <f>INDEX(OSReq,MATCH('Interior Lighting'!D203,LightingSpaceType,0))</f>
        <v>#N/A</v>
      </c>
      <c r="Y203" s="1098" t="e">
        <f t="shared" si="32"/>
        <v>#N/A</v>
      </c>
      <c r="Z203" s="1098" t="e">
        <f t="shared" si="33"/>
        <v>#N/A</v>
      </c>
      <c r="AA203" s="1098" t="e">
        <f>INDEX(Lookup!$O$9:$O$24,MATCH('Interior Lighting'!Z203,Lookup!$K$9:$K$24,0))</f>
        <v>#N/A</v>
      </c>
      <c r="AB203" s="1098" t="e">
        <f>IF(E203="A",INDEX(Lookup!$L$9:$L$24,MATCH(Z203,Lookup!$K$9:$K$24,0)),IF(E203="B",INDEX(Lookup!$M$9:$M$24,MATCH(Z203,Lookup!$K$9:$K$24,0)),IF(E203="C",INDEX(Lookup!$N$9:$N$24,MATCH(Z203,Lookup!$K$9:$K$24,0)),"N/A")))</f>
        <v>#N/A</v>
      </c>
    </row>
    <row r="204" spans="1:28">
      <c r="A204" s="1006"/>
      <c r="B204" s="69"/>
      <c r="C204" s="323"/>
      <c r="D204" s="323"/>
      <c r="E204" s="324" t="e">
        <f>INDEX(Lookup!$I$9:$I$24,MATCH('Interior Lighting'!D204,Lookup!$C$9:$C$24,0))</f>
        <v>#N/A</v>
      </c>
      <c r="F204" s="69"/>
      <c r="G204" s="69"/>
      <c r="H204" s="69"/>
      <c r="I204" s="324" t="e">
        <f t="shared" si="34"/>
        <v>#N/A</v>
      </c>
      <c r="J204" s="170"/>
      <c r="K204" s="325">
        <f t="shared" si="35"/>
        <v>0</v>
      </c>
      <c r="L204" s="326" t="e">
        <f t="shared" si="36"/>
        <v>#DIV/0!</v>
      </c>
      <c r="M204" s="326" t="str">
        <f>IF(H204="Yes",IF(D204='Drop Down'!$W$4,0.9*L204,IF(D204='Drop Down'!$W$5,0.9*L204,IF(D204='Drop Down'!$W$10,0.9*L204,IF(D204='Drop Down'!$W$16,0.9*L204,"No credit allowed.")))),"N/A")</f>
        <v>N/A</v>
      </c>
      <c r="N204" s="327" t="e">
        <f>IF($D$20="Space-By-Space (90.1-2013)",INDEX(LPD2013SS,MATCH('Interior Lighting'!D204,LightingSpaceType,0)*W204),INDEX(LPD2013WB,MATCH('Interior Lighting'!D204,LightingSpaceType,0)))</f>
        <v>#N/A</v>
      </c>
      <c r="O204" s="327">
        <f t="shared" si="37"/>
        <v>0</v>
      </c>
      <c r="P204" s="407" t="e">
        <f t="shared" si="27"/>
        <v>#N/A</v>
      </c>
      <c r="Q204" s="407" t="e">
        <f t="shared" si="38"/>
        <v>#N/A</v>
      </c>
      <c r="R204" s="407" t="e">
        <f t="shared" si="28"/>
        <v>#N/A</v>
      </c>
      <c r="S204" s="324">
        <f t="shared" si="29"/>
        <v>0</v>
      </c>
      <c r="T204" s="924" t="str">
        <f t="shared" si="30"/>
        <v/>
      </c>
      <c r="U204" s="1221" t="str">
        <f t="shared" si="39"/>
        <v/>
      </c>
      <c r="W204" s="1098">
        <f t="shared" si="31"/>
        <v>1</v>
      </c>
      <c r="X204" s="1098" t="e">
        <f>INDEX(OSReq,MATCH('Interior Lighting'!D204,LightingSpaceType,0))</f>
        <v>#N/A</v>
      </c>
      <c r="Y204" s="1098" t="e">
        <f t="shared" si="32"/>
        <v>#N/A</v>
      </c>
      <c r="Z204" s="1098" t="e">
        <f t="shared" si="33"/>
        <v>#N/A</v>
      </c>
      <c r="AA204" s="1098" t="e">
        <f>INDEX(Lookup!$O$9:$O$24,MATCH('Interior Lighting'!Z204,Lookup!$K$9:$K$24,0))</f>
        <v>#N/A</v>
      </c>
      <c r="AB204" s="1098" t="e">
        <f>IF(E204="A",INDEX(Lookup!$L$9:$L$24,MATCH(Z204,Lookup!$K$9:$K$24,0)),IF(E204="B",INDEX(Lookup!$M$9:$M$24,MATCH(Z204,Lookup!$K$9:$K$24,0)),IF(E204="C",INDEX(Lookup!$N$9:$N$24,MATCH(Z204,Lookup!$K$9:$K$24,0)),"N/A")))</f>
        <v>#N/A</v>
      </c>
    </row>
    <row r="205" spans="1:28">
      <c r="A205" s="1006"/>
      <c r="B205" s="69"/>
      <c r="C205" s="323"/>
      <c r="D205" s="323"/>
      <c r="E205" s="324" t="e">
        <f>INDEX(Lookup!$I$9:$I$24,MATCH('Interior Lighting'!D205,Lookup!$C$9:$C$24,0))</f>
        <v>#N/A</v>
      </c>
      <c r="F205" s="69"/>
      <c r="G205" s="69"/>
      <c r="H205" s="69"/>
      <c r="I205" s="324" t="e">
        <f t="shared" si="34"/>
        <v>#N/A</v>
      </c>
      <c r="J205" s="170"/>
      <c r="K205" s="325">
        <f t="shared" si="35"/>
        <v>0</v>
      </c>
      <c r="L205" s="326" t="e">
        <f t="shared" si="36"/>
        <v>#DIV/0!</v>
      </c>
      <c r="M205" s="326" t="str">
        <f>IF(H205="Yes",IF(D205='Drop Down'!$W$4,0.9*L205,IF(D205='Drop Down'!$W$5,0.9*L205,IF(D205='Drop Down'!$W$10,0.9*L205,IF(D205='Drop Down'!$W$16,0.9*L205,"No credit allowed.")))),"N/A")</f>
        <v>N/A</v>
      </c>
      <c r="N205" s="327" t="e">
        <f>IF($D$20="Space-By-Space (90.1-2013)",INDEX(LPD2013SS,MATCH('Interior Lighting'!D205,LightingSpaceType,0)*W205),INDEX(LPD2013WB,MATCH('Interior Lighting'!D205,LightingSpaceType,0)))</f>
        <v>#N/A</v>
      </c>
      <c r="O205" s="327">
        <f t="shared" si="37"/>
        <v>0</v>
      </c>
      <c r="P205" s="407" t="e">
        <f t="shared" si="27"/>
        <v>#N/A</v>
      </c>
      <c r="Q205" s="407" t="e">
        <f t="shared" si="38"/>
        <v>#N/A</v>
      </c>
      <c r="R205" s="407" t="e">
        <f t="shared" si="28"/>
        <v>#N/A</v>
      </c>
      <c r="S205" s="324">
        <f t="shared" si="29"/>
        <v>0</v>
      </c>
      <c r="T205" s="924" t="str">
        <f t="shared" si="30"/>
        <v/>
      </c>
      <c r="U205" s="1221" t="str">
        <f t="shared" si="39"/>
        <v/>
      </c>
      <c r="W205" s="1098">
        <f t="shared" si="31"/>
        <v>1</v>
      </c>
      <c r="X205" s="1098" t="e">
        <f>INDEX(OSReq,MATCH('Interior Lighting'!D205,LightingSpaceType,0))</f>
        <v>#N/A</v>
      </c>
      <c r="Y205" s="1098" t="e">
        <f t="shared" si="32"/>
        <v>#N/A</v>
      </c>
      <c r="Z205" s="1098" t="e">
        <f t="shared" si="33"/>
        <v>#N/A</v>
      </c>
      <c r="AA205" s="1098" t="e">
        <f>INDEX(Lookup!$O$9:$O$24,MATCH('Interior Lighting'!Z205,Lookup!$K$9:$K$24,0))</f>
        <v>#N/A</v>
      </c>
      <c r="AB205" s="1098" t="e">
        <f>IF(E205="A",INDEX(Lookup!$L$9:$L$24,MATCH(Z205,Lookup!$K$9:$K$24,0)),IF(E205="B",INDEX(Lookup!$M$9:$M$24,MATCH(Z205,Lookup!$K$9:$K$24,0)),IF(E205="C",INDEX(Lookup!$N$9:$N$24,MATCH(Z205,Lookup!$K$9:$K$24,0)),"N/A")))</f>
        <v>#N/A</v>
      </c>
    </row>
    <row r="206" spans="1:28">
      <c r="A206" s="1006"/>
      <c r="B206" s="69"/>
      <c r="C206" s="323"/>
      <c r="D206" s="323"/>
      <c r="E206" s="324" t="e">
        <f>INDEX(Lookup!$I$9:$I$24,MATCH('Interior Lighting'!D206,Lookup!$C$9:$C$24,0))</f>
        <v>#N/A</v>
      </c>
      <c r="F206" s="69"/>
      <c r="G206" s="69"/>
      <c r="H206" s="69"/>
      <c r="I206" s="324" t="e">
        <f t="shared" si="34"/>
        <v>#N/A</v>
      </c>
      <c r="J206" s="170"/>
      <c r="K206" s="325">
        <f t="shared" si="35"/>
        <v>0</v>
      </c>
      <c r="L206" s="326" t="e">
        <f t="shared" si="36"/>
        <v>#DIV/0!</v>
      </c>
      <c r="M206" s="326" t="str">
        <f>IF(H206="Yes",IF(D206='Drop Down'!$W$4,0.9*L206,IF(D206='Drop Down'!$W$5,0.9*L206,IF(D206='Drop Down'!$W$10,0.9*L206,IF(D206='Drop Down'!$W$16,0.9*L206,"No credit allowed.")))),"N/A")</f>
        <v>N/A</v>
      </c>
      <c r="N206" s="327" t="e">
        <f>IF($D$20="Space-By-Space (90.1-2013)",INDEX(LPD2013SS,MATCH('Interior Lighting'!D206,LightingSpaceType,0)*W206),INDEX(LPD2013WB,MATCH('Interior Lighting'!D206,LightingSpaceType,0)))</f>
        <v>#N/A</v>
      </c>
      <c r="O206" s="327">
        <f t="shared" si="37"/>
        <v>0</v>
      </c>
      <c r="P206" s="407" t="e">
        <f t="shared" si="27"/>
        <v>#N/A</v>
      </c>
      <c r="Q206" s="407" t="e">
        <f t="shared" si="38"/>
        <v>#N/A</v>
      </c>
      <c r="R206" s="407" t="e">
        <f t="shared" si="28"/>
        <v>#N/A</v>
      </c>
      <c r="S206" s="324">
        <f t="shared" si="29"/>
        <v>0</v>
      </c>
      <c r="T206" s="924" t="str">
        <f t="shared" si="30"/>
        <v/>
      </c>
      <c r="U206" s="1221" t="str">
        <f t="shared" si="39"/>
        <v/>
      </c>
      <c r="W206" s="1098">
        <f t="shared" si="31"/>
        <v>1</v>
      </c>
      <c r="X206" s="1098" t="e">
        <f>INDEX(OSReq,MATCH('Interior Lighting'!D206,LightingSpaceType,0))</f>
        <v>#N/A</v>
      </c>
      <c r="Y206" s="1098" t="e">
        <f t="shared" si="32"/>
        <v>#N/A</v>
      </c>
      <c r="Z206" s="1098" t="e">
        <f t="shared" si="33"/>
        <v>#N/A</v>
      </c>
      <c r="AA206" s="1098" t="e">
        <f>INDEX(Lookup!$O$9:$O$24,MATCH('Interior Lighting'!Z206,Lookup!$K$9:$K$24,0))</f>
        <v>#N/A</v>
      </c>
      <c r="AB206" s="1098" t="e">
        <f>IF(E206="A",INDEX(Lookup!$L$9:$L$24,MATCH(Z206,Lookup!$K$9:$K$24,0)),IF(E206="B",INDEX(Lookup!$M$9:$M$24,MATCH(Z206,Lookup!$K$9:$K$24,0)),IF(E206="C",INDEX(Lookup!$N$9:$N$24,MATCH(Z206,Lookup!$K$9:$K$24,0)),"N/A")))</f>
        <v>#N/A</v>
      </c>
    </row>
    <row r="207" spans="1:28">
      <c r="A207" s="1006"/>
      <c r="B207" s="69"/>
      <c r="C207" s="323"/>
      <c r="D207" s="323"/>
      <c r="E207" s="324" t="e">
        <f>INDEX(Lookup!$I$9:$I$24,MATCH('Interior Lighting'!D207,Lookup!$C$9:$C$24,0))</f>
        <v>#N/A</v>
      </c>
      <c r="F207" s="69"/>
      <c r="G207" s="69"/>
      <c r="H207" s="69"/>
      <c r="I207" s="324" t="e">
        <f t="shared" si="34"/>
        <v>#N/A</v>
      </c>
      <c r="J207" s="170"/>
      <c r="K207" s="325">
        <f t="shared" si="35"/>
        <v>0</v>
      </c>
      <c r="L207" s="326" t="e">
        <f t="shared" si="36"/>
        <v>#DIV/0!</v>
      </c>
      <c r="M207" s="326" t="str">
        <f>IF(H207="Yes",IF(D207='Drop Down'!$W$4,0.9*L207,IF(D207='Drop Down'!$W$5,0.9*L207,IF(D207='Drop Down'!$W$10,0.9*L207,IF(D207='Drop Down'!$W$16,0.9*L207,"No credit allowed.")))),"N/A")</f>
        <v>N/A</v>
      </c>
      <c r="N207" s="327" t="e">
        <f>IF($D$20="Space-By-Space (90.1-2013)",INDEX(LPD2013SS,MATCH('Interior Lighting'!D207,LightingSpaceType,0)*W207),INDEX(LPD2013WB,MATCH('Interior Lighting'!D207,LightingSpaceType,0)))</f>
        <v>#N/A</v>
      </c>
      <c r="O207" s="327">
        <f t="shared" si="37"/>
        <v>0</v>
      </c>
      <c r="P207" s="407" t="e">
        <f t="shared" si="27"/>
        <v>#N/A</v>
      </c>
      <c r="Q207" s="407" t="e">
        <f t="shared" si="38"/>
        <v>#N/A</v>
      </c>
      <c r="R207" s="407" t="e">
        <f t="shared" si="28"/>
        <v>#N/A</v>
      </c>
      <c r="S207" s="324">
        <f t="shared" si="29"/>
        <v>0</v>
      </c>
      <c r="T207" s="924" t="str">
        <f t="shared" si="30"/>
        <v/>
      </c>
      <c r="U207" s="1221" t="str">
        <f t="shared" si="39"/>
        <v/>
      </c>
      <c r="W207" s="1098">
        <f t="shared" si="31"/>
        <v>1</v>
      </c>
      <c r="X207" s="1098" t="e">
        <f>INDEX(OSReq,MATCH('Interior Lighting'!D207,LightingSpaceType,0))</f>
        <v>#N/A</v>
      </c>
      <c r="Y207" s="1098" t="e">
        <f t="shared" si="32"/>
        <v>#N/A</v>
      </c>
      <c r="Z207" s="1098" t="e">
        <f t="shared" si="33"/>
        <v>#N/A</v>
      </c>
      <c r="AA207" s="1098" t="e">
        <f>INDEX(Lookup!$O$9:$O$24,MATCH('Interior Lighting'!Z207,Lookup!$K$9:$K$24,0))</f>
        <v>#N/A</v>
      </c>
      <c r="AB207" s="1098" t="e">
        <f>IF(E207="A",INDEX(Lookup!$L$9:$L$24,MATCH(Z207,Lookup!$K$9:$K$24,0)),IF(E207="B",INDEX(Lookup!$M$9:$M$24,MATCH(Z207,Lookup!$K$9:$K$24,0)),IF(E207="C",INDEX(Lookup!$N$9:$N$24,MATCH(Z207,Lookup!$K$9:$K$24,0)),"N/A")))</f>
        <v>#N/A</v>
      </c>
    </row>
    <row r="208" spans="1:28">
      <c r="A208" s="1006"/>
      <c r="B208" s="69"/>
      <c r="C208" s="323"/>
      <c r="D208" s="323"/>
      <c r="E208" s="324" t="e">
        <f>INDEX(Lookup!$I$9:$I$24,MATCH('Interior Lighting'!D208,Lookup!$C$9:$C$24,0))</f>
        <v>#N/A</v>
      </c>
      <c r="F208" s="69"/>
      <c r="G208" s="69"/>
      <c r="H208" s="69"/>
      <c r="I208" s="324" t="e">
        <f t="shared" si="34"/>
        <v>#N/A</v>
      </c>
      <c r="J208" s="170"/>
      <c r="K208" s="325">
        <f t="shared" si="35"/>
        <v>0</v>
      </c>
      <c r="L208" s="326" t="e">
        <f t="shared" si="36"/>
        <v>#DIV/0!</v>
      </c>
      <c r="M208" s="326" t="str">
        <f>IF(H208="Yes",IF(D208='Drop Down'!$W$4,0.9*L208,IF(D208='Drop Down'!$W$5,0.9*L208,IF(D208='Drop Down'!$W$10,0.9*L208,IF(D208='Drop Down'!$W$16,0.9*L208,"No credit allowed.")))),"N/A")</f>
        <v>N/A</v>
      </c>
      <c r="N208" s="327" t="e">
        <f>IF($D$20="Space-By-Space (90.1-2013)",INDEX(LPD2013SS,MATCH('Interior Lighting'!D208,LightingSpaceType,0)*W208),INDEX(LPD2013WB,MATCH('Interior Lighting'!D208,LightingSpaceType,0)))</f>
        <v>#N/A</v>
      </c>
      <c r="O208" s="327">
        <f t="shared" si="37"/>
        <v>0</v>
      </c>
      <c r="P208" s="407" t="e">
        <f t="shared" si="27"/>
        <v>#N/A</v>
      </c>
      <c r="Q208" s="407" t="e">
        <f t="shared" si="38"/>
        <v>#N/A</v>
      </c>
      <c r="R208" s="407" t="e">
        <f t="shared" si="28"/>
        <v>#N/A</v>
      </c>
      <c r="S208" s="324">
        <f t="shared" si="29"/>
        <v>0</v>
      </c>
      <c r="T208" s="924" t="str">
        <f t="shared" si="30"/>
        <v/>
      </c>
      <c r="U208" s="1221" t="str">
        <f t="shared" si="39"/>
        <v/>
      </c>
      <c r="W208" s="1098">
        <f t="shared" si="31"/>
        <v>1</v>
      </c>
      <c r="X208" s="1098" t="e">
        <f>INDEX(OSReq,MATCH('Interior Lighting'!D208,LightingSpaceType,0))</f>
        <v>#N/A</v>
      </c>
      <c r="Y208" s="1098" t="e">
        <f t="shared" si="32"/>
        <v>#N/A</v>
      </c>
      <c r="Z208" s="1098" t="e">
        <f t="shared" si="33"/>
        <v>#N/A</v>
      </c>
      <c r="AA208" s="1098" t="e">
        <f>INDEX(Lookup!$O$9:$O$24,MATCH('Interior Lighting'!Z208,Lookup!$K$9:$K$24,0))</f>
        <v>#N/A</v>
      </c>
      <c r="AB208" s="1098" t="e">
        <f>IF(E208="A",INDEX(Lookup!$L$9:$L$24,MATCH(Z208,Lookup!$K$9:$K$24,0)),IF(E208="B",INDEX(Lookup!$M$9:$M$24,MATCH(Z208,Lookup!$K$9:$K$24,0)),IF(E208="C",INDEX(Lookup!$N$9:$N$24,MATCH(Z208,Lookup!$K$9:$K$24,0)),"N/A")))</f>
        <v>#N/A</v>
      </c>
    </row>
    <row r="209" spans="1:28">
      <c r="A209" s="1006"/>
      <c r="B209" s="69"/>
      <c r="C209" s="330"/>
      <c r="D209" s="323"/>
      <c r="E209" s="324" t="e">
        <f>INDEX(Lookup!$I$9:$I$24,MATCH('Interior Lighting'!D209,Lookup!$C$9:$C$24,0))</f>
        <v>#N/A</v>
      </c>
      <c r="F209" s="69"/>
      <c r="G209" s="69"/>
      <c r="H209" s="69"/>
      <c r="I209" s="324" t="e">
        <f t="shared" si="34"/>
        <v>#N/A</v>
      </c>
      <c r="J209" s="170"/>
      <c r="K209" s="325">
        <f t="shared" si="35"/>
        <v>0</v>
      </c>
      <c r="L209" s="326" t="e">
        <f t="shared" si="36"/>
        <v>#DIV/0!</v>
      </c>
      <c r="M209" s="326" t="str">
        <f>IF(H209="Yes",IF(D209='Drop Down'!$W$4,0.9*L209,IF(D209='Drop Down'!$W$5,0.9*L209,IF(D209='Drop Down'!$W$10,0.9*L209,IF(D209='Drop Down'!$W$16,0.9*L209,"No credit allowed.")))),"N/A")</f>
        <v>N/A</v>
      </c>
      <c r="N209" s="327" t="e">
        <f>IF($D$20="Space-By-Space (90.1-2013)",INDEX(LPD2013SS,MATCH('Interior Lighting'!D209,LightingSpaceType,0)*W209),INDEX(LPD2013WB,MATCH('Interior Lighting'!D209,LightingSpaceType,0)))</f>
        <v>#N/A</v>
      </c>
      <c r="O209" s="327">
        <f t="shared" si="37"/>
        <v>0</v>
      </c>
      <c r="P209" s="407" t="e">
        <f t="shared" si="27"/>
        <v>#N/A</v>
      </c>
      <c r="Q209" s="407" t="e">
        <f t="shared" si="38"/>
        <v>#N/A</v>
      </c>
      <c r="R209" s="407" t="e">
        <f t="shared" si="28"/>
        <v>#N/A</v>
      </c>
      <c r="S209" s="324">
        <f t="shared" si="29"/>
        <v>0</v>
      </c>
      <c r="T209" s="924" t="str">
        <f t="shared" si="30"/>
        <v/>
      </c>
      <c r="U209" s="1221" t="str">
        <f t="shared" si="39"/>
        <v/>
      </c>
      <c r="W209" s="1098">
        <f t="shared" si="31"/>
        <v>1</v>
      </c>
      <c r="X209" s="1098" t="e">
        <f>INDEX(OSReq,MATCH('Interior Lighting'!D209,LightingSpaceType,0))</f>
        <v>#N/A</v>
      </c>
      <c r="Y209" s="1098" t="e">
        <f t="shared" si="32"/>
        <v>#N/A</v>
      </c>
      <c r="Z209" s="1098" t="e">
        <f t="shared" si="33"/>
        <v>#N/A</v>
      </c>
      <c r="AA209" s="1098" t="e">
        <f>INDEX(Lookup!$O$9:$O$24,MATCH('Interior Lighting'!Z209,Lookup!$K$9:$K$24,0))</f>
        <v>#N/A</v>
      </c>
      <c r="AB209" s="1098" t="e">
        <f>IF(E209="A",INDEX(Lookup!$L$9:$L$24,MATCH(Z209,Lookup!$K$9:$K$24,0)),IF(E209="B",INDEX(Lookup!$M$9:$M$24,MATCH(Z209,Lookup!$K$9:$K$24,0)),IF(E209="C",INDEX(Lookup!$N$9:$N$24,MATCH(Z209,Lookup!$K$9:$K$24,0)),"N/A")))</f>
        <v>#N/A</v>
      </c>
    </row>
    <row r="210" spans="1:28">
      <c r="A210" s="1006"/>
      <c r="B210" s="69"/>
      <c r="C210" s="323"/>
      <c r="D210" s="323"/>
      <c r="E210" s="324" t="e">
        <f>INDEX(Lookup!$I$9:$I$24,MATCH('Interior Lighting'!D210,Lookup!$C$9:$C$24,0))</f>
        <v>#N/A</v>
      </c>
      <c r="F210" s="69"/>
      <c r="G210" s="69"/>
      <c r="H210" s="69"/>
      <c r="I210" s="324" t="e">
        <f t="shared" si="34"/>
        <v>#N/A</v>
      </c>
      <c r="J210" s="170"/>
      <c r="K210" s="325">
        <f t="shared" si="35"/>
        <v>0</v>
      </c>
      <c r="L210" s="326" t="e">
        <f t="shared" si="36"/>
        <v>#DIV/0!</v>
      </c>
      <c r="M210" s="326" t="str">
        <f>IF(H210="Yes",IF(D210='Drop Down'!$W$4,0.9*L210,IF(D210='Drop Down'!$W$5,0.9*L210,IF(D210='Drop Down'!$W$10,0.9*L210,IF(D210='Drop Down'!$W$16,0.9*L210,"No credit allowed.")))),"N/A")</f>
        <v>N/A</v>
      </c>
      <c r="N210" s="327" t="e">
        <f>IF($D$20="Space-By-Space (90.1-2013)",INDEX(LPD2013SS,MATCH('Interior Lighting'!D210,LightingSpaceType,0)*W210),INDEX(LPD2013WB,MATCH('Interior Lighting'!D210,LightingSpaceType,0)))</f>
        <v>#N/A</v>
      </c>
      <c r="O210" s="327">
        <f t="shared" si="37"/>
        <v>0</v>
      </c>
      <c r="P210" s="407" t="e">
        <f t="shared" si="27"/>
        <v>#N/A</v>
      </c>
      <c r="Q210" s="407" t="e">
        <f t="shared" si="38"/>
        <v>#N/A</v>
      </c>
      <c r="R210" s="407" t="e">
        <f t="shared" si="28"/>
        <v>#N/A</v>
      </c>
      <c r="S210" s="324">
        <f t="shared" si="29"/>
        <v>0</v>
      </c>
      <c r="T210" s="924" t="str">
        <f t="shared" si="30"/>
        <v/>
      </c>
      <c r="U210" s="1221" t="str">
        <f t="shared" si="39"/>
        <v/>
      </c>
      <c r="W210" s="1098">
        <f t="shared" si="31"/>
        <v>1</v>
      </c>
      <c r="X210" s="1098" t="e">
        <f>INDEX(OSReq,MATCH('Interior Lighting'!D210,LightingSpaceType,0))</f>
        <v>#N/A</v>
      </c>
      <c r="Y210" s="1098" t="e">
        <f t="shared" si="32"/>
        <v>#N/A</v>
      </c>
      <c r="Z210" s="1098" t="e">
        <f t="shared" si="33"/>
        <v>#N/A</v>
      </c>
      <c r="AA210" s="1098" t="e">
        <f>INDEX(Lookup!$O$9:$O$24,MATCH('Interior Lighting'!Z210,Lookup!$K$9:$K$24,0))</f>
        <v>#N/A</v>
      </c>
      <c r="AB210" s="1098" t="e">
        <f>IF(E210="A",INDEX(Lookup!$L$9:$L$24,MATCH(Z210,Lookup!$K$9:$K$24,0)),IF(E210="B",INDEX(Lookup!$M$9:$M$24,MATCH(Z210,Lookup!$K$9:$K$24,0)),IF(E210="C",INDEX(Lookup!$N$9:$N$24,MATCH(Z210,Lookup!$K$9:$K$24,0)),"N/A")))</f>
        <v>#N/A</v>
      </c>
    </row>
    <row r="211" spans="1:28">
      <c r="A211" s="1006"/>
      <c r="B211" s="69"/>
      <c r="C211" s="323"/>
      <c r="D211" s="323"/>
      <c r="E211" s="324" t="e">
        <f>INDEX(Lookup!$I$9:$I$24,MATCH('Interior Lighting'!D211,Lookup!$C$9:$C$24,0))</f>
        <v>#N/A</v>
      </c>
      <c r="F211" s="69"/>
      <c r="G211" s="69"/>
      <c r="H211" s="69"/>
      <c r="I211" s="324" t="e">
        <f t="shared" si="34"/>
        <v>#N/A</v>
      </c>
      <c r="J211" s="170"/>
      <c r="K211" s="325">
        <f t="shared" si="35"/>
        <v>0</v>
      </c>
      <c r="L211" s="326" t="e">
        <f t="shared" si="36"/>
        <v>#DIV/0!</v>
      </c>
      <c r="M211" s="326" t="str">
        <f>IF(H211="Yes",IF(D211='Drop Down'!$W$4,0.9*L211,IF(D211='Drop Down'!$W$5,0.9*L211,IF(D211='Drop Down'!$W$10,0.9*L211,IF(D211='Drop Down'!$W$16,0.9*L211,"No credit allowed.")))),"N/A")</f>
        <v>N/A</v>
      </c>
      <c r="N211" s="327" t="e">
        <f>IF($D$20="Space-By-Space (90.1-2013)",INDEX(LPD2013SS,MATCH('Interior Lighting'!D211,LightingSpaceType,0)*W211),INDEX(LPD2013WB,MATCH('Interior Lighting'!D211,LightingSpaceType,0)))</f>
        <v>#N/A</v>
      </c>
      <c r="O211" s="327">
        <f t="shared" si="37"/>
        <v>0</v>
      </c>
      <c r="P211" s="407" t="e">
        <f t="shared" si="27"/>
        <v>#N/A</v>
      </c>
      <c r="Q211" s="407" t="e">
        <f t="shared" si="38"/>
        <v>#N/A</v>
      </c>
      <c r="R211" s="407" t="e">
        <f t="shared" si="28"/>
        <v>#N/A</v>
      </c>
      <c r="S211" s="324">
        <f t="shared" si="29"/>
        <v>0</v>
      </c>
      <c r="T211" s="924" t="str">
        <f t="shared" si="30"/>
        <v/>
      </c>
      <c r="U211" s="1221" t="str">
        <f t="shared" si="39"/>
        <v/>
      </c>
      <c r="W211" s="1098">
        <f t="shared" si="31"/>
        <v>1</v>
      </c>
      <c r="X211" s="1098" t="e">
        <f>INDEX(OSReq,MATCH('Interior Lighting'!D211,LightingSpaceType,0))</f>
        <v>#N/A</v>
      </c>
      <c r="Y211" s="1098" t="e">
        <f t="shared" si="32"/>
        <v>#N/A</v>
      </c>
      <c r="Z211" s="1098" t="e">
        <f t="shared" si="33"/>
        <v>#N/A</v>
      </c>
      <c r="AA211" s="1098" t="e">
        <f>INDEX(Lookup!$O$9:$O$24,MATCH('Interior Lighting'!Z211,Lookup!$K$9:$K$24,0))</f>
        <v>#N/A</v>
      </c>
      <c r="AB211" s="1098" t="e">
        <f>IF(E211="A",INDEX(Lookup!$L$9:$L$24,MATCH(Z211,Lookup!$K$9:$K$24,0)),IF(E211="B",INDEX(Lookup!$M$9:$M$24,MATCH(Z211,Lookup!$K$9:$K$24,0)),IF(E211="C",INDEX(Lookup!$N$9:$N$24,MATCH(Z211,Lookup!$K$9:$K$24,0)),"N/A")))</f>
        <v>#N/A</v>
      </c>
    </row>
    <row r="212" spans="1:28">
      <c r="A212" s="1006"/>
      <c r="B212" s="69"/>
      <c r="C212" s="323"/>
      <c r="D212" s="323"/>
      <c r="E212" s="324" t="e">
        <f>INDEX(Lookup!$I$9:$I$24,MATCH('Interior Lighting'!D212,Lookup!$C$9:$C$24,0))</f>
        <v>#N/A</v>
      </c>
      <c r="F212" s="69"/>
      <c r="G212" s="69"/>
      <c r="H212" s="69"/>
      <c r="I212" s="324" t="e">
        <f t="shared" si="34"/>
        <v>#N/A</v>
      </c>
      <c r="J212" s="170"/>
      <c r="K212" s="325">
        <f t="shared" si="35"/>
        <v>0</v>
      </c>
      <c r="L212" s="326" t="e">
        <f t="shared" si="36"/>
        <v>#DIV/0!</v>
      </c>
      <c r="M212" s="326" t="str">
        <f>IF(H212="Yes",IF(D212='Drop Down'!$W$4,0.9*L212,IF(D212='Drop Down'!$W$5,0.9*L212,IF(D212='Drop Down'!$W$10,0.9*L212,IF(D212='Drop Down'!$W$16,0.9*L212,"No credit allowed.")))),"N/A")</f>
        <v>N/A</v>
      </c>
      <c r="N212" s="327" t="e">
        <f>IF($D$20="Space-By-Space (90.1-2013)",INDEX(LPD2013SS,MATCH('Interior Lighting'!D212,LightingSpaceType,0)*W212),INDEX(LPD2013WB,MATCH('Interior Lighting'!D212,LightingSpaceType,0)))</f>
        <v>#N/A</v>
      </c>
      <c r="O212" s="327">
        <f t="shared" si="37"/>
        <v>0</v>
      </c>
      <c r="P212" s="407" t="e">
        <f t="shared" si="27"/>
        <v>#N/A</v>
      </c>
      <c r="Q212" s="407" t="e">
        <f t="shared" si="38"/>
        <v>#N/A</v>
      </c>
      <c r="R212" s="407" t="e">
        <f t="shared" si="28"/>
        <v>#N/A</v>
      </c>
      <c r="S212" s="324">
        <f t="shared" si="29"/>
        <v>0</v>
      </c>
      <c r="T212" s="924" t="str">
        <f t="shared" si="30"/>
        <v/>
      </c>
      <c r="U212" s="1221" t="str">
        <f t="shared" si="39"/>
        <v/>
      </c>
      <c r="W212" s="1098">
        <f t="shared" si="31"/>
        <v>1</v>
      </c>
      <c r="X212" s="1098" t="e">
        <f>INDEX(OSReq,MATCH('Interior Lighting'!D212,LightingSpaceType,0))</f>
        <v>#N/A</v>
      </c>
      <c r="Y212" s="1098" t="e">
        <f t="shared" si="32"/>
        <v>#N/A</v>
      </c>
      <c r="Z212" s="1098" t="e">
        <f t="shared" si="33"/>
        <v>#N/A</v>
      </c>
      <c r="AA212" s="1098" t="e">
        <f>INDEX(Lookup!$O$9:$O$24,MATCH('Interior Lighting'!Z212,Lookup!$K$9:$K$24,0))</f>
        <v>#N/A</v>
      </c>
      <c r="AB212" s="1098" t="e">
        <f>IF(E212="A",INDEX(Lookup!$L$9:$L$24,MATCH(Z212,Lookup!$K$9:$K$24,0)),IF(E212="B",INDEX(Lookup!$M$9:$M$24,MATCH(Z212,Lookup!$K$9:$K$24,0)),IF(E212="C",INDEX(Lookup!$N$9:$N$24,MATCH(Z212,Lookup!$K$9:$K$24,0)),"N/A")))</f>
        <v>#N/A</v>
      </c>
    </row>
    <row r="213" spans="1:28">
      <c r="A213" s="1006"/>
      <c r="B213" s="69"/>
      <c r="C213" s="323"/>
      <c r="D213" s="323"/>
      <c r="E213" s="324" t="e">
        <f>INDEX(Lookup!$I$9:$I$24,MATCH('Interior Lighting'!D213,Lookup!$C$9:$C$24,0))</f>
        <v>#N/A</v>
      </c>
      <c r="F213" s="69"/>
      <c r="G213" s="69"/>
      <c r="H213" s="69"/>
      <c r="I213" s="324" t="e">
        <f t="shared" si="34"/>
        <v>#N/A</v>
      </c>
      <c r="J213" s="170"/>
      <c r="K213" s="325">
        <f t="shared" si="35"/>
        <v>0</v>
      </c>
      <c r="L213" s="326" t="e">
        <f t="shared" si="36"/>
        <v>#DIV/0!</v>
      </c>
      <c r="M213" s="326" t="str">
        <f>IF(H213="Yes",IF(D213='Drop Down'!$W$4,0.9*L213,IF(D213='Drop Down'!$W$5,0.9*L213,IF(D213='Drop Down'!$W$10,0.9*L213,IF(D213='Drop Down'!$W$16,0.9*L213,"No credit allowed.")))),"N/A")</f>
        <v>N/A</v>
      </c>
      <c r="N213" s="327" t="e">
        <f>IF($D$20="Space-By-Space (90.1-2013)",INDEX(LPD2013SS,MATCH('Interior Lighting'!D213,LightingSpaceType,0)*W213),INDEX(LPD2013WB,MATCH('Interior Lighting'!D213,LightingSpaceType,0)))</f>
        <v>#N/A</v>
      </c>
      <c r="O213" s="327">
        <f t="shared" si="37"/>
        <v>0</v>
      </c>
      <c r="P213" s="407" t="e">
        <f t="shared" si="27"/>
        <v>#N/A</v>
      </c>
      <c r="Q213" s="407" t="e">
        <f t="shared" si="38"/>
        <v>#N/A</v>
      </c>
      <c r="R213" s="407" t="e">
        <f t="shared" si="28"/>
        <v>#N/A</v>
      </c>
      <c r="S213" s="324">
        <f t="shared" si="29"/>
        <v>0</v>
      </c>
      <c r="T213" s="924" t="str">
        <f t="shared" si="30"/>
        <v/>
      </c>
      <c r="U213" s="1221" t="str">
        <f t="shared" si="39"/>
        <v/>
      </c>
      <c r="W213" s="1098">
        <f t="shared" si="31"/>
        <v>1</v>
      </c>
      <c r="X213" s="1098" t="e">
        <f>INDEX(OSReq,MATCH('Interior Lighting'!D213,LightingSpaceType,0))</f>
        <v>#N/A</v>
      </c>
      <c r="Y213" s="1098" t="e">
        <f t="shared" si="32"/>
        <v>#N/A</v>
      </c>
      <c r="Z213" s="1098" t="e">
        <f t="shared" si="33"/>
        <v>#N/A</v>
      </c>
      <c r="AA213" s="1098" t="e">
        <f>INDEX(Lookup!$O$9:$O$24,MATCH('Interior Lighting'!Z213,Lookup!$K$9:$K$24,0))</f>
        <v>#N/A</v>
      </c>
      <c r="AB213" s="1098" t="e">
        <f>IF(E213="A",INDEX(Lookup!$L$9:$L$24,MATCH(Z213,Lookup!$K$9:$K$24,0)),IF(E213="B",INDEX(Lookup!$M$9:$M$24,MATCH(Z213,Lookup!$K$9:$K$24,0)),IF(E213="C",INDEX(Lookup!$N$9:$N$24,MATCH(Z213,Lookup!$K$9:$K$24,0)),"N/A")))</f>
        <v>#N/A</v>
      </c>
    </row>
    <row r="214" spans="1:28">
      <c r="A214" s="1006"/>
      <c r="B214" s="69"/>
      <c r="C214" s="323"/>
      <c r="D214" s="323"/>
      <c r="E214" s="324" t="e">
        <f>INDEX(Lookup!$I$9:$I$24,MATCH('Interior Lighting'!D214,Lookup!$C$9:$C$24,0))</f>
        <v>#N/A</v>
      </c>
      <c r="F214" s="69"/>
      <c r="G214" s="69"/>
      <c r="H214" s="69"/>
      <c r="I214" s="324" t="e">
        <f t="shared" si="34"/>
        <v>#N/A</v>
      </c>
      <c r="J214" s="170"/>
      <c r="K214" s="325">
        <f t="shared" si="35"/>
        <v>0</v>
      </c>
      <c r="L214" s="326" t="e">
        <f t="shared" si="36"/>
        <v>#DIV/0!</v>
      </c>
      <c r="M214" s="326" t="str">
        <f>IF(H214="Yes",IF(D214='Drop Down'!$W$4,0.9*L214,IF(D214='Drop Down'!$W$5,0.9*L214,IF(D214='Drop Down'!$W$10,0.9*L214,IF(D214='Drop Down'!$W$16,0.9*L214,"No credit allowed.")))),"N/A")</f>
        <v>N/A</v>
      </c>
      <c r="N214" s="327" t="e">
        <f>IF($D$20="Space-By-Space (90.1-2013)",INDEX(LPD2013SS,MATCH('Interior Lighting'!D214,LightingSpaceType,0)*W214),INDEX(LPD2013WB,MATCH('Interior Lighting'!D214,LightingSpaceType,0)))</f>
        <v>#N/A</v>
      </c>
      <c r="O214" s="327">
        <f t="shared" si="37"/>
        <v>0</v>
      </c>
      <c r="P214" s="407" t="e">
        <f t="shared" si="27"/>
        <v>#N/A</v>
      </c>
      <c r="Q214" s="407" t="e">
        <f t="shared" si="38"/>
        <v>#N/A</v>
      </c>
      <c r="R214" s="407" t="e">
        <f t="shared" si="28"/>
        <v>#N/A</v>
      </c>
      <c r="S214" s="324">
        <f t="shared" si="29"/>
        <v>0</v>
      </c>
      <c r="T214" s="924" t="str">
        <f t="shared" si="30"/>
        <v/>
      </c>
      <c r="U214" s="1221" t="str">
        <f t="shared" si="39"/>
        <v/>
      </c>
      <c r="W214" s="1098">
        <f t="shared" si="31"/>
        <v>1</v>
      </c>
      <c r="X214" s="1098" t="e">
        <f>INDEX(OSReq,MATCH('Interior Lighting'!D214,LightingSpaceType,0))</f>
        <v>#N/A</v>
      </c>
      <c r="Y214" s="1098" t="e">
        <f t="shared" si="32"/>
        <v>#N/A</v>
      </c>
      <c r="Z214" s="1098" t="e">
        <f t="shared" si="33"/>
        <v>#N/A</v>
      </c>
      <c r="AA214" s="1098" t="e">
        <f>INDEX(Lookup!$O$9:$O$24,MATCH('Interior Lighting'!Z214,Lookup!$K$9:$K$24,0))</f>
        <v>#N/A</v>
      </c>
      <c r="AB214" s="1098" t="e">
        <f>IF(E214="A",INDEX(Lookup!$L$9:$L$24,MATCH(Z214,Lookup!$K$9:$K$24,0)),IF(E214="B",INDEX(Lookup!$M$9:$M$24,MATCH(Z214,Lookup!$K$9:$K$24,0)),IF(E214="C",INDEX(Lookup!$N$9:$N$24,MATCH(Z214,Lookup!$K$9:$K$24,0)),"N/A")))</f>
        <v>#N/A</v>
      </c>
    </row>
    <row r="215" spans="1:28">
      <c r="A215" s="1006"/>
      <c r="B215" s="69"/>
      <c r="C215" s="330"/>
      <c r="D215" s="323"/>
      <c r="E215" s="324" t="e">
        <f>INDEX(Lookup!$I$9:$I$24,MATCH('Interior Lighting'!D215,Lookup!$C$9:$C$24,0))</f>
        <v>#N/A</v>
      </c>
      <c r="F215" s="69"/>
      <c r="G215" s="69"/>
      <c r="H215" s="69"/>
      <c r="I215" s="324" t="e">
        <f t="shared" si="34"/>
        <v>#N/A</v>
      </c>
      <c r="J215" s="170"/>
      <c r="K215" s="325">
        <f t="shared" si="35"/>
        <v>0</v>
      </c>
      <c r="L215" s="326" t="e">
        <f t="shared" si="36"/>
        <v>#DIV/0!</v>
      </c>
      <c r="M215" s="326" t="str">
        <f>IF(H215="Yes",IF(D215='Drop Down'!$W$4,0.9*L215,IF(D215='Drop Down'!$W$5,0.9*L215,IF(D215='Drop Down'!$W$10,0.9*L215,IF(D215='Drop Down'!$W$16,0.9*L215,"No credit allowed.")))),"N/A")</f>
        <v>N/A</v>
      </c>
      <c r="N215" s="327" t="e">
        <f>IF($D$20="Space-By-Space (90.1-2013)",INDEX(LPD2013SS,MATCH('Interior Lighting'!D215,LightingSpaceType,0)*W215),INDEX(LPD2013WB,MATCH('Interior Lighting'!D215,LightingSpaceType,0)))</f>
        <v>#N/A</v>
      </c>
      <c r="O215" s="327">
        <f t="shared" si="37"/>
        <v>0</v>
      </c>
      <c r="P215" s="407" t="e">
        <f t="shared" si="27"/>
        <v>#N/A</v>
      </c>
      <c r="Q215" s="407" t="e">
        <f t="shared" si="38"/>
        <v>#N/A</v>
      </c>
      <c r="R215" s="407" t="e">
        <f t="shared" si="28"/>
        <v>#N/A</v>
      </c>
      <c r="S215" s="324">
        <f t="shared" si="29"/>
        <v>0</v>
      </c>
      <c r="T215" s="924" t="str">
        <f t="shared" si="30"/>
        <v/>
      </c>
      <c r="U215" s="1221" t="str">
        <f t="shared" si="39"/>
        <v/>
      </c>
      <c r="W215" s="1098">
        <f t="shared" si="31"/>
        <v>1</v>
      </c>
      <c r="X215" s="1098" t="e">
        <f>INDEX(OSReq,MATCH('Interior Lighting'!D215,LightingSpaceType,0))</f>
        <v>#N/A</v>
      </c>
      <c r="Y215" s="1098" t="e">
        <f t="shared" si="32"/>
        <v>#N/A</v>
      </c>
      <c r="Z215" s="1098" t="e">
        <f t="shared" si="33"/>
        <v>#N/A</v>
      </c>
      <c r="AA215" s="1098" t="e">
        <f>INDEX(Lookup!$O$9:$O$24,MATCH('Interior Lighting'!Z215,Lookup!$K$9:$K$24,0))</f>
        <v>#N/A</v>
      </c>
      <c r="AB215" s="1098" t="e">
        <f>IF(E215="A",INDEX(Lookup!$L$9:$L$24,MATCH(Z215,Lookup!$K$9:$K$24,0)),IF(E215="B",INDEX(Lookup!$M$9:$M$24,MATCH(Z215,Lookup!$K$9:$K$24,0)),IF(E215="C",INDEX(Lookup!$N$9:$N$24,MATCH(Z215,Lookup!$K$9:$K$24,0)),"N/A")))</f>
        <v>#N/A</v>
      </c>
    </row>
    <row r="216" spans="1:28">
      <c r="A216" s="1006"/>
      <c r="B216" s="69"/>
      <c r="C216" s="323"/>
      <c r="D216" s="323"/>
      <c r="E216" s="324" t="e">
        <f>INDEX(Lookup!$I$9:$I$24,MATCH('Interior Lighting'!D216,Lookup!$C$9:$C$24,0))</f>
        <v>#N/A</v>
      </c>
      <c r="F216" s="69"/>
      <c r="G216" s="69"/>
      <c r="H216" s="69"/>
      <c r="I216" s="324" t="e">
        <f t="shared" si="34"/>
        <v>#N/A</v>
      </c>
      <c r="J216" s="170"/>
      <c r="K216" s="325">
        <f t="shared" si="35"/>
        <v>0</v>
      </c>
      <c r="L216" s="326" t="e">
        <f t="shared" si="36"/>
        <v>#DIV/0!</v>
      </c>
      <c r="M216" s="326" t="str">
        <f>IF(H216="Yes",IF(D216='Drop Down'!$W$4,0.9*L216,IF(D216='Drop Down'!$W$5,0.9*L216,IF(D216='Drop Down'!$W$10,0.9*L216,IF(D216='Drop Down'!$W$16,0.9*L216,"No credit allowed.")))),"N/A")</f>
        <v>N/A</v>
      </c>
      <c r="N216" s="327" t="e">
        <f>IF($D$20="Space-By-Space (90.1-2013)",INDEX(LPD2013SS,MATCH('Interior Lighting'!D216,LightingSpaceType,0)*W216),INDEX(LPD2013WB,MATCH('Interior Lighting'!D216,LightingSpaceType,0)))</f>
        <v>#N/A</v>
      </c>
      <c r="O216" s="327">
        <f t="shared" si="37"/>
        <v>0</v>
      </c>
      <c r="P216" s="407" t="e">
        <f t="shared" si="27"/>
        <v>#N/A</v>
      </c>
      <c r="Q216" s="407" t="e">
        <f t="shared" si="38"/>
        <v>#N/A</v>
      </c>
      <c r="R216" s="407" t="e">
        <f t="shared" si="28"/>
        <v>#N/A</v>
      </c>
      <c r="S216" s="324">
        <f t="shared" si="29"/>
        <v>0</v>
      </c>
      <c r="T216" s="924" t="str">
        <f t="shared" si="30"/>
        <v/>
      </c>
      <c r="U216" s="1221" t="str">
        <f t="shared" si="39"/>
        <v/>
      </c>
      <c r="W216" s="1098">
        <f t="shared" si="31"/>
        <v>1</v>
      </c>
      <c r="X216" s="1098" t="e">
        <f>INDEX(OSReq,MATCH('Interior Lighting'!D216,LightingSpaceType,0))</f>
        <v>#N/A</v>
      </c>
      <c r="Y216" s="1098" t="e">
        <f t="shared" si="32"/>
        <v>#N/A</v>
      </c>
      <c r="Z216" s="1098" t="e">
        <f t="shared" si="33"/>
        <v>#N/A</v>
      </c>
      <c r="AA216" s="1098" t="e">
        <f>INDEX(Lookup!$O$9:$O$24,MATCH('Interior Lighting'!Z216,Lookup!$K$9:$K$24,0))</f>
        <v>#N/A</v>
      </c>
      <c r="AB216" s="1098" t="e">
        <f>IF(E216="A",INDEX(Lookup!$L$9:$L$24,MATCH(Z216,Lookup!$K$9:$K$24,0)),IF(E216="B",INDEX(Lookup!$M$9:$M$24,MATCH(Z216,Lookup!$K$9:$K$24,0)),IF(E216="C",INDEX(Lookup!$N$9:$N$24,MATCH(Z216,Lookup!$K$9:$K$24,0)),"N/A")))</f>
        <v>#N/A</v>
      </c>
    </row>
    <row r="217" spans="1:28">
      <c r="A217" s="1006"/>
      <c r="B217" s="69"/>
      <c r="C217" s="323"/>
      <c r="D217" s="323"/>
      <c r="E217" s="324" t="e">
        <f>INDEX(Lookup!$I$9:$I$24,MATCH('Interior Lighting'!D217,Lookup!$C$9:$C$24,0))</f>
        <v>#N/A</v>
      </c>
      <c r="F217" s="69"/>
      <c r="G217" s="69"/>
      <c r="H217" s="69"/>
      <c r="I217" s="324" t="e">
        <f t="shared" si="34"/>
        <v>#N/A</v>
      </c>
      <c r="J217" s="170"/>
      <c r="K217" s="325">
        <f t="shared" si="35"/>
        <v>0</v>
      </c>
      <c r="L217" s="326" t="e">
        <f t="shared" si="36"/>
        <v>#DIV/0!</v>
      </c>
      <c r="M217" s="326" t="str">
        <f>IF(H217="Yes",IF(D217='Drop Down'!$W$4,0.9*L217,IF(D217='Drop Down'!$W$5,0.9*L217,IF(D217='Drop Down'!$W$10,0.9*L217,IF(D217='Drop Down'!$W$16,0.9*L217,"No credit allowed.")))),"N/A")</f>
        <v>N/A</v>
      </c>
      <c r="N217" s="327" t="e">
        <f>IF($D$20="Space-By-Space (90.1-2013)",INDEX(LPD2013SS,MATCH('Interior Lighting'!D217,LightingSpaceType,0)*W217),INDEX(LPD2013WB,MATCH('Interior Lighting'!D217,LightingSpaceType,0)))</f>
        <v>#N/A</v>
      </c>
      <c r="O217" s="327">
        <f t="shared" si="37"/>
        <v>0</v>
      </c>
      <c r="P217" s="407" t="e">
        <f t="shared" si="27"/>
        <v>#N/A</v>
      </c>
      <c r="Q217" s="407" t="e">
        <f t="shared" si="38"/>
        <v>#N/A</v>
      </c>
      <c r="R217" s="407" t="e">
        <f t="shared" si="28"/>
        <v>#N/A</v>
      </c>
      <c r="S217" s="324">
        <f t="shared" si="29"/>
        <v>0</v>
      </c>
      <c r="T217" s="924" t="str">
        <f t="shared" si="30"/>
        <v/>
      </c>
      <c r="U217" s="1221" t="str">
        <f t="shared" si="39"/>
        <v/>
      </c>
      <c r="W217" s="1098">
        <f t="shared" si="31"/>
        <v>1</v>
      </c>
      <c r="X217" s="1098" t="e">
        <f>INDEX(OSReq,MATCH('Interior Lighting'!D217,LightingSpaceType,0))</f>
        <v>#N/A</v>
      </c>
      <c r="Y217" s="1098" t="e">
        <f t="shared" si="32"/>
        <v>#N/A</v>
      </c>
      <c r="Z217" s="1098" t="e">
        <f t="shared" si="33"/>
        <v>#N/A</v>
      </c>
      <c r="AA217" s="1098" t="e">
        <f>INDEX(Lookup!$O$9:$O$24,MATCH('Interior Lighting'!Z217,Lookup!$K$9:$K$24,0))</f>
        <v>#N/A</v>
      </c>
      <c r="AB217" s="1098" t="e">
        <f>IF(E217="A",INDEX(Lookup!$L$9:$L$24,MATCH(Z217,Lookup!$K$9:$K$24,0)),IF(E217="B",INDEX(Lookup!$M$9:$M$24,MATCH(Z217,Lookup!$K$9:$K$24,0)),IF(E217="C",INDEX(Lookup!$N$9:$N$24,MATCH(Z217,Lookup!$K$9:$K$24,0)),"N/A")))</f>
        <v>#N/A</v>
      </c>
    </row>
    <row r="218" spans="1:28">
      <c r="A218" s="1006"/>
      <c r="B218" s="69"/>
      <c r="C218" s="323"/>
      <c r="D218" s="323"/>
      <c r="E218" s="324" t="e">
        <f>INDEX(Lookup!$I$9:$I$24,MATCH('Interior Lighting'!D218,Lookup!$C$9:$C$24,0))</f>
        <v>#N/A</v>
      </c>
      <c r="F218" s="69"/>
      <c r="G218" s="69"/>
      <c r="H218" s="69"/>
      <c r="I218" s="324" t="e">
        <f t="shared" si="34"/>
        <v>#N/A</v>
      </c>
      <c r="J218" s="170"/>
      <c r="K218" s="325">
        <f t="shared" si="35"/>
        <v>0</v>
      </c>
      <c r="L218" s="326" t="e">
        <f t="shared" si="36"/>
        <v>#DIV/0!</v>
      </c>
      <c r="M218" s="326" t="str">
        <f>IF(H218="Yes",IF(D218='Drop Down'!$W$4,0.9*L218,IF(D218='Drop Down'!$W$5,0.9*L218,IF(D218='Drop Down'!$W$10,0.9*L218,IF(D218='Drop Down'!$W$16,0.9*L218,"No credit allowed.")))),"N/A")</f>
        <v>N/A</v>
      </c>
      <c r="N218" s="327" t="e">
        <f>IF($D$20="Space-By-Space (90.1-2013)",INDEX(LPD2013SS,MATCH('Interior Lighting'!D218,LightingSpaceType,0)*W218),INDEX(LPD2013WB,MATCH('Interior Lighting'!D218,LightingSpaceType,0)))</f>
        <v>#N/A</v>
      </c>
      <c r="O218" s="327">
        <f t="shared" si="37"/>
        <v>0</v>
      </c>
      <c r="P218" s="407" t="e">
        <f t="shared" si="27"/>
        <v>#N/A</v>
      </c>
      <c r="Q218" s="407" t="e">
        <f t="shared" si="38"/>
        <v>#N/A</v>
      </c>
      <c r="R218" s="407" t="e">
        <f t="shared" si="28"/>
        <v>#N/A</v>
      </c>
      <c r="S218" s="324">
        <f t="shared" si="29"/>
        <v>0</v>
      </c>
      <c r="T218" s="924" t="str">
        <f t="shared" si="30"/>
        <v/>
      </c>
      <c r="U218" s="1221" t="str">
        <f t="shared" si="39"/>
        <v/>
      </c>
      <c r="W218" s="1098">
        <f t="shared" si="31"/>
        <v>1</v>
      </c>
      <c r="X218" s="1098" t="e">
        <f>INDEX(OSReq,MATCH('Interior Lighting'!D218,LightingSpaceType,0))</f>
        <v>#N/A</v>
      </c>
      <c r="Y218" s="1098" t="e">
        <f t="shared" si="32"/>
        <v>#N/A</v>
      </c>
      <c r="Z218" s="1098" t="e">
        <f t="shared" si="33"/>
        <v>#N/A</v>
      </c>
      <c r="AA218" s="1098" t="e">
        <f>INDEX(Lookup!$O$9:$O$24,MATCH('Interior Lighting'!Z218,Lookup!$K$9:$K$24,0))</f>
        <v>#N/A</v>
      </c>
      <c r="AB218" s="1098" t="e">
        <f>IF(E218="A",INDEX(Lookup!$L$9:$L$24,MATCH(Z218,Lookup!$K$9:$K$24,0)),IF(E218="B",INDEX(Lookup!$M$9:$M$24,MATCH(Z218,Lookup!$K$9:$K$24,0)),IF(E218="C",INDEX(Lookup!$N$9:$N$24,MATCH(Z218,Lookup!$K$9:$K$24,0)),"N/A")))</f>
        <v>#N/A</v>
      </c>
    </row>
    <row r="219" spans="1:28">
      <c r="A219" s="1006"/>
      <c r="B219" s="69"/>
      <c r="C219" s="323"/>
      <c r="D219" s="323"/>
      <c r="E219" s="324" t="e">
        <f>INDEX(Lookup!$I$9:$I$24,MATCH('Interior Lighting'!D219,Lookup!$C$9:$C$24,0))</f>
        <v>#N/A</v>
      </c>
      <c r="F219" s="69"/>
      <c r="G219" s="69"/>
      <c r="H219" s="69"/>
      <c r="I219" s="324" t="e">
        <f t="shared" si="34"/>
        <v>#N/A</v>
      </c>
      <c r="J219" s="170"/>
      <c r="K219" s="325">
        <f t="shared" si="35"/>
        <v>0</v>
      </c>
      <c r="L219" s="326" t="e">
        <f t="shared" si="36"/>
        <v>#DIV/0!</v>
      </c>
      <c r="M219" s="326" t="str">
        <f>IF(H219="Yes",IF(D219='Drop Down'!$W$4,0.9*L219,IF(D219='Drop Down'!$W$5,0.9*L219,IF(D219='Drop Down'!$W$10,0.9*L219,IF(D219='Drop Down'!$W$16,0.9*L219,"No credit allowed.")))),"N/A")</f>
        <v>N/A</v>
      </c>
      <c r="N219" s="327" t="e">
        <f>IF($D$20="Space-By-Space (90.1-2013)",INDEX(LPD2013SS,MATCH('Interior Lighting'!D219,LightingSpaceType,0)*W219),INDEX(LPD2013WB,MATCH('Interior Lighting'!D219,LightingSpaceType,0)))</f>
        <v>#N/A</v>
      </c>
      <c r="O219" s="327">
        <f t="shared" si="37"/>
        <v>0</v>
      </c>
      <c r="P219" s="407" t="e">
        <f t="shared" si="27"/>
        <v>#N/A</v>
      </c>
      <c r="Q219" s="407" t="e">
        <f t="shared" si="38"/>
        <v>#N/A</v>
      </c>
      <c r="R219" s="407" t="e">
        <f t="shared" si="28"/>
        <v>#N/A</v>
      </c>
      <c r="S219" s="324">
        <f t="shared" si="29"/>
        <v>0</v>
      </c>
      <c r="T219" s="924" t="str">
        <f t="shared" si="30"/>
        <v/>
      </c>
      <c r="U219" s="1221" t="str">
        <f t="shared" si="39"/>
        <v/>
      </c>
      <c r="W219" s="1098">
        <f t="shared" si="31"/>
        <v>1</v>
      </c>
      <c r="X219" s="1098" t="e">
        <f>INDEX(OSReq,MATCH('Interior Lighting'!D219,LightingSpaceType,0))</f>
        <v>#N/A</v>
      </c>
      <c r="Y219" s="1098" t="e">
        <f t="shared" si="32"/>
        <v>#N/A</v>
      </c>
      <c r="Z219" s="1098" t="e">
        <f t="shared" si="33"/>
        <v>#N/A</v>
      </c>
      <c r="AA219" s="1098" t="e">
        <f>INDEX(Lookup!$O$9:$O$24,MATCH('Interior Lighting'!Z219,Lookup!$K$9:$K$24,0))</f>
        <v>#N/A</v>
      </c>
      <c r="AB219" s="1098" t="e">
        <f>IF(E219="A",INDEX(Lookup!$L$9:$L$24,MATCH(Z219,Lookup!$K$9:$K$24,0)),IF(E219="B",INDEX(Lookup!$M$9:$M$24,MATCH(Z219,Lookup!$K$9:$K$24,0)),IF(E219="C",INDEX(Lookup!$N$9:$N$24,MATCH(Z219,Lookup!$K$9:$K$24,0)),"N/A")))</f>
        <v>#N/A</v>
      </c>
    </row>
    <row r="220" spans="1:28">
      <c r="A220" s="1006"/>
      <c r="B220" s="69"/>
      <c r="C220" s="323"/>
      <c r="D220" s="323"/>
      <c r="E220" s="324" t="e">
        <f>INDEX(Lookup!$I$9:$I$24,MATCH('Interior Lighting'!D220,Lookup!$C$9:$C$24,0))</f>
        <v>#N/A</v>
      </c>
      <c r="F220" s="69"/>
      <c r="G220" s="69"/>
      <c r="H220" s="69"/>
      <c r="I220" s="324" t="e">
        <f t="shared" si="34"/>
        <v>#N/A</v>
      </c>
      <c r="J220" s="170"/>
      <c r="K220" s="325">
        <f t="shared" si="35"/>
        <v>0</v>
      </c>
      <c r="L220" s="326" t="e">
        <f t="shared" si="36"/>
        <v>#DIV/0!</v>
      </c>
      <c r="M220" s="326" t="str">
        <f>IF(H220="Yes",IF(D220='Drop Down'!$W$4,0.9*L220,IF(D220='Drop Down'!$W$5,0.9*L220,IF(D220='Drop Down'!$W$10,0.9*L220,IF(D220='Drop Down'!$W$16,0.9*L220,"No credit allowed.")))),"N/A")</f>
        <v>N/A</v>
      </c>
      <c r="N220" s="327" t="e">
        <f>IF($D$20="Space-By-Space (90.1-2013)",INDEX(LPD2013SS,MATCH('Interior Lighting'!D220,LightingSpaceType,0)*W220),INDEX(LPD2013WB,MATCH('Interior Lighting'!D220,LightingSpaceType,0)))</f>
        <v>#N/A</v>
      </c>
      <c r="O220" s="327">
        <f t="shared" si="37"/>
        <v>0</v>
      </c>
      <c r="P220" s="407" t="e">
        <f t="shared" si="27"/>
        <v>#N/A</v>
      </c>
      <c r="Q220" s="407" t="e">
        <f t="shared" si="38"/>
        <v>#N/A</v>
      </c>
      <c r="R220" s="407" t="e">
        <f t="shared" si="28"/>
        <v>#N/A</v>
      </c>
      <c r="S220" s="324">
        <f t="shared" si="29"/>
        <v>0</v>
      </c>
      <c r="T220" s="924" t="str">
        <f t="shared" si="30"/>
        <v/>
      </c>
      <c r="U220" s="1221" t="str">
        <f t="shared" si="39"/>
        <v/>
      </c>
      <c r="W220" s="1098">
        <f t="shared" si="31"/>
        <v>1</v>
      </c>
      <c r="X220" s="1098" t="e">
        <f>INDEX(OSReq,MATCH('Interior Lighting'!D220,LightingSpaceType,0))</f>
        <v>#N/A</v>
      </c>
      <c r="Y220" s="1098" t="e">
        <f t="shared" si="32"/>
        <v>#N/A</v>
      </c>
      <c r="Z220" s="1098" t="e">
        <f t="shared" si="33"/>
        <v>#N/A</v>
      </c>
      <c r="AA220" s="1098" t="e">
        <f>INDEX(Lookup!$O$9:$O$24,MATCH('Interior Lighting'!Z220,Lookup!$K$9:$K$24,0))</f>
        <v>#N/A</v>
      </c>
      <c r="AB220" s="1098" t="e">
        <f>IF(E220="A",INDEX(Lookup!$L$9:$L$24,MATCH(Z220,Lookup!$K$9:$K$24,0)),IF(E220="B",INDEX(Lookup!$M$9:$M$24,MATCH(Z220,Lookup!$K$9:$K$24,0)),IF(E220="C",INDEX(Lookup!$N$9:$N$24,MATCH(Z220,Lookup!$K$9:$K$24,0)),"N/A")))</f>
        <v>#N/A</v>
      </c>
    </row>
    <row r="221" spans="1:28">
      <c r="A221" s="1006"/>
      <c r="B221" s="69"/>
      <c r="C221" s="330"/>
      <c r="D221" s="323"/>
      <c r="E221" s="324" t="e">
        <f>INDEX(Lookup!$I$9:$I$24,MATCH('Interior Lighting'!D221,Lookup!$C$9:$C$24,0))</f>
        <v>#N/A</v>
      </c>
      <c r="F221" s="69"/>
      <c r="G221" s="69"/>
      <c r="H221" s="69"/>
      <c r="I221" s="324" t="e">
        <f t="shared" si="34"/>
        <v>#N/A</v>
      </c>
      <c r="J221" s="170"/>
      <c r="K221" s="325">
        <f t="shared" si="35"/>
        <v>0</v>
      </c>
      <c r="L221" s="326" t="e">
        <f t="shared" si="36"/>
        <v>#DIV/0!</v>
      </c>
      <c r="M221" s="326" t="str">
        <f>IF(H221="Yes",IF(D221='Drop Down'!$W$4,0.9*L221,IF(D221='Drop Down'!$W$5,0.9*L221,IF(D221='Drop Down'!$W$10,0.9*L221,IF(D221='Drop Down'!$W$16,0.9*L221,"No credit allowed.")))),"N/A")</f>
        <v>N/A</v>
      </c>
      <c r="N221" s="327" t="e">
        <f>IF($D$20="Space-By-Space (90.1-2013)",INDEX(LPD2013SS,MATCH('Interior Lighting'!D221,LightingSpaceType,0)*W221),INDEX(LPD2013WB,MATCH('Interior Lighting'!D221,LightingSpaceType,0)))</f>
        <v>#N/A</v>
      </c>
      <c r="O221" s="327">
        <f t="shared" si="37"/>
        <v>0</v>
      </c>
      <c r="P221" s="407" t="e">
        <f t="shared" si="27"/>
        <v>#N/A</v>
      </c>
      <c r="Q221" s="407" t="e">
        <f t="shared" si="38"/>
        <v>#N/A</v>
      </c>
      <c r="R221" s="407" t="e">
        <f t="shared" si="28"/>
        <v>#N/A</v>
      </c>
      <c r="S221" s="324">
        <f t="shared" si="29"/>
        <v>0</v>
      </c>
      <c r="T221" s="924" t="str">
        <f t="shared" si="30"/>
        <v/>
      </c>
      <c r="U221" s="1221" t="str">
        <f t="shared" si="39"/>
        <v/>
      </c>
      <c r="W221" s="1098">
        <f t="shared" si="31"/>
        <v>1</v>
      </c>
      <c r="X221" s="1098" t="e">
        <f>INDEX(OSReq,MATCH('Interior Lighting'!D221,LightingSpaceType,0))</f>
        <v>#N/A</v>
      </c>
      <c r="Y221" s="1098" t="e">
        <f t="shared" si="32"/>
        <v>#N/A</v>
      </c>
      <c r="Z221" s="1098" t="e">
        <f t="shared" si="33"/>
        <v>#N/A</v>
      </c>
      <c r="AA221" s="1098" t="e">
        <f>INDEX(Lookup!$O$9:$O$24,MATCH('Interior Lighting'!Z221,Lookup!$K$9:$K$24,0))</f>
        <v>#N/A</v>
      </c>
      <c r="AB221" s="1098" t="e">
        <f>IF(E221="A",INDEX(Lookup!$L$9:$L$24,MATCH(Z221,Lookup!$K$9:$K$24,0)),IF(E221="B",INDEX(Lookup!$M$9:$M$24,MATCH(Z221,Lookup!$K$9:$K$24,0)),IF(E221="C",INDEX(Lookup!$N$9:$N$24,MATCH(Z221,Lookup!$K$9:$K$24,0)),"N/A")))</f>
        <v>#N/A</v>
      </c>
    </row>
    <row r="222" spans="1:28">
      <c r="A222" s="1006"/>
      <c r="B222" s="69"/>
      <c r="C222" s="323"/>
      <c r="D222" s="323"/>
      <c r="E222" s="324" t="e">
        <f>INDEX(Lookup!$I$9:$I$24,MATCH('Interior Lighting'!D222,Lookup!$C$9:$C$24,0))</f>
        <v>#N/A</v>
      </c>
      <c r="F222" s="69"/>
      <c r="G222" s="69"/>
      <c r="H222" s="69"/>
      <c r="I222" s="324" t="e">
        <f t="shared" si="34"/>
        <v>#N/A</v>
      </c>
      <c r="J222" s="170"/>
      <c r="K222" s="325">
        <f t="shared" si="35"/>
        <v>0</v>
      </c>
      <c r="L222" s="326" t="e">
        <f t="shared" si="36"/>
        <v>#DIV/0!</v>
      </c>
      <c r="M222" s="326" t="str">
        <f>IF(H222="Yes",IF(D222='Drop Down'!$W$4,0.9*L222,IF(D222='Drop Down'!$W$5,0.9*L222,IF(D222='Drop Down'!$W$10,0.9*L222,IF(D222='Drop Down'!$W$16,0.9*L222,"No credit allowed.")))),"N/A")</f>
        <v>N/A</v>
      </c>
      <c r="N222" s="327" t="e">
        <f>IF($D$20="Space-By-Space (90.1-2013)",INDEX(LPD2013SS,MATCH('Interior Lighting'!D222,LightingSpaceType,0)*W222),INDEX(LPD2013WB,MATCH('Interior Lighting'!D222,LightingSpaceType,0)))</f>
        <v>#N/A</v>
      </c>
      <c r="O222" s="327">
        <f t="shared" si="37"/>
        <v>0</v>
      </c>
      <c r="P222" s="407" t="e">
        <f t="shared" ref="P222:P285" si="40">Y222*AA222*AB222</f>
        <v>#N/A</v>
      </c>
      <c r="Q222" s="407" t="e">
        <f t="shared" si="38"/>
        <v>#N/A</v>
      </c>
      <c r="R222" s="407" t="e">
        <f t="shared" ref="R222:R285" si="41">INDEX(Footcandles,MATCH(D222,LightingSpaceType,0))</f>
        <v>#N/A</v>
      </c>
      <c r="S222" s="324">
        <f t="shared" ref="S222:S285" si="42">J222*B222</f>
        <v>0</v>
      </c>
      <c r="T222" s="924" t="str">
        <f t="shared" ref="T222:T285" si="43">IF(F222&gt;0, IF(Q222&lt;R222, "Insufficient lighting to meet IESNA footcandle recommendations.", ""), "")</f>
        <v/>
      </c>
      <c r="U222" s="1221" t="str">
        <f t="shared" si="39"/>
        <v/>
      </c>
      <c r="W222" s="1098">
        <f t="shared" ref="W222:W285" si="44">IF(A222="Yes",1.2,1)</f>
        <v>1</v>
      </c>
      <c r="X222" s="1098" t="e">
        <f>INDEX(OSReq,MATCH('Interior Lighting'!D222,LightingSpaceType,0))</f>
        <v>#N/A</v>
      </c>
      <c r="Y222" s="1098" t="e">
        <f t="shared" ref="Y222:Y285" si="45">INDEX($M$4:$M$27,MATCH(G222,$J$4:$J$27,0))</f>
        <v>#N/A</v>
      </c>
      <c r="Z222" s="1098" t="e">
        <f t="shared" ref="Z222:Z285" si="46">INDEX($K$4:$K$27,MATCH(G222,$J$4:$J$27,0))</f>
        <v>#N/A</v>
      </c>
      <c r="AA222" s="1098" t="e">
        <f>INDEX(Lookup!$O$9:$O$24,MATCH('Interior Lighting'!Z222,Lookup!$K$9:$K$24,0))</f>
        <v>#N/A</v>
      </c>
      <c r="AB222" s="1098" t="e">
        <f>IF(E222="A",INDEX(Lookup!$L$9:$L$24,MATCH(Z222,Lookup!$K$9:$K$24,0)),IF(E222="B",INDEX(Lookup!$M$9:$M$24,MATCH(Z222,Lookup!$K$9:$K$24,0)),IF(E222="C",INDEX(Lookup!$N$9:$N$24,MATCH(Z222,Lookup!$K$9:$K$24,0)),"N/A")))</f>
        <v>#N/A</v>
      </c>
    </row>
    <row r="223" spans="1:28">
      <c r="A223" s="1006"/>
      <c r="B223" s="69"/>
      <c r="C223" s="323"/>
      <c r="D223" s="323"/>
      <c r="E223" s="324" t="e">
        <f>INDEX(Lookup!$I$9:$I$24,MATCH('Interior Lighting'!D223,Lookup!$C$9:$C$24,0))</f>
        <v>#N/A</v>
      </c>
      <c r="F223" s="69"/>
      <c r="G223" s="69"/>
      <c r="H223" s="69"/>
      <c r="I223" s="324" t="e">
        <f t="shared" ref="I223:I286" si="47">INDEX($L$4:$L$27,MATCH(G223,$J$4:$J$27,0))</f>
        <v>#N/A</v>
      </c>
      <c r="J223" s="170"/>
      <c r="K223" s="325">
        <f t="shared" ref="K223:K286" si="48">IF(F223&gt;0, F223*I223*J223, 0)</f>
        <v>0</v>
      </c>
      <c r="L223" s="326" t="e">
        <f t="shared" ref="L223:L286" si="49">IF(D223="Exit Signs","convert to kW", K223/S223)</f>
        <v>#DIV/0!</v>
      </c>
      <c r="M223" s="326" t="str">
        <f>IF(H223="Yes",IF(D223='Drop Down'!$W$4,0.9*L223,IF(D223='Drop Down'!$W$5,0.9*L223,IF(D223='Drop Down'!$W$10,0.9*L223,IF(D223='Drop Down'!$W$16,0.9*L223,"No credit allowed.")))),"N/A")</f>
        <v>N/A</v>
      </c>
      <c r="N223" s="327" t="e">
        <f>IF($D$20="Space-By-Space (90.1-2013)",INDEX(LPD2013SS,MATCH('Interior Lighting'!D223,LightingSpaceType,0)*W223),INDEX(LPD2013WB,MATCH('Interior Lighting'!D223,LightingSpaceType,0)))</f>
        <v>#N/A</v>
      </c>
      <c r="O223" s="327">
        <f t="shared" ref="O223:O286" si="50">IF(D223="Exit Signs", 5*F223*J223, IF(B223&gt;0, N223*S223, 0))</f>
        <v>0</v>
      </c>
      <c r="P223" s="407" t="e">
        <f t="shared" si="40"/>
        <v>#N/A</v>
      </c>
      <c r="Q223" s="407" t="e">
        <f t="shared" ref="Q223:Q286" si="51">IF(D223="Exit Signs","NA", K223*P223/S223)</f>
        <v>#N/A</v>
      </c>
      <c r="R223" s="407" t="e">
        <f t="shared" si="41"/>
        <v>#N/A</v>
      </c>
      <c r="S223" s="324">
        <f t="shared" si="42"/>
        <v>0</v>
      </c>
      <c r="T223" s="924" t="str">
        <f t="shared" si="43"/>
        <v/>
      </c>
      <c r="U223" s="1221" t="str">
        <f t="shared" si="39"/>
        <v/>
      </c>
      <c r="W223" s="1098">
        <f t="shared" si="44"/>
        <v>1</v>
      </c>
      <c r="X223" s="1098" t="e">
        <f>INDEX(OSReq,MATCH('Interior Lighting'!D223,LightingSpaceType,0))</f>
        <v>#N/A</v>
      </c>
      <c r="Y223" s="1098" t="e">
        <f t="shared" si="45"/>
        <v>#N/A</v>
      </c>
      <c r="Z223" s="1098" t="e">
        <f t="shared" si="46"/>
        <v>#N/A</v>
      </c>
      <c r="AA223" s="1098" t="e">
        <f>INDEX(Lookup!$O$9:$O$24,MATCH('Interior Lighting'!Z223,Lookup!$K$9:$K$24,0))</f>
        <v>#N/A</v>
      </c>
      <c r="AB223" s="1098" t="e">
        <f>IF(E223="A",INDEX(Lookup!$L$9:$L$24,MATCH(Z223,Lookup!$K$9:$K$24,0)),IF(E223="B",INDEX(Lookup!$M$9:$M$24,MATCH(Z223,Lookup!$K$9:$K$24,0)),IF(E223="C",INDEX(Lookup!$N$9:$N$24,MATCH(Z223,Lookup!$K$9:$K$24,0)),"N/A")))</f>
        <v>#N/A</v>
      </c>
    </row>
    <row r="224" spans="1:28">
      <c r="A224" s="1006"/>
      <c r="B224" s="69"/>
      <c r="C224" s="323"/>
      <c r="D224" s="323"/>
      <c r="E224" s="324" t="e">
        <f>INDEX(Lookup!$I$9:$I$24,MATCH('Interior Lighting'!D224,Lookup!$C$9:$C$24,0))</f>
        <v>#N/A</v>
      </c>
      <c r="F224" s="69"/>
      <c r="G224" s="69"/>
      <c r="H224" s="69"/>
      <c r="I224" s="324" t="e">
        <f t="shared" si="47"/>
        <v>#N/A</v>
      </c>
      <c r="J224" s="170"/>
      <c r="K224" s="325">
        <f t="shared" si="48"/>
        <v>0</v>
      </c>
      <c r="L224" s="326" t="e">
        <f t="shared" si="49"/>
        <v>#DIV/0!</v>
      </c>
      <c r="M224" s="326" t="str">
        <f>IF(H224="Yes",IF(D224='Drop Down'!$W$4,0.9*L224,IF(D224='Drop Down'!$W$5,0.9*L224,IF(D224='Drop Down'!$W$10,0.9*L224,IF(D224='Drop Down'!$W$16,0.9*L224,"No credit allowed.")))),"N/A")</f>
        <v>N/A</v>
      </c>
      <c r="N224" s="327" t="e">
        <f>IF($D$20="Space-By-Space (90.1-2013)",INDEX(LPD2013SS,MATCH('Interior Lighting'!D224,LightingSpaceType,0)*W224),INDEX(LPD2013WB,MATCH('Interior Lighting'!D224,LightingSpaceType,0)))</f>
        <v>#N/A</v>
      </c>
      <c r="O224" s="327">
        <f t="shared" si="50"/>
        <v>0</v>
      </c>
      <c r="P224" s="407" t="e">
        <f t="shared" si="40"/>
        <v>#N/A</v>
      </c>
      <c r="Q224" s="407" t="e">
        <f t="shared" si="51"/>
        <v>#N/A</v>
      </c>
      <c r="R224" s="407" t="e">
        <f t="shared" si="41"/>
        <v>#N/A</v>
      </c>
      <c r="S224" s="324">
        <f t="shared" si="42"/>
        <v>0</v>
      </c>
      <c r="T224" s="924" t="str">
        <f t="shared" si="43"/>
        <v/>
      </c>
      <c r="U224" s="1221" t="str">
        <f t="shared" ref="U224:U287" si="52">IF(H224="","",IF(AND(H224="No",X224="Y"),"Please check ASHRAE Table 9.6.1 to ensure compliance with lighting control requirements for this space type.",""))</f>
        <v/>
      </c>
      <c r="W224" s="1098">
        <f t="shared" si="44"/>
        <v>1</v>
      </c>
      <c r="X224" s="1098" t="e">
        <f>INDEX(OSReq,MATCH('Interior Lighting'!D224,LightingSpaceType,0))</f>
        <v>#N/A</v>
      </c>
      <c r="Y224" s="1098" t="e">
        <f t="shared" si="45"/>
        <v>#N/A</v>
      </c>
      <c r="Z224" s="1098" t="e">
        <f t="shared" si="46"/>
        <v>#N/A</v>
      </c>
      <c r="AA224" s="1098" t="e">
        <f>INDEX(Lookup!$O$9:$O$24,MATCH('Interior Lighting'!Z224,Lookup!$K$9:$K$24,0))</f>
        <v>#N/A</v>
      </c>
      <c r="AB224" s="1098" t="e">
        <f>IF(E224="A",INDEX(Lookup!$L$9:$L$24,MATCH(Z224,Lookup!$K$9:$K$24,0)),IF(E224="B",INDEX(Lookup!$M$9:$M$24,MATCH(Z224,Lookup!$K$9:$K$24,0)),IF(E224="C",INDEX(Lookup!$N$9:$N$24,MATCH(Z224,Lookup!$K$9:$K$24,0)),"N/A")))</f>
        <v>#N/A</v>
      </c>
    </row>
    <row r="225" spans="1:28">
      <c r="A225" s="1006"/>
      <c r="B225" s="69"/>
      <c r="C225" s="323"/>
      <c r="D225" s="323"/>
      <c r="E225" s="324" t="e">
        <f>INDEX(Lookup!$I$9:$I$24,MATCH('Interior Lighting'!D225,Lookup!$C$9:$C$24,0))</f>
        <v>#N/A</v>
      </c>
      <c r="F225" s="69"/>
      <c r="G225" s="69"/>
      <c r="H225" s="69"/>
      <c r="I225" s="324" t="e">
        <f t="shared" si="47"/>
        <v>#N/A</v>
      </c>
      <c r="J225" s="170"/>
      <c r="K225" s="325">
        <f t="shared" si="48"/>
        <v>0</v>
      </c>
      <c r="L225" s="326" t="e">
        <f t="shared" si="49"/>
        <v>#DIV/0!</v>
      </c>
      <c r="M225" s="326" t="str">
        <f>IF(H225="Yes",IF(D225='Drop Down'!$W$4,0.9*L225,IF(D225='Drop Down'!$W$5,0.9*L225,IF(D225='Drop Down'!$W$10,0.9*L225,IF(D225='Drop Down'!$W$16,0.9*L225,"No credit allowed.")))),"N/A")</f>
        <v>N/A</v>
      </c>
      <c r="N225" s="327" t="e">
        <f>IF($D$20="Space-By-Space (90.1-2013)",INDEX(LPD2013SS,MATCH('Interior Lighting'!D225,LightingSpaceType,0)*W225),INDEX(LPD2013WB,MATCH('Interior Lighting'!D225,LightingSpaceType,0)))</f>
        <v>#N/A</v>
      </c>
      <c r="O225" s="327">
        <f t="shared" si="50"/>
        <v>0</v>
      </c>
      <c r="P225" s="407" t="e">
        <f t="shared" si="40"/>
        <v>#N/A</v>
      </c>
      <c r="Q225" s="407" t="e">
        <f t="shared" si="51"/>
        <v>#N/A</v>
      </c>
      <c r="R225" s="407" t="e">
        <f t="shared" si="41"/>
        <v>#N/A</v>
      </c>
      <c r="S225" s="324">
        <f t="shared" si="42"/>
        <v>0</v>
      </c>
      <c r="T225" s="924" t="str">
        <f t="shared" si="43"/>
        <v/>
      </c>
      <c r="U225" s="1221" t="str">
        <f t="shared" si="52"/>
        <v/>
      </c>
      <c r="W225" s="1098">
        <f t="shared" si="44"/>
        <v>1</v>
      </c>
      <c r="X225" s="1098" t="e">
        <f>INDEX(OSReq,MATCH('Interior Lighting'!D225,LightingSpaceType,0))</f>
        <v>#N/A</v>
      </c>
      <c r="Y225" s="1098" t="e">
        <f t="shared" si="45"/>
        <v>#N/A</v>
      </c>
      <c r="Z225" s="1098" t="e">
        <f t="shared" si="46"/>
        <v>#N/A</v>
      </c>
      <c r="AA225" s="1098" t="e">
        <f>INDEX(Lookup!$O$9:$O$24,MATCH('Interior Lighting'!Z225,Lookup!$K$9:$K$24,0))</f>
        <v>#N/A</v>
      </c>
      <c r="AB225" s="1098" t="e">
        <f>IF(E225="A",INDEX(Lookup!$L$9:$L$24,MATCH(Z225,Lookup!$K$9:$K$24,0)),IF(E225="B",INDEX(Lookup!$M$9:$M$24,MATCH(Z225,Lookup!$K$9:$K$24,0)),IF(E225="C",INDEX(Lookup!$N$9:$N$24,MATCH(Z225,Lookup!$K$9:$K$24,0)),"N/A")))</f>
        <v>#N/A</v>
      </c>
    </row>
    <row r="226" spans="1:28">
      <c r="A226" s="1103"/>
      <c r="B226" s="69"/>
      <c r="C226" s="323"/>
      <c r="D226" s="323"/>
      <c r="E226" s="324" t="e">
        <f>INDEX(Lookup!$I$9:$I$24,MATCH('Interior Lighting'!D226,Lookup!$C$9:$C$24,0))</f>
        <v>#N/A</v>
      </c>
      <c r="F226" s="69"/>
      <c r="G226" s="69"/>
      <c r="H226" s="69"/>
      <c r="I226" s="324" t="e">
        <f t="shared" si="47"/>
        <v>#N/A</v>
      </c>
      <c r="J226" s="170"/>
      <c r="K226" s="325">
        <f t="shared" si="48"/>
        <v>0</v>
      </c>
      <c r="L226" s="326" t="e">
        <f t="shared" si="49"/>
        <v>#DIV/0!</v>
      </c>
      <c r="M226" s="326" t="str">
        <f>IF(H226="Yes",IF(D226='Drop Down'!$W$4,0.9*L226,IF(D226='Drop Down'!$W$5,0.9*L226,IF(D226='Drop Down'!$W$10,0.9*L226,IF(D226='Drop Down'!$W$16,0.9*L226,"No credit allowed.")))),"N/A")</f>
        <v>N/A</v>
      </c>
      <c r="N226" s="327" t="e">
        <f>IF($D$20="Space-By-Space (90.1-2013)",INDEX(LPD2013SS,MATCH('Interior Lighting'!D226,LightingSpaceType,0)*W226),INDEX(LPD2013WB,MATCH('Interior Lighting'!D226,LightingSpaceType,0)))</f>
        <v>#N/A</v>
      </c>
      <c r="O226" s="327">
        <f t="shared" si="50"/>
        <v>0</v>
      </c>
      <c r="P226" s="407" t="e">
        <f t="shared" si="40"/>
        <v>#N/A</v>
      </c>
      <c r="Q226" s="407" t="e">
        <f t="shared" si="51"/>
        <v>#N/A</v>
      </c>
      <c r="R226" s="407" t="e">
        <f t="shared" si="41"/>
        <v>#N/A</v>
      </c>
      <c r="S226" s="324">
        <f t="shared" si="42"/>
        <v>0</v>
      </c>
      <c r="T226" s="924" t="str">
        <f t="shared" si="43"/>
        <v/>
      </c>
      <c r="U226" s="1221" t="str">
        <f t="shared" si="52"/>
        <v/>
      </c>
      <c r="W226" s="1098">
        <f t="shared" si="44"/>
        <v>1</v>
      </c>
      <c r="X226" s="1098" t="e">
        <f>INDEX(OSReq,MATCH('Interior Lighting'!D226,LightingSpaceType,0))</f>
        <v>#N/A</v>
      </c>
      <c r="Y226" s="1098" t="e">
        <f t="shared" si="45"/>
        <v>#N/A</v>
      </c>
      <c r="Z226" s="1098" t="e">
        <f t="shared" si="46"/>
        <v>#N/A</v>
      </c>
      <c r="AA226" s="1098" t="e">
        <f>INDEX(Lookup!$O$9:$O$24,MATCH('Interior Lighting'!Z226,Lookup!$K$9:$K$24,0))</f>
        <v>#N/A</v>
      </c>
      <c r="AB226" s="1098" t="e">
        <f>IF(E226="A",INDEX(Lookup!$L$9:$L$24,MATCH(Z226,Lookup!$K$9:$K$24,0)),IF(E226="B",INDEX(Lookup!$M$9:$M$24,MATCH(Z226,Lookup!$K$9:$K$24,0)),IF(E226="C",INDEX(Lookup!$N$9:$N$24,MATCH(Z226,Lookup!$K$9:$K$24,0)),"N/A")))</f>
        <v>#N/A</v>
      </c>
    </row>
    <row r="227" spans="1:28">
      <c r="A227" s="338"/>
      <c r="B227" s="69"/>
      <c r="C227" s="323"/>
      <c r="D227" s="323"/>
      <c r="E227" s="324" t="e">
        <f>INDEX(Lookup!$I$9:$I$24,MATCH('Interior Lighting'!D227,Lookup!$C$9:$C$24,0))</f>
        <v>#N/A</v>
      </c>
      <c r="F227" s="69"/>
      <c r="G227" s="69"/>
      <c r="H227" s="69"/>
      <c r="I227" s="324" t="e">
        <f t="shared" si="47"/>
        <v>#N/A</v>
      </c>
      <c r="J227" s="170"/>
      <c r="K227" s="325">
        <f t="shared" si="48"/>
        <v>0</v>
      </c>
      <c r="L227" s="326" t="e">
        <f t="shared" si="49"/>
        <v>#DIV/0!</v>
      </c>
      <c r="M227" s="326" t="str">
        <f>IF(H227="Yes",IF(D227='Drop Down'!$W$4,0.9*L227,IF(D227='Drop Down'!$W$5,0.9*L227,IF(D227='Drop Down'!$W$10,0.9*L227,IF(D227='Drop Down'!$W$16,0.9*L227,"No credit allowed.")))),"N/A")</f>
        <v>N/A</v>
      </c>
      <c r="N227" s="327" t="e">
        <f>IF($D$20="Space-By-Space (90.1-2013)",INDEX(LPD2013SS,MATCH('Interior Lighting'!D227,LightingSpaceType,0)*W227),INDEX(LPD2013WB,MATCH('Interior Lighting'!D227,LightingSpaceType,0)))</f>
        <v>#N/A</v>
      </c>
      <c r="O227" s="327">
        <f t="shared" si="50"/>
        <v>0</v>
      </c>
      <c r="P227" s="407" t="e">
        <f t="shared" si="40"/>
        <v>#N/A</v>
      </c>
      <c r="Q227" s="407" t="e">
        <f t="shared" si="51"/>
        <v>#N/A</v>
      </c>
      <c r="R227" s="407" t="e">
        <f t="shared" si="41"/>
        <v>#N/A</v>
      </c>
      <c r="S227" s="324">
        <f t="shared" si="42"/>
        <v>0</v>
      </c>
      <c r="T227" s="924" t="str">
        <f t="shared" si="43"/>
        <v/>
      </c>
      <c r="U227" s="1221" t="str">
        <f t="shared" si="52"/>
        <v/>
      </c>
      <c r="W227" s="1098">
        <f t="shared" si="44"/>
        <v>1</v>
      </c>
      <c r="X227" s="1098" t="e">
        <f>INDEX(OSReq,MATCH('Interior Lighting'!D227,LightingSpaceType,0))</f>
        <v>#N/A</v>
      </c>
      <c r="Y227" s="1098" t="e">
        <f t="shared" si="45"/>
        <v>#N/A</v>
      </c>
      <c r="Z227" s="1098" t="e">
        <f t="shared" si="46"/>
        <v>#N/A</v>
      </c>
      <c r="AA227" s="1098" t="e">
        <f>INDEX(Lookup!$O$9:$O$24,MATCH('Interior Lighting'!Z227,Lookup!$K$9:$K$24,0))</f>
        <v>#N/A</v>
      </c>
      <c r="AB227" s="1098" t="e">
        <f>IF(E227="A",INDEX(Lookup!$L$9:$L$24,MATCH(Z227,Lookup!$K$9:$K$24,0)),IF(E227="B",INDEX(Lookup!$M$9:$M$24,MATCH(Z227,Lookup!$K$9:$K$24,0)),IF(E227="C",INDEX(Lookup!$N$9:$N$24,MATCH(Z227,Lookup!$K$9:$K$24,0)),"N/A")))</f>
        <v>#N/A</v>
      </c>
    </row>
    <row r="228" spans="1:28">
      <c r="A228" s="338"/>
      <c r="B228" s="69"/>
      <c r="C228" s="323"/>
      <c r="D228" s="323"/>
      <c r="E228" s="324" t="e">
        <f>INDEX(Lookup!$I$9:$I$24,MATCH('Interior Lighting'!D228,Lookup!$C$9:$C$24,0))</f>
        <v>#N/A</v>
      </c>
      <c r="F228" s="69"/>
      <c r="G228" s="69"/>
      <c r="H228" s="69"/>
      <c r="I228" s="324" t="e">
        <f t="shared" si="47"/>
        <v>#N/A</v>
      </c>
      <c r="J228" s="170"/>
      <c r="K228" s="325">
        <f t="shared" si="48"/>
        <v>0</v>
      </c>
      <c r="L228" s="326" t="e">
        <f t="shared" si="49"/>
        <v>#DIV/0!</v>
      </c>
      <c r="M228" s="326" t="str">
        <f>IF(H228="Yes",IF(D228='Drop Down'!$W$4,0.9*L228,IF(D228='Drop Down'!$W$5,0.9*L228,IF(D228='Drop Down'!$W$10,0.9*L228,IF(D228='Drop Down'!$W$16,0.9*L228,"No credit allowed.")))),"N/A")</f>
        <v>N/A</v>
      </c>
      <c r="N228" s="327" t="e">
        <f>IF($D$20="Space-By-Space (90.1-2013)",INDEX(LPD2013SS,MATCH('Interior Lighting'!D228,LightingSpaceType,0)*W228),INDEX(LPD2013WB,MATCH('Interior Lighting'!D228,LightingSpaceType,0)))</f>
        <v>#N/A</v>
      </c>
      <c r="O228" s="327">
        <f t="shared" si="50"/>
        <v>0</v>
      </c>
      <c r="P228" s="407" t="e">
        <f t="shared" si="40"/>
        <v>#N/A</v>
      </c>
      <c r="Q228" s="407" t="e">
        <f t="shared" si="51"/>
        <v>#N/A</v>
      </c>
      <c r="R228" s="407" t="e">
        <f t="shared" si="41"/>
        <v>#N/A</v>
      </c>
      <c r="S228" s="324">
        <f t="shared" si="42"/>
        <v>0</v>
      </c>
      <c r="T228" s="924" t="str">
        <f t="shared" si="43"/>
        <v/>
      </c>
      <c r="U228" s="1221" t="str">
        <f t="shared" si="52"/>
        <v/>
      </c>
      <c r="W228" s="1098">
        <f t="shared" si="44"/>
        <v>1</v>
      </c>
      <c r="X228" s="1098" t="e">
        <f>INDEX(OSReq,MATCH('Interior Lighting'!D228,LightingSpaceType,0))</f>
        <v>#N/A</v>
      </c>
      <c r="Y228" s="1098" t="e">
        <f t="shared" si="45"/>
        <v>#N/A</v>
      </c>
      <c r="Z228" s="1098" t="e">
        <f t="shared" si="46"/>
        <v>#N/A</v>
      </c>
      <c r="AA228" s="1098" t="e">
        <f>INDEX(Lookup!$O$9:$O$24,MATCH('Interior Lighting'!Z228,Lookup!$K$9:$K$24,0))</f>
        <v>#N/A</v>
      </c>
      <c r="AB228" s="1098" t="e">
        <f>IF(E228="A",INDEX(Lookup!$L$9:$L$24,MATCH(Z228,Lookup!$K$9:$K$24,0)),IF(E228="B",INDEX(Lookup!$M$9:$M$24,MATCH(Z228,Lookup!$K$9:$K$24,0)),IF(E228="C",INDEX(Lookup!$N$9:$N$24,MATCH(Z228,Lookup!$K$9:$K$24,0)),"N/A")))</f>
        <v>#N/A</v>
      </c>
    </row>
    <row r="229" spans="1:28">
      <c r="A229" s="1103"/>
      <c r="B229" s="69"/>
      <c r="C229" s="323"/>
      <c r="D229" s="323"/>
      <c r="E229" s="324" t="e">
        <f>INDEX(Lookup!$I$9:$I$24,MATCH('Interior Lighting'!D229,Lookup!$C$9:$C$24,0))</f>
        <v>#N/A</v>
      </c>
      <c r="F229" s="69"/>
      <c r="G229" s="69"/>
      <c r="H229" s="69"/>
      <c r="I229" s="324" t="e">
        <f t="shared" si="47"/>
        <v>#N/A</v>
      </c>
      <c r="J229" s="170"/>
      <c r="K229" s="325">
        <f t="shared" si="48"/>
        <v>0</v>
      </c>
      <c r="L229" s="326" t="e">
        <f t="shared" si="49"/>
        <v>#DIV/0!</v>
      </c>
      <c r="M229" s="326" t="str">
        <f>IF(H229="Yes",IF(D229='Drop Down'!$W$4,0.9*L229,IF(D229='Drop Down'!$W$5,0.9*L229,IF(D229='Drop Down'!$W$10,0.9*L229,IF(D229='Drop Down'!$W$16,0.9*L229,"No credit allowed.")))),"N/A")</f>
        <v>N/A</v>
      </c>
      <c r="N229" s="327" t="e">
        <f>IF($D$20="Space-By-Space (90.1-2013)",INDEX(LPD2013SS,MATCH('Interior Lighting'!D229,LightingSpaceType,0)*W229),INDEX(LPD2013WB,MATCH('Interior Lighting'!D229,LightingSpaceType,0)))</f>
        <v>#N/A</v>
      </c>
      <c r="O229" s="327">
        <f t="shared" si="50"/>
        <v>0</v>
      </c>
      <c r="P229" s="407" t="e">
        <f t="shared" si="40"/>
        <v>#N/A</v>
      </c>
      <c r="Q229" s="407" t="e">
        <f t="shared" si="51"/>
        <v>#N/A</v>
      </c>
      <c r="R229" s="407" t="e">
        <f t="shared" si="41"/>
        <v>#N/A</v>
      </c>
      <c r="S229" s="324">
        <f t="shared" si="42"/>
        <v>0</v>
      </c>
      <c r="T229" s="924" t="str">
        <f t="shared" si="43"/>
        <v/>
      </c>
      <c r="U229" s="1221" t="str">
        <f t="shared" si="52"/>
        <v/>
      </c>
      <c r="W229" s="1098">
        <f t="shared" si="44"/>
        <v>1</v>
      </c>
      <c r="X229" s="1098" t="e">
        <f>INDEX(OSReq,MATCH('Interior Lighting'!D229,LightingSpaceType,0))</f>
        <v>#N/A</v>
      </c>
      <c r="Y229" s="1098" t="e">
        <f t="shared" si="45"/>
        <v>#N/A</v>
      </c>
      <c r="Z229" s="1098" t="e">
        <f t="shared" si="46"/>
        <v>#N/A</v>
      </c>
      <c r="AA229" s="1098" t="e">
        <f>INDEX(Lookup!$O$9:$O$24,MATCH('Interior Lighting'!Z229,Lookup!$K$9:$K$24,0))</f>
        <v>#N/A</v>
      </c>
      <c r="AB229" s="1098" t="e">
        <f>IF(E229="A",INDEX(Lookup!$L$9:$L$24,MATCH(Z229,Lookup!$K$9:$K$24,0)),IF(E229="B",INDEX(Lookup!$M$9:$M$24,MATCH(Z229,Lookup!$K$9:$K$24,0)),IF(E229="C",INDEX(Lookup!$N$9:$N$24,MATCH(Z229,Lookup!$K$9:$K$24,0)),"N/A")))</f>
        <v>#N/A</v>
      </c>
    </row>
    <row r="230" spans="1:28">
      <c r="A230" s="1006"/>
      <c r="B230" s="69"/>
      <c r="C230" s="323"/>
      <c r="D230" s="323"/>
      <c r="E230" s="324" t="e">
        <f>INDEX(Lookup!$I$9:$I$24,MATCH('Interior Lighting'!D230,Lookup!$C$9:$C$24,0))</f>
        <v>#N/A</v>
      </c>
      <c r="F230" s="69"/>
      <c r="G230" s="69"/>
      <c r="H230" s="69"/>
      <c r="I230" s="324" t="e">
        <f t="shared" si="47"/>
        <v>#N/A</v>
      </c>
      <c r="J230" s="170"/>
      <c r="K230" s="325">
        <f t="shared" si="48"/>
        <v>0</v>
      </c>
      <c r="L230" s="326" t="e">
        <f t="shared" si="49"/>
        <v>#DIV/0!</v>
      </c>
      <c r="M230" s="326" t="str">
        <f>IF(H230="Yes",IF(D230='Drop Down'!$W$4,0.9*L230,IF(D230='Drop Down'!$W$5,0.9*L230,IF(D230='Drop Down'!$W$10,0.9*L230,IF(D230='Drop Down'!$W$16,0.9*L230,"No credit allowed.")))),"N/A")</f>
        <v>N/A</v>
      </c>
      <c r="N230" s="327" t="e">
        <f>IF($D$20="Space-By-Space (90.1-2013)",INDEX(LPD2013SS,MATCH('Interior Lighting'!D230,LightingSpaceType,0)*W230),INDEX(LPD2013WB,MATCH('Interior Lighting'!D230,LightingSpaceType,0)))</f>
        <v>#N/A</v>
      </c>
      <c r="O230" s="327">
        <f t="shared" si="50"/>
        <v>0</v>
      </c>
      <c r="P230" s="407" t="e">
        <f t="shared" si="40"/>
        <v>#N/A</v>
      </c>
      <c r="Q230" s="407" t="e">
        <f t="shared" si="51"/>
        <v>#N/A</v>
      </c>
      <c r="R230" s="407" t="e">
        <f t="shared" si="41"/>
        <v>#N/A</v>
      </c>
      <c r="S230" s="324">
        <f t="shared" si="42"/>
        <v>0</v>
      </c>
      <c r="T230" s="924" t="str">
        <f t="shared" si="43"/>
        <v/>
      </c>
      <c r="U230" s="1221" t="str">
        <f t="shared" si="52"/>
        <v/>
      </c>
      <c r="W230" s="1098">
        <f t="shared" si="44"/>
        <v>1</v>
      </c>
      <c r="X230" s="1098" t="e">
        <f>INDEX(OSReq,MATCH('Interior Lighting'!D230,LightingSpaceType,0))</f>
        <v>#N/A</v>
      </c>
      <c r="Y230" s="1098" t="e">
        <f t="shared" si="45"/>
        <v>#N/A</v>
      </c>
      <c r="Z230" s="1098" t="e">
        <f t="shared" si="46"/>
        <v>#N/A</v>
      </c>
      <c r="AA230" s="1098" t="e">
        <f>INDEX(Lookup!$O$9:$O$24,MATCH('Interior Lighting'!Z230,Lookup!$K$9:$K$24,0))</f>
        <v>#N/A</v>
      </c>
      <c r="AB230" s="1098" t="e">
        <f>IF(E230="A",INDEX(Lookup!$L$9:$L$24,MATCH(Z230,Lookup!$K$9:$K$24,0)),IF(E230="B",INDEX(Lookup!$M$9:$M$24,MATCH(Z230,Lookup!$K$9:$K$24,0)),IF(E230="C",INDEX(Lookup!$N$9:$N$24,MATCH(Z230,Lookup!$K$9:$K$24,0)),"N/A")))</f>
        <v>#N/A</v>
      </c>
    </row>
    <row r="231" spans="1:28">
      <c r="A231" s="1006"/>
      <c r="B231" s="69"/>
      <c r="C231" s="330"/>
      <c r="D231" s="323"/>
      <c r="E231" s="324" t="e">
        <f>INDEX(Lookup!$I$9:$I$24,MATCH('Interior Lighting'!D231,Lookup!$C$9:$C$24,0))</f>
        <v>#N/A</v>
      </c>
      <c r="F231" s="69"/>
      <c r="G231" s="69"/>
      <c r="H231" s="69"/>
      <c r="I231" s="324" t="e">
        <f t="shared" si="47"/>
        <v>#N/A</v>
      </c>
      <c r="J231" s="170"/>
      <c r="K231" s="325">
        <f t="shared" si="48"/>
        <v>0</v>
      </c>
      <c r="L231" s="326" t="e">
        <f t="shared" si="49"/>
        <v>#DIV/0!</v>
      </c>
      <c r="M231" s="326" t="str">
        <f>IF(H231="Yes",IF(D231='Drop Down'!$W$4,0.9*L231,IF(D231='Drop Down'!$W$5,0.9*L231,IF(D231='Drop Down'!$W$10,0.9*L231,IF(D231='Drop Down'!$W$16,0.9*L231,"No credit allowed.")))),"N/A")</f>
        <v>N/A</v>
      </c>
      <c r="N231" s="327" t="e">
        <f>IF($D$20="Space-By-Space (90.1-2013)",INDEX(LPD2013SS,MATCH('Interior Lighting'!D231,LightingSpaceType,0)*W231),INDEX(LPD2013WB,MATCH('Interior Lighting'!D231,LightingSpaceType,0)))</f>
        <v>#N/A</v>
      </c>
      <c r="O231" s="327">
        <f t="shared" si="50"/>
        <v>0</v>
      </c>
      <c r="P231" s="407" t="e">
        <f t="shared" si="40"/>
        <v>#N/A</v>
      </c>
      <c r="Q231" s="407" t="e">
        <f t="shared" si="51"/>
        <v>#N/A</v>
      </c>
      <c r="R231" s="407" t="e">
        <f t="shared" si="41"/>
        <v>#N/A</v>
      </c>
      <c r="S231" s="324">
        <f t="shared" si="42"/>
        <v>0</v>
      </c>
      <c r="T231" s="924" t="str">
        <f t="shared" si="43"/>
        <v/>
      </c>
      <c r="U231" s="1221" t="str">
        <f t="shared" si="52"/>
        <v/>
      </c>
      <c r="W231" s="1098">
        <f t="shared" si="44"/>
        <v>1</v>
      </c>
      <c r="X231" s="1098" t="e">
        <f>INDEX(OSReq,MATCH('Interior Lighting'!D231,LightingSpaceType,0))</f>
        <v>#N/A</v>
      </c>
      <c r="Y231" s="1098" t="e">
        <f t="shared" si="45"/>
        <v>#N/A</v>
      </c>
      <c r="Z231" s="1098" t="e">
        <f t="shared" si="46"/>
        <v>#N/A</v>
      </c>
      <c r="AA231" s="1098" t="e">
        <f>INDEX(Lookup!$O$9:$O$24,MATCH('Interior Lighting'!Z231,Lookup!$K$9:$K$24,0))</f>
        <v>#N/A</v>
      </c>
      <c r="AB231" s="1098" t="e">
        <f>IF(E231="A",INDEX(Lookup!$L$9:$L$24,MATCH(Z231,Lookup!$K$9:$K$24,0)),IF(E231="B",INDEX(Lookup!$M$9:$M$24,MATCH(Z231,Lookup!$K$9:$K$24,0)),IF(E231="C",INDEX(Lookup!$N$9:$N$24,MATCH(Z231,Lookup!$K$9:$K$24,0)),"N/A")))</f>
        <v>#N/A</v>
      </c>
    </row>
    <row r="232" spans="1:28">
      <c r="A232" s="1006"/>
      <c r="B232" s="69"/>
      <c r="C232" s="323"/>
      <c r="D232" s="323"/>
      <c r="E232" s="324" t="e">
        <f>INDEX(Lookup!$I$9:$I$24,MATCH('Interior Lighting'!D232,Lookup!$C$9:$C$24,0))</f>
        <v>#N/A</v>
      </c>
      <c r="F232" s="69"/>
      <c r="G232" s="69"/>
      <c r="H232" s="69"/>
      <c r="I232" s="324" t="e">
        <f t="shared" si="47"/>
        <v>#N/A</v>
      </c>
      <c r="J232" s="170"/>
      <c r="K232" s="325">
        <f t="shared" si="48"/>
        <v>0</v>
      </c>
      <c r="L232" s="326" t="e">
        <f t="shared" si="49"/>
        <v>#DIV/0!</v>
      </c>
      <c r="M232" s="326" t="str">
        <f>IF(H232="Yes",IF(D232='Drop Down'!$W$4,0.9*L232,IF(D232='Drop Down'!$W$5,0.9*L232,IF(D232='Drop Down'!$W$10,0.9*L232,IF(D232='Drop Down'!$W$16,0.9*L232,"No credit allowed.")))),"N/A")</f>
        <v>N/A</v>
      </c>
      <c r="N232" s="327" t="e">
        <f>IF($D$20="Space-By-Space (90.1-2013)",INDEX(LPD2013SS,MATCH('Interior Lighting'!D232,LightingSpaceType,0)*W232),INDEX(LPD2013WB,MATCH('Interior Lighting'!D232,LightingSpaceType,0)))</f>
        <v>#N/A</v>
      </c>
      <c r="O232" s="327">
        <f t="shared" si="50"/>
        <v>0</v>
      </c>
      <c r="P232" s="407" t="e">
        <f t="shared" si="40"/>
        <v>#N/A</v>
      </c>
      <c r="Q232" s="407" t="e">
        <f t="shared" si="51"/>
        <v>#N/A</v>
      </c>
      <c r="R232" s="407" t="e">
        <f t="shared" si="41"/>
        <v>#N/A</v>
      </c>
      <c r="S232" s="324">
        <f t="shared" si="42"/>
        <v>0</v>
      </c>
      <c r="T232" s="924" t="str">
        <f t="shared" si="43"/>
        <v/>
      </c>
      <c r="U232" s="1221" t="str">
        <f t="shared" si="52"/>
        <v/>
      </c>
      <c r="W232" s="1098">
        <f t="shared" si="44"/>
        <v>1</v>
      </c>
      <c r="X232" s="1098" t="e">
        <f>INDEX(OSReq,MATCH('Interior Lighting'!D232,LightingSpaceType,0))</f>
        <v>#N/A</v>
      </c>
      <c r="Y232" s="1098" t="e">
        <f t="shared" si="45"/>
        <v>#N/A</v>
      </c>
      <c r="Z232" s="1098" t="e">
        <f t="shared" si="46"/>
        <v>#N/A</v>
      </c>
      <c r="AA232" s="1098" t="e">
        <f>INDEX(Lookup!$O$9:$O$24,MATCH('Interior Lighting'!Z232,Lookup!$K$9:$K$24,0))</f>
        <v>#N/A</v>
      </c>
      <c r="AB232" s="1098" t="e">
        <f>IF(E232="A",INDEX(Lookup!$L$9:$L$24,MATCH(Z232,Lookup!$K$9:$K$24,0)),IF(E232="B",INDEX(Lookup!$M$9:$M$24,MATCH(Z232,Lookup!$K$9:$K$24,0)),IF(E232="C",INDEX(Lookup!$N$9:$N$24,MATCH(Z232,Lookup!$K$9:$K$24,0)),"N/A")))</f>
        <v>#N/A</v>
      </c>
    </row>
    <row r="233" spans="1:28">
      <c r="A233" s="1006"/>
      <c r="B233" s="69"/>
      <c r="C233" s="323"/>
      <c r="D233" s="323"/>
      <c r="E233" s="324" t="e">
        <f>INDEX(Lookup!$I$9:$I$24,MATCH('Interior Lighting'!D233,Lookup!$C$9:$C$24,0))</f>
        <v>#N/A</v>
      </c>
      <c r="F233" s="69"/>
      <c r="G233" s="69"/>
      <c r="H233" s="69"/>
      <c r="I233" s="324" t="e">
        <f t="shared" si="47"/>
        <v>#N/A</v>
      </c>
      <c r="J233" s="170"/>
      <c r="K233" s="325">
        <f t="shared" si="48"/>
        <v>0</v>
      </c>
      <c r="L233" s="326" t="e">
        <f t="shared" si="49"/>
        <v>#DIV/0!</v>
      </c>
      <c r="M233" s="326" t="str">
        <f>IF(H233="Yes",IF(D233='Drop Down'!$W$4,0.9*L233,IF(D233='Drop Down'!$W$5,0.9*L233,IF(D233='Drop Down'!$W$10,0.9*L233,IF(D233='Drop Down'!$W$16,0.9*L233,"No credit allowed.")))),"N/A")</f>
        <v>N/A</v>
      </c>
      <c r="N233" s="327" t="e">
        <f>IF($D$20="Space-By-Space (90.1-2013)",INDEX(LPD2013SS,MATCH('Interior Lighting'!D233,LightingSpaceType,0)*W233),INDEX(LPD2013WB,MATCH('Interior Lighting'!D233,LightingSpaceType,0)))</f>
        <v>#N/A</v>
      </c>
      <c r="O233" s="327">
        <f t="shared" si="50"/>
        <v>0</v>
      </c>
      <c r="P233" s="407" t="e">
        <f t="shared" si="40"/>
        <v>#N/A</v>
      </c>
      <c r="Q233" s="407" t="e">
        <f t="shared" si="51"/>
        <v>#N/A</v>
      </c>
      <c r="R233" s="407" t="e">
        <f t="shared" si="41"/>
        <v>#N/A</v>
      </c>
      <c r="S233" s="324">
        <f t="shared" si="42"/>
        <v>0</v>
      </c>
      <c r="T233" s="924" t="str">
        <f t="shared" si="43"/>
        <v/>
      </c>
      <c r="U233" s="1221" t="str">
        <f t="shared" si="52"/>
        <v/>
      </c>
      <c r="W233" s="1098">
        <f t="shared" si="44"/>
        <v>1</v>
      </c>
      <c r="X233" s="1098" t="e">
        <f>INDEX(OSReq,MATCH('Interior Lighting'!D233,LightingSpaceType,0))</f>
        <v>#N/A</v>
      </c>
      <c r="Y233" s="1098" t="e">
        <f t="shared" si="45"/>
        <v>#N/A</v>
      </c>
      <c r="Z233" s="1098" t="e">
        <f t="shared" si="46"/>
        <v>#N/A</v>
      </c>
      <c r="AA233" s="1098" t="e">
        <f>INDEX(Lookup!$O$9:$O$24,MATCH('Interior Lighting'!Z233,Lookup!$K$9:$K$24,0))</f>
        <v>#N/A</v>
      </c>
      <c r="AB233" s="1098" t="e">
        <f>IF(E233="A",INDEX(Lookup!$L$9:$L$24,MATCH(Z233,Lookup!$K$9:$K$24,0)),IF(E233="B",INDEX(Lookup!$M$9:$M$24,MATCH(Z233,Lookup!$K$9:$K$24,0)),IF(E233="C",INDEX(Lookup!$N$9:$N$24,MATCH(Z233,Lookup!$K$9:$K$24,0)),"N/A")))</f>
        <v>#N/A</v>
      </c>
    </row>
    <row r="234" spans="1:28">
      <c r="A234" s="1006"/>
      <c r="B234" s="69"/>
      <c r="C234" s="323"/>
      <c r="D234" s="323"/>
      <c r="E234" s="324" t="e">
        <f>INDEX(Lookup!$I$9:$I$24,MATCH('Interior Lighting'!D234,Lookup!$C$9:$C$24,0))</f>
        <v>#N/A</v>
      </c>
      <c r="F234" s="69"/>
      <c r="G234" s="69"/>
      <c r="H234" s="69"/>
      <c r="I234" s="324" t="e">
        <f t="shared" si="47"/>
        <v>#N/A</v>
      </c>
      <c r="J234" s="170"/>
      <c r="K234" s="325">
        <f t="shared" si="48"/>
        <v>0</v>
      </c>
      <c r="L234" s="326" t="e">
        <f t="shared" si="49"/>
        <v>#DIV/0!</v>
      </c>
      <c r="M234" s="326" t="str">
        <f>IF(H234="Yes",IF(D234='Drop Down'!$W$4,0.9*L234,IF(D234='Drop Down'!$W$5,0.9*L234,IF(D234='Drop Down'!$W$10,0.9*L234,IF(D234='Drop Down'!$W$16,0.9*L234,"No credit allowed.")))),"N/A")</f>
        <v>N/A</v>
      </c>
      <c r="N234" s="327" t="e">
        <f>IF($D$20="Space-By-Space (90.1-2013)",INDEX(LPD2013SS,MATCH('Interior Lighting'!D234,LightingSpaceType,0)*W234),INDEX(LPD2013WB,MATCH('Interior Lighting'!D234,LightingSpaceType,0)))</f>
        <v>#N/A</v>
      </c>
      <c r="O234" s="327">
        <f t="shared" si="50"/>
        <v>0</v>
      </c>
      <c r="P234" s="407" t="e">
        <f t="shared" si="40"/>
        <v>#N/A</v>
      </c>
      <c r="Q234" s="407" t="e">
        <f t="shared" si="51"/>
        <v>#N/A</v>
      </c>
      <c r="R234" s="407" t="e">
        <f t="shared" si="41"/>
        <v>#N/A</v>
      </c>
      <c r="S234" s="324">
        <f t="shared" si="42"/>
        <v>0</v>
      </c>
      <c r="T234" s="924" t="str">
        <f t="shared" si="43"/>
        <v/>
      </c>
      <c r="U234" s="1221" t="str">
        <f t="shared" si="52"/>
        <v/>
      </c>
      <c r="W234" s="1098">
        <f t="shared" si="44"/>
        <v>1</v>
      </c>
      <c r="X234" s="1098" t="e">
        <f>INDEX(OSReq,MATCH('Interior Lighting'!D234,LightingSpaceType,0))</f>
        <v>#N/A</v>
      </c>
      <c r="Y234" s="1098" t="e">
        <f t="shared" si="45"/>
        <v>#N/A</v>
      </c>
      <c r="Z234" s="1098" t="e">
        <f t="shared" si="46"/>
        <v>#N/A</v>
      </c>
      <c r="AA234" s="1098" t="e">
        <f>INDEX(Lookup!$O$9:$O$24,MATCH('Interior Lighting'!Z234,Lookup!$K$9:$K$24,0))</f>
        <v>#N/A</v>
      </c>
      <c r="AB234" s="1098" t="e">
        <f>IF(E234="A",INDEX(Lookup!$L$9:$L$24,MATCH(Z234,Lookup!$K$9:$K$24,0)),IF(E234="B",INDEX(Lookup!$M$9:$M$24,MATCH(Z234,Lookup!$K$9:$K$24,0)),IF(E234="C",INDEX(Lookup!$N$9:$N$24,MATCH(Z234,Lookup!$K$9:$K$24,0)),"N/A")))</f>
        <v>#N/A</v>
      </c>
    </row>
    <row r="235" spans="1:28">
      <c r="A235" s="1006"/>
      <c r="B235" s="69"/>
      <c r="C235" s="323"/>
      <c r="D235" s="323"/>
      <c r="E235" s="324" t="e">
        <f>INDEX(Lookup!$I$9:$I$24,MATCH('Interior Lighting'!D235,Lookup!$C$9:$C$24,0))</f>
        <v>#N/A</v>
      </c>
      <c r="F235" s="69"/>
      <c r="G235" s="69"/>
      <c r="H235" s="69"/>
      <c r="I235" s="324" t="e">
        <f t="shared" si="47"/>
        <v>#N/A</v>
      </c>
      <c r="J235" s="170"/>
      <c r="K235" s="325">
        <f t="shared" si="48"/>
        <v>0</v>
      </c>
      <c r="L235" s="326" t="e">
        <f t="shared" si="49"/>
        <v>#DIV/0!</v>
      </c>
      <c r="M235" s="326" t="str">
        <f>IF(H235="Yes",IF(D235='Drop Down'!$W$4,0.9*L235,IF(D235='Drop Down'!$W$5,0.9*L235,IF(D235='Drop Down'!$W$10,0.9*L235,IF(D235='Drop Down'!$W$16,0.9*L235,"No credit allowed.")))),"N/A")</f>
        <v>N/A</v>
      </c>
      <c r="N235" s="327" t="e">
        <f>IF($D$20="Space-By-Space (90.1-2013)",INDEX(LPD2013SS,MATCH('Interior Lighting'!D235,LightingSpaceType,0)*W235),INDEX(LPD2013WB,MATCH('Interior Lighting'!D235,LightingSpaceType,0)))</f>
        <v>#N/A</v>
      </c>
      <c r="O235" s="327">
        <f t="shared" si="50"/>
        <v>0</v>
      </c>
      <c r="P235" s="407" t="e">
        <f t="shared" si="40"/>
        <v>#N/A</v>
      </c>
      <c r="Q235" s="407" t="e">
        <f t="shared" si="51"/>
        <v>#N/A</v>
      </c>
      <c r="R235" s="407" t="e">
        <f t="shared" si="41"/>
        <v>#N/A</v>
      </c>
      <c r="S235" s="324">
        <f t="shared" si="42"/>
        <v>0</v>
      </c>
      <c r="T235" s="924" t="str">
        <f t="shared" si="43"/>
        <v/>
      </c>
      <c r="U235" s="1221" t="str">
        <f t="shared" si="52"/>
        <v/>
      </c>
      <c r="W235" s="1098">
        <f t="shared" si="44"/>
        <v>1</v>
      </c>
      <c r="X235" s="1098" t="e">
        <f>INDEX(OSReq,MATCH('Interior Lighting'!D235,LightingSpaceType,0))</f>
        <v>#N/A</v>
      </c>
      <c r="Y235" s="1098" t="e">
        <f t="shared" si="45"/>
        <v>#N/A</v>
      </c>
      <c r="Z235" s="1098" t="e">
        <f t="shared" si="46"/>
        <v>#N/A</v>
      </c>
      <c r="AA235" s="1098" t="e">
        <f>INDEX(Lookup!$O$9:$O$24,MATCH('Interior Lighting'!Z235,Lookup!$K$9:$K$24,0))</f>
        <v>#N/A</v>
      </c>
      <c r="AB235" s="1098" t="e">
        <f>IF(E235="A",INDEX(Lookup!$L$9:$L$24,MATCH(Z235,Lookup!$K$9:$K$24,0)),IF(E235="B",INDEX(Lookup!$M$9:$M$24,MATCH(Z235,Lookup!$K$9:$K$24,0)),IF(E235="C",INDEX(Lookup!$N$9:$N$24,MATCH(Z235,Lookup!$K$9:$K$24,0)),"N/A")))</f>
        <v>#N/A</v>
      </c>
    </row>
    <row r="236" spans="1:28">
      <c r="A236" s="1006"/>
      <c r="B236" s="69"/>
      <c r="C236" s="323"/>
      <c r="D236" s="323"/>
      <c r="E236" s="324" t="e">
        <f>INDEX(Lookup!$I$9:$I$24,MATCH('Interior Lighting'!D236,Lookup!$C$9:$C$24,0))</f>
        <v>#N/A</v>
      </c>
      <c r="F236" s="69"/>
      <c r="G236" s="69"/>
      <c r="H236" s="69"/>
      <c r="I236" s="324" t="e">
        <f t="shared" si="47"/>
        <v>#N/A</v>
      </c>
      <c r="J236" s="170"/>
      <c r="K236" s="325">
        <f t="shared" si="48"/>
        <v>0</v>
      </c>
      <c r="L236" s="326" t="e">
        <f t="shared" si="49"/>
        <v>#DIV/0!</v>
      </c>
      <c r="M236" s="326" t="str">
        <f>IF(H236="Yes",IF(D236='Drop Down'!$W$4,0.9*L236,IF(D236='Drop Down'!$W$5,0.9*L236,IF(D236='Drop Down'!$W$10,0.9*L236,IF(D236='Drop Down'!$W$16,0.9*L236,"No credit allowed.")))),"N/A")</f>
        <v>N/A</v>
      </c>
      <c r="N236" s="327" t="e">
        <f>IF($D$20="Space-By-Space (90.1-2013)",INDEX(LPD2013SS,MATCH('Interior Lighting'!D236,LightingSpaceType,0)*W236),INDEX(LPD2013WB,MATCH('Interior Lighting'!D236,LightingSpaceType,0)))</f>
        <v>#N/A</v>
      </c>
      <c r="O236" s="327">
        <f t="shared" si="50"/>
        <v>0</v>
      </c>
      <c r="P236" s="407" t="e">
        <f t="shared" si="40"/>
        <v>#N/A</v>
      </c>
      <c r="Q236" s="407" t="e">
        <f t="shared" si="51"/>
        <v>#N/A</v>
      </c>
      <c r="R236" s="407" t="e">
        <f t="shared" si="41"/>
        <v>#N/A</v>
      </c>
      <c r="S236" s="324">
        <f t="shared" si="42"/>
        <v>0</v>
      </c>
      <c r="T236" s="924" t="str">
        <f t="shared" si="43"/>
        <v/>
      </c>
      <c r="U236" s="1221" t="str">
        <f t="shared" si="52"/>
        <v/>
      </c>
      <c r="W236" s="1098">
        <f t="shared" si="44"/>
        <v>1</v>
      </c>
      <c r="X236" s="1098" t="e">
        <f>INDEX(OSReq,MATCH('Interior Lighting'!D236,LightingSpaceType,0))</f>
        <v>#N/A</v>
      </c>
      <c r="Y236" s="1098" t="e">
        <f t="shared" si="45"/>
        <v>#N/A</v>
      </c>
      <c r="Z236" s="1098" t="e">
        <f t="shared" si="46"/>
        <v>#N/A</v>
      </c>
      <c r="AA236" s="1098" t="e">
        <f>INDEX(Lookup!$O$9:$O$24,MATCH('Interior Lighting'!Z236,Lookup!$K$9:$K$24,0))</f>
        <v>#N/A</v>
      </c>
      <c r="AB236" s="1098" t="e">
        <f>IF(E236="A",INDEX(Lookup!$L$9:$L$24,MATCH(Z236,Lookup!$K$9:$K$24,0)),IF(E236="B",INDEX(Lookup!$M$9:$M$24,MATCH(Z236,Lookup!$K$9:$K$24,0)),IF(E236="C",INDEX(Lookup!$N$9:$N$24,MATCH(Z236,Lookup!$K$9:$K$24,0)),"N/A")))</f>
        <v>#N/A</v>
      </c>
    </row>
    <row r="237" spans="1:28">
      <c r="A237" s="1006"/>
      <c r="B237" s="69"/>
      <c r="C237" s="330"/>
      <c r="D237" s="323"/>
      <c r="E237" s="324" t="e">
        <f>INDEX(Lookup!$I$9:$I$24,MATCH('Interior Lighting'!D237,Lookup!$C$9:$C$24,0))</f>
        <v>#N/A</v>
      </c>
      <c r="F237" s="69"/>
      <c r="G237" s="69"/>
      <c r="H237" s="69"/>
      <c r="I237" s="324" t="e">
        <f t="shared" si="47"/>
        <v>#N/A</v>
      </c>
      <c r="J237" s="170"/>
      <c r="K237" s="325">
        <f t="shared" si="48"/>
        <v>0</v>
      </c>
      <c r="L237" s="326" t="e">
        <f t="shared" si="49"/>
        <v>#DIV/0!</v>
      </c>
      <c r="M237" s="326" t="str">
        <f>IF(H237="Yes",IF(D237='Drop Down'!$W$4,0.9*L237,IF(D237='Drop Down'!$W$5,0.9*L237,IF(D237='Drop Down'!$W$10,0.9*L237,IF(D237='Drop Down'!$W$16,0.9*L237,"No credit allowed.")))),"N/A")</f>
        <v>N/A</v>
      </c>
      <c r="N237" s="327" t="e">
        <f>IF($D$20="Space-By-Space (90.1-2013)",INDEX(LPD2013SS,MATCH('Interior Lighting'!D237,LightingSpaceType,0)*W237),INDEX(LPD2013WB,MATCH('Interior Lighting'!D237,LightingSpaceType,0)))</f>
        <v>#N/A</v>
      </c>
      <c r="O237" s="327">
        <f t="shared" si="50"/>
        <v>0</v>
      </c>
      <c r="P237" s="407" t="e">
        <f t="shared" si="40"/>
        <v>#N/A</v>
      </c>
      <c r="Q237" s="407" t="e">
        <f t="shared" si="51"/>
        <v>#N/A</v>
      </c>
      <c r="R237" s="407" t="e">
        <f t="shared" si="41"/>
        <v>#N/A</v>
      </c>
      <c r="S237" s="324">
        <f t="shared" si="42"/>
        <v>0</v>
      </c>
      <c r="T237" s="924" t="str">
        <f t="shared" si="43"/>
        <v/>
      </c>
      <c r="U237" s="1221" t="str">
        <f t="shared" si="52"/>
        <v/>
      </c>
      <c r="W237" s="1098">
        <f t="shared" si="44"/>
        <v>1</v>
      </c>
      <c r="X237" s="1098" t="e">
        <f>INDEX(OSReq,MATCH('Interior Lighting'!D237,LightingSpaceType,0))</f>
        <v>#N/A</v>
      </c>
      <c r="Y237" s="1098" t="e">
        <f t="shared" si="45"/>
        <v>#N/A</v>
      </c>
      <c r="Z237" s="1098" t="e">
        <f t="shared" si="46"/>
        <v>#N/A</v>
      </c>
      <c r="AA237" s="1098" t="e">
        <f>INDEX(Lookup!$O$9:$O$24,MATCH('Interior Lighting'!Z237,Lookup!$K$9:$K$24,0))</f>
        <v>#N/A</v>
      </c>
      <c r="AB237" s="1098" t="e">
        <f>IF(E237="A",INDEX(Lookup!$L$9:$L$24,MATCH(Z237,Lookup!$K$9:$K$24,0)),IF(E237="B",INDEX(Lookup!$M$9:$M$24,MATCH(Z237,Lookup!$K$9:$K$24,0)),IF(E237="C",INDEX(Lookup!$N$9:$N$24,MATCH(Z237,Lookup!$K$9:$K$24,0)),"N/A")))</f>
        <v>#N/A</v>
      </c>
    </row>
    <row r="238" spans="1:28">
      <c r="A238" s="1006"/>
      <c r="B238" s="69"/>
      <c r="C238" s="323"/>
      <c r="D238" s="323"/>
      <c r="E238" s="324" t="e">
        <f>INDEX(Lookup!$I$9:$I$24,MATCH('Interior Lighting'!D238,Lookup!$C$9:$C$24,0))</f>
        <v>#N/A</v>
      </c>
      <c r="F238" s="69"/>
      <c r="G238" s="69"/>
      <c r="H238" s="69"/>
      <c r="I238" s="324" t="e">
        <f t="shared" si="47"/>
        <v>#N/A</v>
      </c>
      <c r="J238" s="170"/>
      <c r="K238" s="325">
        <f t="shared" si="48"/>
        <v>0</v>
      </c>
      <c r="L238" s="326" t="e">
        <f t="shared" si="49"/>
        <v>#DIV/0!</v>
      </c>
      <c r="M238" s="326" t="str">
        <f>IF(H238="Yes",IF(D238='Drop Down'!$W$4,0.9*L238,IF(D238='Drop Down'!$W$5,0.9*L238,IF(D238='Drop Down'!$W$10,0.9*L238,IF(D238='Drop Down'!$W$16,0.9*L238,"No credit allowed.")))),"N/A")</f>
        <v>N/A</v>
      </c>
      <c r="N238" s="327" t="e">
        <f>IF($D$20="Space-By-Space (90.1-2013)",INDEX(LPD2013SS,MATCH('Interior Lighting'!D238,LightingSpaceType,0)*W238),INDEX(LPD2013WB,MATCH('Interior Lighting'!D238,LightingSpaceType,0)))</f>
        <v>#N/A</v>
      </c>
      <c r="O238" s="327">
        <f t="shared" si="50"/>
        <v>0</v>
      </c>
      <c r="P238" s="407" t="e">
        <f t="shared" si="40"/>
        <v>#N/A</v>
      </c>
      <c r="Q238" s="407" t="e">
        <f t="shared" si="51"/>
        <v>#N/A</v>
      </c>
      <c r="R238" s="407" t="e">
        <f t="shared" si="41"/>
        <v>#N/A</v>
      </c>
      <c r="S238" s="324">
        <f t="shared" si="42"/>
        <v>0</v>
      </c>
      <c r="T238" s="924" t="str">
        <f t="shared" si="43"/>
        <v/>
      </c>
      <c r="U238" s="1221" t="str">
        <f t="shared" si="52"/>
        <v/>
      </c>
      <c r="W238" s="1098">
        <f t="shared" si="44"/>
        <v>1</v>
      </c>
      <c r="X238" s="1098" t="e">
        <f>INDEX(OSReq,MATCH('Interior Lighting'!D238,LightingSpaceType,0))</f>
        <v>#N/A</v>
      </c>
      <c r="Y238" s="1098" t="e">
        <f t="shared" si="45"/>
        <v>#N/A</v>
      </c>
      <c r="Z238" s="1098" t="e">
        <f t="shared" si="46"/>
        <v>#N/A</v>
      </c>
      <c r="AA238" s="1098" t="e">
        <f>INDEX(Lookup!$O$9:$O$24,MATCH('Interior Lighting'!Z238,Lookup!$K$9:$K$24,0))</f>
        <v>#N/A</v>
      </c>
      <c r="AB238" s="1098" t="e">
        <f>IF(E238="A",INDEX(Lookup!$L$9:$L$24,MATCH(Z238,Lookup!$K$9:$K$24,0)),IF(E238="B",INDEX(Lookup!$M$9:$M$24,MATCH(Z238,Lookup!$K$9:$K$24,0)),IF(E238="C",INDEX(Lookup!$N$9:$N$24,MATCH(Z238,Lookup!$K$9:$K$24,0)),"N/A")))</f>
        <v>#N/A</v>
      </c>
    </row>
    <row r="239" spans="1:28">
      <c r="A239" s="1006"/>
      <c r="B239" s="69"/>
      <c r="C239" s="323"/>
      <c r="D239" s="323"/>
      <c r="E239" s="324" t="e">
        <f>INDEX(Lookup!$I$9:$I$24,MATCH('Interior Lighting'!D239,Lookup!$C$9:$C$24,0))</f>
        <v>#N/A</v>
      </c>
      <c r="F239" s="69"/>
      <c r="G239" s="69"/>
      <c r="H239" s="69"/>
      <c r="I239" s="324" t="e">
        <f t="shared" si="47"/>
        <v>#N/A</v>
      </c>
      <c r="J239" s="170"/>
      <c r="K239" s="325">
        <f t="shared" si="48"/>
        <v>0</v>
      </c>
      <c r="L239" s="326" t="e">
        <f t="shared" si="49"/>
        <v>#DIV/0!</v>
      </c>
      <c r="M239" s="326" t="str">
        <f>IF(H239="Yes",IF(D239='Drop Down'!$W$4,0.9*L239,IF(D239='Drop Down'!$W$5,0.9*L239,IF(D239='Drop Down'!$W$10,0.9*L239,IF(D239='Drop Down'!$W$16,0.9*L239,"No credit allowed.")))),"N/A")</f>
        <v>N/A</v>
      </c>
      <c r="N239" s="327" t="e">
        <f>IF($D$20="Space-By-Space (90.1-2013)",INDEX(LPD2013SS,MATCH('Interior Lighting'!D239,LightingSpaceType,0)*W239),INDEX(LPD2013WB,MATCH('Interior Lighting'!D239,LightingSpaceType,0)))</f>
        <v>#N/A</v>
      </c>
      <c r="O239" s="327">
        <f t="shared" si="50"/>
        <v>0</v>
      </c>
      <c r="P239" s="407" t="e">
        <f t="shared" si="40"/>
        <v>#N/A</v>
      </c>
      <c r="Q239" s="407" t="e">
        <f t="shared" si="51"/>
        <v>#N/A</v>
      </c>
      <c r="R239" s="407" t="e">
        <f t="shared" si="41"/>
        <v>#N/A</v>
      </c>
      <c r="S239" s="324">
        <f t="shared" si="42"/>
        <v>0</v>
      </c>
      <c r="T239" s="924" t="str">
        <f t="shared" si="43"/>
        <v/>
      </c>
      <c r="U239" s="1221" t="str">
        <f t="shared" si="52"/>
        <v/>
      </c>
      <c r="W239" s="1098">
        <f t="shared" si="44"/>
        <v>1</v>
      </c>
      <c r="X239" s="1098" t="e">
        <f>INDEX(OSReq,MATCH('Interior Lighting'!D239,LightingSpaceType,0))</f>
        <v>#N/A</v>
      </c>
      <c r="Y239" s="1098" t="e">
        <f t="shared" si="45"/>
        <v>#N/A</v>
      </c>
      <c r="Z239" s="1098" t="e">
        <f t="shared" si="46"/>
        <v>#N/A</v>
      </c>
      <c r="AA239" s="1098" t="e">
        <f>INDEX(Lookup!$O$9:$O$24,MATCH('Interior Lighting'!Z239,Lookup!$K$9:$K$24,0))</f>
        <v>#N/A</v>
      </c>
      <c r="AB239" s="1098" t="e">
        <f>IF(E239="A",INDEX(Lookup!$L$9:$L$24,MATCH(Z239,Lookup!$K$9:$K$24,0)),IF(E239="B",INDEX(Lookup!$M$9:$M$24,MATCH(Z239,Lookup!$K$9:$K$24,0)),IF(E239="C",INDEX(Lookup!$N$9:$N$24,MATCH(Z239,Lookup!$K$9:$K$24,0)),"N/A")))</f>
        <v>#N/A</v>
      </c>
    </row>
    <row r="240" spans="1:28">
      <c r="A240" s="1006"/>
      <c r="B240" s="69"/>
      <c r="C240" s="323"/>
      <c r="D240" s="323"/>
      <c r="E240" s="324" t="e">
        <f>INDEX(Lookup!$I$9:$I$24,MATCH('Interior Lighting'!D240,Lookup!$C$9:$C$24,0))</f>
        <v>#N/A</v>
      </c>
      <c r="F240" s="69"/>
      <c r="G240" s="69"/>
      <c r="H240" s="69"/>
      <c r="I240" s="324" t="e">
        <f t="shared" si="47"/>
        <v>#N/A</v>
      </c>
      <c r="J240" s="170"/>
      <c r="K240" s="325">
        <f t="shared" si="48"/>
        <v>0</v>
      </c>
      <c r="L240" s="326" t="e">
        <f t="shared" si="49"/>
        <v>#DIV/0!</v>
      </c>
      <c r="M240" s="326" t="str">
        <f>IF(H240="Yes",IF(D240='Drop Down'!$W$4,0.9*L240,IF(D240='Drop Down'!$W$5,0.9*L240,IF(D240='Drop Down'!$W$10,0.9*L240,IF(D240='Drop Down'!$W$16,0.9*L240,"No credit allowed.")))),"N/A")</f>
        <v>N/A</v>
      </c>
      <c r="N240" s="327" t="e">
        <f>IF($D$20="Space-By-Space (90.1-2013)",INDEX(LPD2013SS,MATCH('Interior Lighting'!D240,LightingSpaceType,0)*W240),INDEX(LPD2013WB,MATCH('Interior Lighting'!D240,LightingSpaceType,0)))</f>
        <v>#N/A</v>
      </c>
      <c r="O240" s="327">
        <f t="shared" si="50"/>
        <v>0</v>
      </c>
      <c r="P240" s="407" t="e">
        <f t="shared" si="40"/>
        <v>#N/A</v>
      </c>
      <c r="Q240" s="407" t="e">
        <f t="shared" si="51"/>
        <v>#N/A</v>
      </c>
      <c r="R240" s="407" t="e">
        <f t="shared" si="41"/>
        <v>#N/A</v>
      </c>
      <c r="S240" s="324">
        <f t="shared" si="42"/>
        <v>0</v>
      </c>
      <c r="T240" s="924" t="str">
        <f t="shared" si="43"/>
        <v/>
      </c>
      <c r="U240" s="1221" t="str">
        <f t="shared" si="52"/>
        <v/>
      </c>
      <c r="W240" s="1098">
        <f t="shared" si="44"/>
        <v>1</v>
      </c>
      <c r="X240" s="1098" t="e">
        <f>INDEX(OSReq,MATCH('Interior Lighting'!D240,LightingSpaceType,0))</f>
        <v>#N/A</v>
      </c>
      <c r="Y240" s="1098" t="e">
        <f t="shared" si="45"/>
        <v>#N/A</v>
      </c>
      <c r="Z240" s="1098" t="e">
        <f t="shared" si="46"/>
        <v>#N/A</v>
      </c>
      <c r="AA240" s="1098" t="e">
        <f>INDEX(Lookup!$O$9:$O$24,MATCH('Interior Lighting'!Z240,Lookup!$K$9:$K$24,0))</f>
        <v>#N/A</v>
      </c>
      <c r="AB240" s="1098" t="e">
        <f>IF(E240="A",INDEX(Lookup!$L$9:$L$24,MATCH(Z240,Lookup!$K$9:$K$24,0)),IF(E240="B",INDEX(Lookup!$M$9:$M$24,MATCH(Z240,Lookup!$K$9:$K$24,0)),IF(E240="C",INDEX(Lookup!$N$9:$N$24,MATCH(Z240,Lookup!$K$9:$K$24,0)),"N/A")))</f>
        <v>#N/A</v>
      </c>
    </row>
    <row r="241" spans="1:28">
      <c r="A241" s="1006"/>
      <c r="B241" s="69"/>
      <c r="C241" s="323"/>
      <c r="D241" s="323"/>
      <c r="E241" s="324" t="e">
        <f>INDEX(Lookup!$I$9:$I$24,MATCH('Interior Lighting'!D241,Lookup!$C$9:$C$24,0))</f>
        <v>#N/A</v>
      </c>
      <c r="F241" s="69"/>
      <c r="G241" s="69"/>
      <c r="H241" s="69"/>
      <c r="I241" s="324" t="e">
        <f t="shared" si="47"/>
        <v>#N/A</v>
      </c>
      <c r="J241" s="170"/>
      <c r="K241" s="325">
        <f t="shared" si="48"/>
        <v>0</v>
      </c>
      <c r="L241" s="326" t="e">
        <f t="shared" si="49"/>
        <v>#DIV/0!</v>
      </c>
      <c r="M241" s="326" t="str">
        <f>IF(H241="Yes",IF(D241='Drop Down'!$W$4,0.9*L241,IF(D241='Drop Down'!$W$5,0.9*L241,IF(D241='Drop Down'!$W$10,0.9*L241,IF(D241='Drop Down'!$W$16,0.9*L241,"No credit allowed.")))),"N/A")</f>
        <v>N/A</v>
      </c>
      <c r="N241" s="327" t="e">
        <f>IF($D$20="Space-By-Space (90.1-2013)",INDEX(LPD2013SS,MATCH('Interior Lighting'!D241,LightingSpaceType,0)*W241),INDEX(LPD2013WB,MATCH('Interior Lighting'!D241,LightingSpaceType,0)))</f>
        <v>#N/A</v>
      </c>
      <c r="O241" s="327">
        <f t="shared" si="50"/>
        <v>0</v>
      </c>
      <c r="P241" s="407" t="e">
        <f t="shared" si="40"/>
        <v>#N/A</v>
      </c>
      <c r="Q241" s="407" t="e">
        <f t="shared" si="51"/>
        <v>#N/A</v>
      </c>
      <c r="R241" s="407" t="e">
        <f t="shared" si="41"/>
        <v>#N/A</v>
      </c>
      <c r="S241" s="324">
        <f t="shared" si="42"/>
        <v>0</v>
      </c>
      <c r="T241" s="924" t="str">
        <f t="shared" si="43"/>
        <v/>
      </c>
      <c r="U241" s="1221" t="str">
        <f t="shared" si="52"/>
        <v/>
      </c>
      <c r="W241" s="1098">
        <f t="shared" si="44"/>
        <v>1</v>
      </c>
      <c r="X241" s="1098" t="e">
        <f>INDEX(OSReq,MATCH('Interior Lighting'!D241,LightingSpaceType,0))</f>
        <v>#N/A</v>
      </c>
      <c r="Y241" s="1098" t="e">
        <f t="shared" si="45"/>
        <v>#N/A</v>
      </c>
      <c r="Z241" s="1098" t="e">
        <f t="shared" si="46"/>
        <v>#N/A</v>
      </c>
      <c r="AA241" s="1098" t="e">
        <f>INDEX(Lookup!$O$9:$O$24,MATCH('Interior Lighting'!Z241,Lookup!$K$9:$K$24,0))</f>
        <v>#N/A</v>
      </c>
      <c r="AB241" s="1098" t="e">
        <f>IF(E241="A",INDEX(Lookup!$L$9:$L$24,MATCH(Z241,Lookup!$K$9:$K$24,0)),IF(E241="B",INDEX(Lookup!$M$9:$M$24,MATCH(Z241,Lookup!$K$9:$K$24,0)),IF(E241="C",INDEX(Lookup!$N$9:$N$24,MATCH(Z241,Lookup!$K$9:$K$24,0)),"N/A")))</f>
        <v>#N/A</v>
      </c>
    </row>
    <row r="242" spans="1:28">
      <c r="A242" s="1006"/>
      <c r="B242" s="69"/>
      <c r="C242" s="323"/>
      <c r="D242" s="323"/>
      <c r="E242" s="324" t="e">
        <f>INDEX(Lookup!$I$9:$I$24,MATCH('Interior Lighting'!D242,Lookup!$C$9:$C$24,0))</f>
        <v>#N/A</v>
      </c>
      <c r="F242" s="69"/>
      <c r="G242" s="69"/>
      <c r="H242" s="69"/>
      <c r="I242" s="324" t="e">
        <f t="shared" si="47"/>
        <v>#N/A</v>
      </c>
      <c r="J242" s="170"/>
      <c r="K242" s="325">
        <f t="shared" si="48"/>
        <v>0</v>
      </c>
      <c r="L242" s="326" t="e">
        <f t="shared" si="49"/>
        <v>#DIV/0!</v>
      </c>
      <c r="M242" s="326" t="str">
        <f>IF(H242="Yes",IF(D242='Drop Down'!$W$4,0.9*L242,IF(D242='Drop Down'!$W$5,0.9*L242,IF(D242='Drop Down'!$W$10,0.9*L242,IF(D242='Drop Down'!$W$16,0.9*L242,"No credit allowed.")))),"N/A")</f>
        <v>N/A</v>
      </c>
      <c r="N242" s="327" t="e">
        <f>IF($D$20="Space-By-Space (90.1-2013)",INDEX(LPD2013SS,MATCH('Interior Lighting'!D242,LightingSpaceType,0)*W242),INDEX(LPD2013WB,MATCH('Interior Lighting'!D242,LightingSpaceType,0)))</f>
        <v>#N/A</v>
      </c>
      <c r="O242" s="327">
        <f t="shared" si="50"/>
        <v>0</v>
      </c>
      <c r="P242" s="407" t="e">
        <f t="shared" si="40"/>
        <v>#N/A</v>
      </c>
      <c r="Q242" s="407" t="e">
        <f t="shared" si="51"/>
        <v>#N/A</v>
      </c>
      <c r="R242" s="407" t="e">
        <f t="shared" si="41"/>
        <v>#N/A</v>
      </c>
      <c r="S242" s="324">
        <f t="shared" si="42"/>
        <v>0</v>
      </c>
      <c r="T242" s="924" t="str">
        <f t="shared" si="43"/>
        <v/>
      </c>
      <c r="U242" s="1221" t="str">
        <f t="shared" si="52"/>
        <v/>
      </c>
      <c r="W242" s="1098">
        <f t="shared" si="44"/>
        <v>1</v>
      </c>
      <c r="X242" s="1098" t="e">
        <f>INDEX(OSReq,MATCH('Interior Lighting'!D242,LightingSpaceType,0))</f>
        <v>#N/A</v>
      </c>
      <c r="Y242" s="1098" t="e">
        <f t="shared" si="45"/>
        <v>#N/A</v>
      </c>
      <c r="Z242" s="1098" t="e">
        <f t="shared" si="46"/>
        <v>#N/A</v>
      </c>
      <c r="AA242" s="1098" t="e">
        <f>INDEX(Lookup!$O$9:$O$24,MATCH('Interior Lighting'!Z242,Lookup!$K$9:$K$24,0))</f>
        <v>#N/A</v>
      </c>
      <c r="AB242" s="1098" t="e">
        <f>IF(E242="A",INDEX(Lookup!$L$9:$L$24,MATCH(Z242,Lookup!$K$9:$K$24,0)),IF(E242="B",INDEX(Lookup!$M$9:$M$24,MATCH(Z242,Lookup!$K$9:$K$24,0)),IF(E242="C",INDEX(Lookup!$N$9:$N$24,MATCH(Z242,Lookup!$K$9:$K$24,0)),"N/A")))</f>
        <v>#N/A</v>
      </c>
    </row>
    <row r="243" spans="1:28">
      <c r="A243" s="1006"/>
      <c r="B243" s="69"/>
      <c r="C243" s="330"/>
      <c r="D243" s="323"/>
      <c r="E243" s="324" t="e">
        <f>INDEX(Lookup!$I$9:$I$24,MATCH('Interior Lighting'!D243,Lookup!$C$9:$C$24,0))</f>
        <v>#N/A</v>
      </c>
      <c r="F243" s="69"/>
      <c r="G243" s="69"/>
      <c r="H243" s="69"/>
      <c r="I243" s="324" t="e">
        <f t="shared" si="47"/>
        <v>#N/A</v>
      </c>
      <c r="J243" s="170"/>
      <c r="K243" s="325">
        <f t="shared" si="48"/>
        <v>0</v>
      </c>
      <c r="L243" s="326" t="e">
        <f t="shared" si="49"/>
        <v>#DIV/0!</v>
      </c>
      <c r="M243" s="326" t="str">
        <f>IF(H243="Yes",IF(D243='Drop Down'!$W$4,0.9*L243,IF(D243='Drop Down'!$W$5,0.9*L243,IF(D243='Drop Down'!$W$10,0.9*L243,IF(D243='Drop Down'!$W$16,0.9*L243,"No credit allowed.")))),"N/A")</f>
        <v>N/A</v>
      </c>
      <c r="N243" s="327" t="e">
        <f>IF($D$20="Space-By-Space (90.1-2013)",INDEX(LPD2013SS,MATCH('Interior Lighting'!D243,LightingSpaceType,0)*W243),INDEX(LPD2013WB,MATCH('Interior Lighting'!D243,LightingSpaceType,0)))</f>
        <v>#N/A</v>
      </c>
      <c r="O243" s="327">
        <f t="shared" si="50"/>
        <v>0</v>
      </c>
      <c r="P243" s="407" t="e">
        <f t="shared" si="40"/>
        <v>#N/A</v>
      </c>
      <c r="Q243" s="407" t="e">
        <f t="shared" si="51"/>
        <v>#N/A</v>
      </c>
      <c r="R243" s="407" t="e">
        <f t="shared" si="41"/>
        <v>#N/A</v>
      </c>
      <c r="S243" s="324">
        <f t="shared" si="42"/>
        <v>0</v>
      </c>
      <c r="T243" s="924" t="str">
        <f t="shared" si="43"/>
        <v/>
      </c>
      <c r="U243" s="1221" t="str">
        <f t="shared" si="52"/>
        <v/>
      </c>
      <c r="W243" s="1098">
        <f t="shared" si="44"/>
        <v>1</v>
      </c>
      <c r="X243" s="1098" t="e">
        <f>INDEX(OSReq,MATCH('Interior Lighting'!D243,LightingSpaceType,0))</f>
        <v>#N/A</v>
      </c>
      <c r="Y243" s="1098" t="e">
        <f t="shared" si="45"/>
        <v>#N/A</v>
      </c>
      <c r="Z243" s="1098" t="e">
        <f t="shared" si="46"/>
        <v>#N/A</v>
      </c>
      <c r="AA243" s="1098" t="e">
        <f>INDEX(Lookup!$O$9:$O$24,MATCH('Interior Lighting'!Z243,Lookup!$K$9:$K$24,0))</f>
        <v>#N/A</v>
      </c>
      <c r="AB243" s="1098" t="e">
        <f>IF(E243="A",INDEX(Lookup!$L$9:$L$24,MATCH(Z243,Lookup!$K$9:$K$24,0)),IF(E243="B",INDEX(Lookup!$M$9:$M$24,MATCH(Z243,Lookup!$K$9:$K$24,0)),IF(E243="C",INDEX(Lookup!$N$9:$N$24,MATCH(Z243,Lookup!$K$9:$K$24,0)),"N/A")))</f>
        <v>#N/A</v>
      </c>
    </row>
    <row r="244" spans="1:28">
      <c r="A244" s="1006"/>
      <c r="B244" s="69"/>
      <c r="C244" s="323"/>
      <c r="D244" s="323"/>
      <c r="E244" s="324" t="e">
        <f>INDEX(Lookup!$I$9:$I$24,MATCH('Interior Lighting'!D244,Lookup!$C$9:$C$24,0))</f>
        <v>#N/A</v>
      </c>
      <c r="F244" s="69"/>
      <c r="G244" s="69"/>
      <c r="H244" s="69"/>
      <c r="I244" s="324" t="e">
        <f t="shared" si="47"/>
        <v>#N/A</v>
      </c>
      <c r="J244" s="170"/>
      <c r="K244" s="325">
        <f t="shared" si="48"/>
        <v>0</v>
      </c>
      <c r="L244" s="326" t="e">
        <f t="shared" si="49"/>
        <v>#DIV/0!</v>
      </c>
      <c r="M244" s="326" t="str">
        <f>IF(H244="Yes",IF(D244='Drop Down'!$W$4,0.9*L244,IF(D244='Drop Down'!$W$5,0.9*L244,IF(D244='Drop Down'!$W$10,0.9*L244,IF(D244='Drop Down'!$W$16,0.9*L244,"No credit allowed.")))),"N/A")</f>
        <v>N/A</v>
      </c>
      <c r="N244" s="327" t="e">
        <f>IF($D$20="Space-By-Space (90.1-2013)",INDEX(LPD2013SS,MATCH('Interior Lighting'!D244,LightingSpaceType,0)*W244),INDEX(LPD2013WB,MATCH('Interior Lighting'!D244,LightingSpaceType,0)))</f>
        <v>#N/A</v>
      </c>
      <c r="O244" s="327">
        <f t="shared" si="50"/>
        <v>0</v>
      </c>
      <c r="P244" s="407" t="e">
        <f t="shared" si="40"/>
        <v>#N/A</v>
      </c>
      <c r="Q244" s="407" t="e">
        <f t="shared" si="51"/>
        <v>#N/A</v>
      </c>
      <c r="R244" s="407" t="e">
        <f t="shared" si="41"/>
        <v>#N/A</v>
      </c>
      <c r="S244" s="324">
        <f t="shared" si="42"/>
        <v>0</v>
      </c>
      <c r="T244" s="924" t="str">
        <f t="shared" si="43"/>
        <v/>
      </c>
      <c r="U244" s="1221" t="str">
        <f t="shared" si="52"/>
        <v/>
      </c>
      <c r="W244" s="1098">
        <f t="shared" si="44"/>
        <v>1</v>
      </c>
      <c r="X244" s="1098" t="e">
        <f>INDEX(OSReq,MATCH('Interior Lighting'!D244,LightingSpaceType,0))</f>
        <v>#N/A</v>
      </c>
      <c r="Y244" s="1098" t="e">
        <f t="shared" si="45"/>
        <v>#N/A</v>
      </c>
      <c r="Z244" s="1098" t="e">
        <f t="shared" si="46"/>
        <v>#N/A</v>
      </c>
      <c r="AA244" s="1098" t="e">
        <f>INDEX(Lookup!$O$9:$O$24,MATCH('Interior Lighting'!Z244,Lookup!$K$9:$K$24,0))</f>
        <v>#N/A</v>
      </c>
      <c r="AB244" s="1098" t="e">
        <f>IF(E244="A",INDEX(Lookup!$L$9:$L$24,MATCH(Z244,Lookup!$K$9:$K$24,0)),IF(E244="B",INDEX(Lookup!$M$9:$M$24,MATCH(Z244,Lookup!$K$9:$K$24,0)),IF(E244="C",INDEX(Lookup!$N$9:$N$24,MATCH(Z244,Lookup!$K$9:$K$24,0)),"N/A")))</f>
        <v>#N/A</v>
      </c>
    </row>
    <row r="245" spans="1:28">
      <c r="A245" s="1006"/>
      <c r="B245" s="69"/>
      <c r="C245" s="323"/>
      <c r="D245" s="323"/>
      <c r="E245" s="324" t="e">
        <f>INDEX(Lookup!$I$9:$I$24,MATCH('Interior Lighting'!D245,Lookup!$C$9:$C$24,0))</f>
        <v>#N/A</v>
      </c>
      <c r="F245" s="69"/>
      <c r="G245" s="69"/>
      <c r="H245" s="69"/>
      <c r="I245" s="324" t="e">
        <f t="shared" si="47"/>
        <v>#N/A</v>
      </c>
      <c r="J245" s="170"/>
      <c r="K245" s="325">
        <f t="shared" si="48"/>
        <v>0</v>
      </c>
      <c r="L245" s="326" t="e">
        <f t="shared" si="49"/>
        <v>#DIV/0!</v>
      </c>
      <c r="M245" s="326" t="str">
        <f>IF(H245="Yes",IF(D245='Drop Down'!$W$4,0.9*L245,IF(D245='Drop Down'!$W$5,0.9*L245,IF(D245='Drop Down'!$W$10,0.9*L245,IF(D245='Drop Down'!$W$16,0.9*L245,"No credit allowed.")))),"N/A")</f>
        <v>N/A</v>
      </c>
      <c r="N245" s="327" t="e">
        <f>IF($D$20="Space-By-Space (90.1-2013)",INDEX(LPD2013SS,MATCH('Interior Lighting'!D245,LightingSpaceType,0)*W245),INDEX(LPD2013WB,MATCH('Interior Lighting'!D245,LightingSpaceType,0)))</f>
        <v>#N/A</v>
      </c>
      <c r="O245" s="327">
        <f t="shared" si="50"/>
        <v>0</v>
      </c>
      <c r="P245" s="407" t="e">
        <f t="shared" si="40"/>
        <v>#N/A</v>
      </c>
      <c r="Q245" s="407" t="e">
        <f t="shared" si="51"/>
        <v>#N/A</v>
      </c>
      <c r="R245" s="407" t="e">
        <f t="shared" si="41"/>
        <v>#N/A</v>
      </c>
      <c r="S245" s="324">
        <f t="shared" si="42"/>
        <v>0</v>
      </c>
      <c r="T245" s="924" t="str">
        <f t="shared" si="43"/>
        <v/>
      </c>
      <c r="U245" s="1221" t="str">
        <f t="shared" si="52"/>
        <v/>
      </c>
      <c r="W245" s="1098">
        <f t="shared" si="44"/>
        <v>1</v>
      </c>
      <c r="X245" s="1098" t="e">
        <f>INDEX(OSReq,MATCH('Interior Lighting'!D245,LightingSpaceType,0))</f>
        <v>#N/A</v>
      </c>
      <c r="Y245" s="1098" t="e">
        <f t="shared" si="45"/>
        <v>#N/A</v>
      </c>
      <c r="Z245" s="1098" t="e">
        <f t="shared" si="46"/>
        <v>#N/A</v>
      </c>
      <c r="AA245" s="1098" t="e">
        <f>INDEX(Lookup!$O$9:$O$24,MATCH('Interior Lighting'!Z245,Lookup!$K$9:$K$24,0))</f>
        <v>#N/A</v>
      </c>
      <c r="AB245" s="1098" t="e">
        <f>IF(E245="A",INDEX(Lookup!$L$9:$L$24,MATCH(Z245,Lookup!$K$9:$K$24,0)),IF(E245="B",INDEX(Lookup!$M$9:$M$24,MATCH(Z245,Lookup!$K$9:$K$24,0)),IF(E245="C",INDEX(Lookup!$N$9:$N$24,MATCH(Z245,Lookup!$K$9:$K$24,0)),"N/A")))</f>
        <v>#N/A</v>
      </c>
    </row>
    <row r="246" spans="1:28">
      <c r="A246" s="1006"/>
      <c r="B246" s="69"/>
      <c r="C246" s="323"/>
      <c r="D246" s="323"/>
      <c r="E246" s="324" t="e">
        <f>INDEX(Lookup!$I$9:$I$24,MATCH('Interior Lighting'!D246,Lookup!$C$9:$C$24,0))</f>
        <v>#N/A</v>
      </c>
      <c r="F246" s="69"/>
      <c r="G246" s="69"/>
      <c r="H246" s="69"/>
      <c r="I246" s="324" t="e">
        <f t="shared" si="47"/>
        <v>#N/A</v>
      </c>
      <c r="J246" s="170"/>
      <c r="K246" s="325">
        <f t="shared" si="48"/>
        <v>0</v>
      </c>
      <c r="L246" s="326" t="e">
        <f t="shared" si="49"/>
        <v>#DIV/0!</v>
      </c>
      <c r="M246" s="326" t="str">
        <f>IF(H246="Yes",IF(D246='Drop Down'!$W$4,0.9*L246,IF(D246='Drop Down'!$W$5,0.9*L246,IF(D246='Drop Down'!$W$10,0.9*L246,IF(D246='Drop Down'!$W$16,0.9*L246,"No credit allowed.")))),"N/A")</f>
        <v>N/A</v>
      </c>
      <c r="N246" s="327" t="e">
        <f>IF($D$20="Space-By-Space (90.1-2013)",INDEX(LPD2013SS,MATCH('Interior Lighting'!D246,LightingSpaceType,0)*W246),INDEX(LPD2013WB,MATCH('Interior Lighting'!D246,LightingSpaceType,0)))</f>
        <v>#N/A</v>
      </c>
      <c r="O246" s="327">
        <f t="shared" si="50"/>
        <v>0</v>
      </c>
      <c r="P246" s="407" t="e">
        <f t="shared" si="40"/>
        <v>#N/A</v>
      </c>
      <c r="Q246" s="407" t="e">
        <f t="shared" si="51"/>
        <v>#N/A</v>
      </c>
      <c r="R246" s="407" t="e">
        <f t="shared" si="41"/>
        <v>#N/A</v>
      </c>
      <c r="S246" s="324">
        <f t="shared" si="42"/>
        <v>0</v>
      </c>
      <c r="T246" s="924" t="str">
        <f t="shared" si="43"/>
        <v/>
      </c>
      <c r="U246" s="1221" t="str">
        <f t="shared" si="52"/>
        <v/>
      </c>
      <c r="W246" s="1098">
        <f t="shared" si="44"/>
        <v>1</v>
      </c>
      <c r="X246" s="1098" t="e">
        <f>INDEX(OSReq,MATCH('Interior Lighting'!D246,LightingSpaceType,0))</f>
        <v>#N/A</v>
      </c>
      <c r="Y246" s="1098" t="e">
        <f t="shared" si="45"/>
        <v>#N/A</v>
      </c>
      <c r="Z246" s="1098" t="e">
        <f t="shared" si="46"/>
        <v>#N/A</v>
      </c>
      <c r="AA246" s="1098" t="e">
        <f>INDEX(Lookup!$O$9:$O$24,MATCH('Interior Lighting'!Z246,Lookup!$K$9:$K$24,0))</f>
        <v>#N/A</v>
      </c>
      <c r="AB246" s="1098" t="e">
        <f>IF(E246="A",INDEX(Lookup!$L$9:$L$24,MATCH(Z246,Lookup!$K$9:$K$24,0)),IF(E246="B",INDEX(Lookup!$M$9:$M$24,MATCH(Z246,Lookup!$K$9:$K$24,0)),IF(E246="C",INDEX(Lookup!$N$9:$N$24,MATCH(Z246,Lookup!$K$9:$K$24,0)),"N/A")))</f>
        <v>#N/A</v>
      </c>
    </row>
    <row r="247" spans="1:28">
      <c r="A247" s="1006"/>
      <c r="B247" s="69"/>
      <c r="C247" s="323"/>
      <c r="D247" s="323"/>
      <c r="E247" s="324" t="e">
        <f>INDEX(Lookup!$I$9:$I$24,MATCH('Interior Lighting'!D247,Lookup!$C$9:$C$24,0))</f>
        <v>#N/A</v>
      </c>
      <c r="F247" s="69"/>
      <c r="G247" s="69"/>
      <c r="H247" s="69"/>
      <c r="I247" s="324" t="e">
        <f t="shared" si="47"/>
        <v>#N/A</v>
      </c>
      <c r="J247" s="170"/>
      <c r="K247" s="325">
        <f t="shared" si="48"/>
        <v>0</v>
      </c>
      <c r="L247" s="326" t="e">
        <f t="shared" si="49"/>
        <v>#DIV/0!</v>
      </c>
      <c r="M247" s="326" t="str">
        <f>IF(H247="Yes",IF(D247='Drop Down'!$W$4,0.9*L247,IF(D247='Drop Down'!$W$5,0.9*L247,IF(D247='Drop Down'!$W$10,0.9*L247,IF(D247='Drop Down'!$W$16,0.9*L247,"No credit allowed.")))),"N/A")</f>
        <v>N/A</v>
      </c>
      <c r="N247" s="327" t="e">
        <f>IF($D$20="Space-By-Space (90.1-2013)",INDEX(LPD2013SS,MATCH('Interior Lighting'!D247,LightingSpaceType,0)*W247),INDEX(LPD2013WB,MATCH('Interior Lighting'!D247,LightingSpaceType,0)))</f>
        <v>#N/A</v>
      </c>
      <c r="O247" s="327">
        <f t="shared" si="50"/>
        <v>0</v>
      </c>
      <c r="P247" s="407" t="e">
        <f t="shared" si="40"/>
        <v>#N/A</v>
      </c>
      <c r="Q247" s="407" t="e">
        <f t="shared" si="51"/>
        <v>#N/A</v>
      </c>
      <c r="R247" s="407" t="e">
        <f t="shared" si="41"/>
        <v>#N/A</v>
      </c>
      <c r="S247" s="324">
        <f t="shared" si="42"/>
        <v>0</v>
      </c>
      <c r="T247" s="924" t="str">
        <f t="shared" si="43"/>
        <v/>
      </c>
      <c r="U247" s="1221" t="str">
        <f t="shared" si="52"/>
        <v/>
      </c>
      <c r="W247" s="1098">
        <f t="shared" si="44"/>
        <v>1</v>
      </c>
      <c r="X247" s="1098" t="e">
        <f>INDEX(OSReq,MATCH('Interior Lighting'!D247,LightingSpaceType,0))</f>
        <v>#N/A</v>
      </c>
      <c r="Y247" s="1098" t="e">
        <f t="shared" si="45"/>
        <v>#N/A</v>
      </c>
      <c r="Z247" s="1098" t="e">
        <f t="shared" si="46"/>
        <v>#N/A</v>
      </c>
      <c r="AA247" s="1098" t="e">
        <f>INDEX(Lookup!$O$9:$O$24,MATCH('Interior Lighting'!Z247,Lookup!$K$9:$K$24,0))</f>
        <v>#N/A</v>
      </c>
      <c r="AB247" s="1098" t="e">
        <f>IF(E247="A",INDEX(Lookup!$L$9:$L$24,MATCH(Z247,Lookup!$K$9:$K$24,0)),IF(E247="B",INDEX(Lookup!$M$9:$M$24,MATCH(Z247,Lookup!$K$9:$K$24,0)),IF(E247="C",INDEX(Lookup!$N$9:$N$24,MATCH(Z247,Lookup!$K$9:$K$24,0)),"N/A")))</f>
        <v>#N/A</v>
      </c>
    </row>
    <row r="248" spans="1:28">
      <c r="A248" s="1006"/>
      <c r="B248" s="69"/>
      <c r="C248" s="323"/>
      <c r="D248" s="323"/>
      <c r="E248" s="324" t="e">
        <f>INDEX(Lookup!$I$9:$I$24,MATCH('Interior Lighting'!D248,Lookup!$C$9:$C$24,0))</f>
        <v>#N/A</v>
      </c>
      <c r="F248" s="69"/>
      <c r="G248" s="69"/>
      <c r="H248" s="69"/>
      <c r="I248" s="324" t="e">
        <f t="shared" si="47"/>
        <v>#N/A</v>
      </c>
      <c r="J248" s="170"/>
      <c r="K248" s="325">
        <f t="shared" si="48"/>
        <v>0</v>
      </c>
      <c r="L248" s="326" t="e">
        <f t="shared" si="49"/>
        <v>#DIV/0!</v>
      </c>
      <c r="M248" s="326" t="str">
        <f>IF(H248="Yes",IF(D248='Drop Down'!$W$4,0.9*L248,IF(D248='Drop Down'!$W$5,0.9*L248,IF(D248='Drop Down'!$W$10,0.9*L248,IF(D248='Drop Down'!$W$16,0.9*L248,"No credit allowed.")))),"N/A")</f>
        <v>N/A</v>
      </c>
      <c r="N248" s="327" t="e">
        <f>IF($D$20="Space-By-Space (90.1-2013)",INDEX(LPD2013SS,MATCH('Interior Lighting'!D248,LightingSpaceType,0)*W248),INDEX(LPD2013WB,MATCH('Interior Lighting'!D248,LightingSpaceType,0)))</f>
        <v>#N/A</v>
      </c>
      <c r="O248" s="327">
        <f t="shared" si="50"/>
        <v>0</v>
      </c>
      <c r="P248" s="407" t="e">
        <f t="shared" si="40"/>
        <v>#N/A</v>
      </c>
      <c r="Q248" s="407" t="e">
        <f t="shared" si="51"/>
        <v>#N/A</v>
      </c>
      <c r="R248" s="407" t="e">
        <f t="shared" si="41"/>
        <v>#N/A</v>
      </c>
      <c r="S248" s="324">
        <f t="shared" si="42"/>
        <v>0</v>
      </c>
      <c r="T248" s="924" t="str">
        <f t="shared" si="43"/>
        <v/>
      </c>
      <c r="U248" s="1221" t="str">
        <f t="shared" si="52"/>
        <v/>
      </c>
      <c r="W248" s="1098">
        <f t="shared" si="44"/>
        <v>1</v>
      </c>
      <c r="X248" s="1098" t="e">
        <f>INDEX(OSReq,MATCH('Interior Lighting'!D248,LightingSpaceType,0))</f>
        <v>#N/A</v>
      </c>
      <c r="Y248" s="1098" t="e">
        <f t="shared" si="45"/>
        <v>#N/A</v>
      </c>
      <c r="Z248" s="1098" t="e">
        <f t="shared" si="46"/>
        <v>#N/A</v>
      </c>
      <c r="AA248" s="1098" t="e">
        <f>INDEX(Lookup!$O$9:$O$24,MATCH('Interior Lighting'!Z248,Lookup!$K$9:$K$24,0))</f>
        <v>#N/A</v>
      </c>
      <c r="AB248" s="1098" t="e">
        <f>IF(E248="A",INDEX(Lookup!$L$9:$L$24,MATCH(Z248,Lookup!$K$9:$K$24,0)),IF(E248="B",INDEX(Lookup!$M$9:$M$24,MATCH(Z248,Lookup!$K$9:$K$24,0)),IF(E248="C",INDEX(Lookup!$N$9:$N$24,MATCH(Z248,Lookup!$K$9:$K$24,0)),"N/A")))</f>
        <v>#N/A</v>
      </c>
    </row>
    <row r="249" spans="1:28">
      <c r="A249" s="1006"/>
      <c r="B249" s="69"/>
      <c r="C249" s="330"/>
      <c r="D249" s="323"/>
      <c r="E249" s="324" t="e">
        <f>INDEX(Lookup!$I$9:$I$24,MATCH('Interior Lighting'!D249,Lookup!$C$9:$C$24,0))</f>
        <v>#N/A</v>
      </c>
      <c r="F249" s="69"/>
      <c r="G249" s="69"/>
      <c r="H249" s="69"/>
      <c r="I249" s="324" t="e">
        <f t="shared" si="47"/>
        <v>#N/A</v>
      </c>
      <c r="J249" s="170"/>
      <c r="K249" s="325">
        <f t="shared" si="48"/>
        <v>0</v>
      </c>
      <c r="L249" s="326" t="e">
        <f t="shared" si="49"/>
        <v>#DIV/0!</v>
      </c>
      <c r="M249" s="326" t="str">
        <f>IF(H249="Yes",IF(D249='Drop Down'!$W$4,0.9*L249,IF(D249='Drop Down'!$W$5,0.9*L249,IF(D249='Drop Down'!$W$10,0.9*L249,IF(D249='Drop Down'!$W$16,0.9*L249,"No credit allowed.")))),"N/A")</f>
        <v>N/A</v>
      </c>
      <c r="N249" s="327" t="e">
        <f>IF($D$20="Space-By-Space (90.1-2013)",INDEX(LPD2013SS,MATCH('Interior Lighting'!D249,LightingSpaceType,0)*W249),INDEX(LPD2013WB,MATCH('Interior Lighting'!D249,LightingSpaceType,0)))</f>
        <v>#N/A</v>
      </c>
      <c r="O249" s="327">
        <f t="shared" si="50"/>
        <v>0</v>
      </c>
      <c r="P249" s="407" t="e">
        <f t="shared" si="40"/>
        <v>#N/A</v>
      </c>
      <c r="Q249" s="407" t="e">
        <f t="shared" si="51"/>
        <v>#N/A</v>
      </c>
      <c r="R249" s="407" t="e">
        <f t="shared" si="41"/>
        <v>#N/A</v>
      </c>
      <c r="S249" s="324">
        <f t="shared" si="42"/>
        <v>0</v>
      </c>
      <c r="T249" s="924" t="str">
        <f t="shared" si="43"/>
        <v/>
      </c>
      <c r="U249" s="1221" t="str">
        <f t="shared" si="52"/>
        <v/>
      </c>
      <c r="W249" s="1098">
        <f t="shared" si="44"/>
        <v>1</v>
      </c>
      <c r="X249" s="1098" t="e">
        <f>INDEX(OSReq,MATCH('Interior Lighting'!D249,LightingSpaceType,0))</f>
        <v>#N/A</v>
      </c>
      <c r="Y249" s="1098" t="e">
        <f t="shared" si="45"/>
        <v>#N/A</v>
      </c>
      <c r="Z249" s="1098" t="e">
        <f t="shared" si="46"/>
        <v>#N/A</v>
      </c>
      <c r="AA249" s="1098" t="e">
        <f>INDEX(Lookup!$O$9:$O$24,MATCH('Interior Lighting'!Z249,Lookup!$K$9:$K$24,0))</f>
        <v>#N/A</v>
      </c>
      <c r="AB249" s="1098" t="e">
        <f>IF(E249="A",INDEX(Lookup!$L$9:$L$24,MATCH(Z249,Lookup!$K$9:$K$24,0)),IF(E249="B",INDEX(Lookup!$M$9:$M$24,MATCH(Z249,Lookup!$K$9:$K$24,0)),IF(E249="C",INDEX(Lookup!$N$9:$N$24,MATCH(Z249,Lookup!$K$9:$K$24,0)),"N/A")))</f>
        <v>#N/A</v>
      </c>
    </row>
    <row r="250" spans="1:28">
      <c r="A250" s="1006"/>
      <c r="B250" s="69"/>
      <c r="C250" s="323"/>
      <c r="D250" s="323"/>
      <c r="E250" s="324" t="e">
        <f>INDEX(Lookup!$I$9:$I$24,MATCH('Interior Lighting'!D250,Lookup!$C$9:$C$24,0))</f>
        <v>#N/A</v>
      </c>
      <c r="F250" s="69"/>
      <c r="G250" s="69"/>
      <c r="H250" s="69"/>
      <c r="I250" s="324" t="e">
        <f t="shared" si="47"/>
        <v>#N/A</v>
      </c>
      <c r="J250" s="170"/>
      <c r="K250" s="325">
        <f t="shared" si="48"/>
        <v>0</v>
      </c>
      <c r="L250" s="326" t="e">
        <f t="shared" si="49"/>
        <v>#DIV/0!</v>
      </c>
      <c r="M250" s="326" t="str">
        <f>IF(H250="Yes",IF(D250='Drop Down'!$W$4,0.9*L250,IF(D250='Drop Down'!$W$5,0.9*L250,IF(D250='Drop Down'!$W$10,0.9*L250,IF(D250='Drop Down'!$W$16,0.9*L250,"No credit allowed.")))),"N/A")</f>
        <v>N/A</v>
      </c>
      <c r="N250" s="327" t="e">
        <f>IF($D$20="Space-By-Space (90.1-2013)",INDEX(LPD2013SS,MATCH('Interior Lighting'!D250,LightingSpaceType,0)*W250),INDEX(LPD2013WB,MATCH('Interior Lighting'!D250,LightingSpaceType,0)))</f>
        <v>#N/A</v>
      </c>
      <c r="O250" s="327">
        <f t="shared" si="50"/>
        <v>0</v>
      </c>
      <c r="P250" s="407" t="e">
        <f t="shared" si="40"/>
        <v>#N/A</v>
      </c>
      <c r="Q250" s="407" t="e">
        <f t="shared" si="51"/>
        <v>#N/A</v>
      </c>
      <c r="R250" s="407" t="e">
        <f t="shared" si="41"/>
        <v>#N/A</v>
      </c>
      <c r="S250" s="324">
        <f t="shared" si="42"/>
        <v>0</v>
      </c>
      <c r="T250" s="924" t="str">
        <f t="shared" si="43"/>
        <v/>
      </c>
      <c r="U250" s="1221" t="str">
        <f t="shared" si="52"/>
        <v/>
      </c>
      <c r="W250" s="1098">
        <f t="shared" si="44"/>
        <v>1</v>
      </c>
      <c r="X250" s="1098" t="e">
        <f>INDEX(OSReq,MATCH('Interior Lighting'!D250,LightingSpaceType,0))</f>
        <v>#N/A</v>
      </c>
      <c r="Y250" s="1098" t="e">
        <f t="shared" si="45"/>
        <v>#N/A</v>
      </c>
      <c r="Z250" s="1098" t="e">
        <f t="shared" si="46"/>
        <v>#N/A</v>
      </c>
      <c r="AA250" s="1098" t="e">
        <f>INDEX(Lookup!$O$9:$O$24,MATCH('Interior Lighting'!Z250,Lookup!$K$9:$K$24,0))</f>
        <v>#N/A</v>
      </c>
      <c r="AB250" s="1098" t="e">
        <f>IF(E250="A",INDEX(Lookup!$L$9:$L$24,MATCH(Z250,Lookup!$K$9:$K$24,0)),IF(E250="B",INDEX(Lookup!$M$9:$M$24,MATCH(Z250,Lookup!$K$9:$K$24,0)),IF(E250="C",INDEX(Lookup!$N$9:$N$24,MATCH(Z250,Lookup!$K$9:$K$24,0)),"N/A")))</f>
        <v>#N/A</v>
      </c>
    </row>
    <row r="251" spans="1:28">
      <c r="A251" s="1006"/>
      <c r="B251" s="69"/>
      <c r="C251" s="323"/>
      <c r="D251" s="323"/>
      <c r="E251" s="324" t="e">
        <f>INDEX(Lookup!$I$9:$I$24,MATCH('Interior Lighting'!D251,Lookup!$C$9:$C$24,0))</f>
        <v>#N/A</v>
      </c>
      <c r="F251" s="69"/>
      <c r="G251" s="69"/>
      <c r="H251" s="69"/>
      <c r="I251" s="324" t="e">
        <f t="shared" si="47"/>
        <v>#N/A</v>
      </c>
      <c r="J251" s="170"/>
      <c r="K251" s="325">
        <f t="shared" si="48"/>
        <v>0</v>
      </c>
      <c r="L251" s="326" t="e">
        <f t="shared" si="49"/>
        <v>#DIV/0!</v>
      </c>
      <c r="M251" s="326" t="str">
        <f>IF(H251="Yes",IF(D251='Drop Down'!$W$4,0.9*L251,IF(D251='Drop Down'!$W$5,0.9*L251,IF(D251='Drop Down'!$W$10,0.9*L251,IF(D251='Drop Down'!$W$16,0.9*L251,"No credit allowed.")))),"N/A")</f>
        <v>N/A</v>
      </c>
      <c r="N251" s="327" t="e">
        <f>IF($D$20="Space-By-Space (90.1-2013)",INDEX(LPD2013SS,MATCH('Interior Lighting'!D251,LightingSpaceType,0)*W251),INDEX(LPD2013WB,MATCH('Interior Lighting'!D251,LightingSpaceType,0)))</f>
        <v>#N/A</v>
      </c>
      <c r="O251" s="327">
        <f t="shared" si="50"/>
        <v>0</v>
      </c>
      <c r="P251" s="407" t="e">
        <f t="shared" si="40"/>
        <v>#N/A</v>
      </c>
      <c r="Q251" s="407" t="e">
        <f t="shared" si="51"/>
        <v>#N/A</v>
      </c>
      <c r="R251" s="407" t="e">
        <f t="shared" si="41"/>
        <v>#N/A</v>
      </c>
      <c r="S251" s="324">
        <f t="shared" si="42"/>
        <v>0</v>
      </c>
      <c r="T251" s="924" t="str">
        <f t="shared" si="43"/>
        <v/>
      </c>
      <c r="U251" s="1221" t="str">
        <f t="shared" si="52"/>
        <v/>
      </c>
      <c r="W251" s="1098">
        <f t="shared" si="44"/>
        <v>1</v>
      </c>
      <c r="X251" s="1098" t="e">
        <f>INDEX(OSReq,MATCH('Interior Lighting'!D251,LightingSpaceType,0))</f>
        <v>#N/A</v>
      </c>
      <c r="Y251" s="1098" t="e">
        <f t="shared" si="45"/>
        <v>#N/A</v>
      </c>
      <c r="Z251" s="1098" t="e">
        <f t="shared" si="46"/>
        <v>#N/A</v>
      </c>
      <c r="AA251" s="1098" t="e">
        <f>INDEX(Lookup!$O$9:$O$24,MATCH('Interior Lighting'!Z251,Lookup!$K$9:$K$24,0))</f>
        <v>#N/A</v>
      </c>
      <c r="AB251" s="1098" t="e">
        <f>IF(E251="A",INDEX(Lookup!$L$9:$L$24,MATCH(Z251,Lookup!$K$9:$K$24,0)),IF(E251="B",INDEX(Lookup!$M$9:$M$24,MATCH(Z251,Lookup!$K$9:$K$24,0)),IF(E251="C",INDEX(Lookup!$N$9:$N$24,MATCH(Z251,Lookup!$K$9:$K$24,0)),"N/A")))</f>
        <v>#N/A</v>
      </c>
    </row>
    <row r="252" spans="1:28">
      <c r="A252" s="1006"/>
      <c r="B252" s="69"/>
      <c r="C252" s="323"/>
      <c r="D252" s="323"/>
      <c r="E252" s="324" t="e">
        <f>INDEX(Lookup!$I$9:$I$24,MATCH('Interior Lighting'!D252,Lookup!$C$9:$C$24,0))</f>
        <v>#N/A</v>
      </c>
      <c r="F252" s="69"/>
      <c r="G252" s="69"/>
      <c r="H252" s="69"/>
      <c r="I252" s="324" t="e">
        <f t="shared" si="47"/>
        <v>#N/A</v>
      </c>
      <c r="J252" s="170"/>
      <c r="K252" s="325">
        <f t="shared" si="48"/>
        <v>0</v>
      </c>
      <c r="L252" s="326" t="e">
        <f t="shared" si="49"/>
        <v>#DIV/0!</v>
      </c>
      <c r="M252" s="326" t="str">
        <f>IF(H252="Yes",IF(D252='Drop Down'!$W$4,0.9*L252,IF(D252='Drop Down'!$W$5,0.9*L252,IF(D252='Drop Down'!$W$10,0.9*L252,IF(D252='Drop Down'!$W$16,0.9*L252,"No credit allowed.")))),"N/A")</f>
        <v>N/A</v>
      </c>
      <c r="N252" s="327" t="e">
        <f>IF($D$20="Space-By-Space (90.1-2013)",INDEX(LPD2013SS,MATCH('Interior Lighting'!D252,LightingSpaceType,0)*W252),INDEX(LPD2013WB,MATCH('Interior Lighting'!D252,LightingSpaceType,0)))</f>
        <v>#N/A</v>
      </c>
      <c r="O252" s="327">
        <f t="shared" si="50"/>
        <v>0</v>
      </c>
      <c r="P252" s="407" t="e">
        <f t="shared" si="40"/>
        <v>#N/A</v>
      </c>
      <c r="Q252" s="407" t="e">
        <f t="shared" si="51"/>
        <v>#N/A</v>
      </c>
      <c r="R252" s="407" t="e">
        <f t="shared" si="41"/>
        <v>#N/A</v>
      </c>
      <c r="S252" s="324">
        <f t="shared" si="42"/>
        <v>0</v>
      </c>
      <c r="T252" s="924" t="str">
        <f t="shared" si="43"/>
        <v/>
      </c>
      <c r="U252" s="1221" t="str">
        <f t="shared" si="52"/>
        <v/>
      </c>
      <c r="W252" s="1098">
        <f t="shared" si="44"/>
        <v>1</v>
      </c>
      <c r="X252" s="1098" t="e">
        <f>INDEX(OSReq,MATCH('Interior Lighting'!D252,LightingSpaceType,0))</f>
        <v>#N/A</v>
      </c>
      <c r="Y252" s="1098" t="e">
        <f t="shared" si="45"/>
        <v>#N/A</v>
      </c>
      <c r="Z252" s="1098" t="e">
        <f t="shared" si="46"/>
        <v>#N/A</v>
      </c>
      <c r="AA252" s="1098" t="e">
        <f>INDEX(Lookup!$O$9:$O$24,MATCH('Interior Lighting'!Z252,Lookup!$K$9:$K$24,0))</f>
        <v>#N/A</v>
      </c>
      <c r="AB252" s="1098" t="e">
        <f>IF(E252="A",INDEX(Lookup!$L$9:$L$24,MATCH(Z252,Lookup!$K$9:$K$24,0)),IF(E252="B",INDEX(Lookup!$M$9:$M$24,MATCH(Z252,Lookup!$K$9:$K$24,0)),IF(E252="C",INDEX(Lookup!$N$9:$N$24,MATCH(Z252,Lookup!$K$9:$K$24,0)),"N/A")))</f>
        <v>#N/A</v>
      </c>
    </row>
    <row r="253" spans="1:28">
      <c r="A253" s="1006"/>
      <c r="B253" s="69"/>
      <c r="C253" s="323"/>
      <c r="D253" s="323"/>
      <c r="E253" s="324" t="e">
        <f>INDEX(Lookup!$I$9:$I$24,MATCH('Interior Lighting'!D253,Lookup!$C$9:$C$24,0))</f>
        <v>#N/A</v>
      </c>
      <c r="F253" s="69"/>
      <c r="G253" s="69"/>
      <c r="H253" s="69"/>
      <c r="I253" s="324" t="e">
        <f t="shared" si="47"/>
        <v>#N/A</v>
      </c>
      <c r="J253" s="170"/>
      <c r="K253" s="325">
        <f t="shared" si="48"/>
        <v>0</v>
      </c>
      <c r="L253" s="326" t="e">
        <f t="shared" si="49"/>
        <v>#DIV/0!</v>
      </c>
      <c r="M253" s="326" t="str">
        <f>IF(H253="Yes",IF(D253='Drop Down'!$W$4,0.9*L253,IF(D253='Drop Down'!$W$5,0.9*L253,IF(D253='Drop Down'!$W$10,0.9*L253,IF(D253='Drop Down'!$W$16,0.9*L253,"No credit allowed.")))),"N/A")</f>
        <v>N/A</v>
      </c>
      <c r="N253" s="327" t="e">
        <f>IF($D$20="Space-By-Space (90.1-2013)",INDEX(LPD2013SS,MATCH('Interior Lighting'!D253,LightingSpaceType,0)*W253),INDEX(LPD2013WB,MATCH('Interior Lighting'!D253,LightingSpaceType,0)))</f>
        <v>#N/A</v>
      </c>
      <c r="O253" s="327">
        <f t="shared" si="50"/>
        <v>0</v>
      </c>
      <c r="P253" s="407" t="e">
        <f t="shared" si="40"/>
        <v>#N/A</v>
      </c>
      <c r="Q253" s="407" t="e">
        <f t="shared" si="51"/>
        <v>#N/A</v>
      </c>
      <c r="R253" s="407" t="e">
        <f t="shared" si="41"/>
        <v>#N/A</v>
      </c>
      <c r="S253" s="324">
        <f t="shared" si="42"/>
        <v>0</v>
      </c>
      <c r="T253" s="924" t="str">
        <f t="shared" si="43"/>
        <v/>
      </c>
      <c r="U253" s="1221" t="str">
        <f t="shared" si="52"/>
        <v/>
      </c>
      <c r="W253" s="1098">
        <f t="shared" si="44"/>
        <v>1</v>
      </c>
      <c r="X253" s="1098" t="e">
        <f>INDEX(OSReq,MATCH('Interior Lighting'!D253,LightingSpaceType,0))</f>
        <v>#N/A</v>
      </c>
      <c r="Y253" s="1098" t="e">
        <f t="shared" si="45"/>
        <v>#N/A</v>
      </c>
      <c r="Z253" s="1098" t="e">
        <f t="shared" si="46"/>
        <v>#N/A</v>
      </c>
      <c r="AA253" s="1098" t="e">
        <f>INDEX(Lookup!$O$9:$O$24,MATCH('Interior Lighting'!Z253,Lookup!$K$9:$K$24,0))</f>
        <v>#N/A</v>
      </c>
      <c r="AB253" s="1098" t="e">
        <f>IF(E253="A",INDEX(Lookup!$L$9:$L$24,MATCH(Z253,Lookup!$K$9:$K$24,0)),IF(E253="B",INDEX(Lookup!$M$9:$M$24,MATCH(Z253,Lookup!$K$9:$K$24,0)),IF(E253="C",INDEX(Lookup!$N$9:$N$24,MATCH(Z253,Lookup!$K$9:$K$24,0)),"N/A")))</f>
        <v>#N/A</v>
      </c>
    </row>
    <row r="254" spans="1:28">
      <c r="A254" s="1006"/>
      <c r="B254" s="69"/>
      <c r="C254" s="323"/>
      <c r="D254" s="323"/>
      <c r="E254" s="324" t="e">
        <f>INDEX(Lookup!$I$9:$I$24,MATCH('Interior Lighting'!D254,Lookup!$C$9:$C$24,0))</f>
        <v>#N/A</v>
      </c>
      <c r="F254" s="69"/>
      <c r="G254" s="69"/>
      <c r="H254" s="69"/>
      <c r="I254" s="324" t="e">
        <f t="shared" si="47"/>
        <v>#N/A</v>
      </c>
      <c r="J254" s="170"/>
      <c r="K254" s="325">
        <f t="shared" si="48"/>
        <v>0</v>
      </c>
      <c r="L254" s="326" t="e">
        <f t="shared" si="49"/>
        <v>#DIV/0!</v>
      </c>
      <c r="M254" s="326" t="str">
        <f>IF(H254="Yes",IF(D254='Drop Down'!$W$4,0.9*L254,IF(D254='Drop Down'!$W$5,0.9*L254,IF(D254='Drop Down'!$W$10,0.9*L254,IF(D254='Drop Down'!$W$16,0.9*L254,"No credit allowed.")))),"N/A")</f>
        <v>N/A</v>
      </c>
      <c r="N254" s="327" t="e">
        <f>IF($D$20="Space-By-Space (90.1-2013)",INDEX(LPD2013SS,MATCH('Interior Lighting'!D254,LightingSpaceType,0)*W254),INDEX(LPD2013WB,MATCH('Interior Lighting'!D254,LightingSpaceType,0)))</f>
        <v>#N/A</v>
      </c>
      <c r="O254" s="327">
        <f t="shared" si="50"/>
        <v>0</v>
      </c>
      <c r="P254" s="407" t="e">
        <f t="shared" si="40"/>
        <v>#N/A</v>
      </c>
      <c r="Q254" s="407" t="e">
        <f t="shared" si="51"/>
        <v>#N/A</v>
      </c>
      <c r="R254" s="407" t="e">
        <f t="shared" si="41"/>
        <v>#N/A</v>
      </c>
      <c r="S254" s="324">
        <f t="shared" si="42"/>
        <v>0</v>
      </c>
      <c r="T254" s="924" t="str">
        <f t="shared" si="43"/>
        <v/>
      </c>
      <c r="U254" s="1221" t="str">
        <f t="shared" si="52"/>
        <v/>
      </c>
      <c r="W254" s="1098">
        <f t="shared" si="44"/>
        <v>1</v>
      </c>
      <c r="X254" s="1098" t="e">
        <f>INDEX(OSReq,MATCH('Interior Lighting'!D254,LightingSpaceType,0))</f>
        <v>#N/A</v>
      </c>
      <c r="Y254" s="1098" t="e">
        <f t="shared" si="45"/>
        <v>#N/A</v>
      </c>
      <c r="Z254" s="1098" t="e">
        <f t="shared" si="46"/>
        <v>#N/A</v>
      </c>
      <c r="AA254" s="1098" t="e">
        <f>INDEX(Lookup!$O$9:$O$24,MATCH('Interior Lighting'!Z254,Lookup!$K$9:$K$24,0))</f>
        <v>#N/A</v>
      </c>
      <c r="AB254" s="1098" t="e">
        <f>IF(E254="A",INDEX(Lookup!$L$9:$L$24,MATCH(Z254,Lookup!$K$9:$K$24,0)),IF(E254="B",INDEX(Lookup!$M$9:$M$24,MATCH(Z254,Lookup!$K$9:$K$24,0)),IF(E254="C",INDEX(Lookup!$N$9:$N$24,MATCH(Z254,Lookup!$K$9:$K$24,0)),"N/A")))</f>
        <v>#N/A</v>
      </c>
    </row>
    <row r="255" spans="1:28">
      <c r="A255" s="1006"/>
      <c r="B255" s="69"/>
      <c r="C255" s="330"/>
      <c r="D255" s="323"/>
      <c r="E255" s="324" t="e">
        <f>INDEX(Lookup!$I$9:$I$24,MATCH('Interior Lighting'!D255,Lookup!$C$9:$C$24,0))</f>
        <v>#N/A</v>
      </c>
      <c r="F255" s="69"/>
      <c r="G255" s="69"/>
      <c r="H255" s="69"/>
      <c r="I255" s="324" t="e">
        <f t="shared" si="47"/>
        <v>#N/A</v>
      </c>
      <c r="J255" s="170"/>
      <c r="K255" s="325">
        <f t="shared" si="48"/>
        <v>0</v>
      </c>
      <c r="L255" s="326" t="e">
        <f t="shared" si="49"/>
        <v>#DIV/0!</v>
      </c>
      <c r="M255" s="326" t="str">
        <f>IF(H255="Yes",IF(D255='Drop Down'!$W$4,0.9*L255,IF(D255='Drop Down'!$W$5,0.9*L255,IF(D255='Drop Down'!$W$10,0.9*L255,IF(D255='Drop Down'!$W$16,0.9*L255,"No credit allowed.")))),"N/A")</f>
        <v>N/A</v>
      </c>
      <c r="N255" s="327" t="e">
        <f>IF($D$20="Space-By-Space (90.1-2013)",INDEX(LPD2013SS,MATCH('Interior Lighting'!D255,LightingSpaceType,0)*W255),INDEX(LPD2013WB,MATCH('Interior Lighting'!D255,LightingSpaceType,0)))</f>
        <v>#N/A</v>
      </c>
      <c r="O255" s="327">
        <f t="shared" si="50"/>
        <v>0</v>
      </c>
      <c r="P255" s="407" t="e">
        <f t="shared" si="40"/>
        <v>#N/A</v>
      </c>
      <c r="Q255" s="407" t="e">
        <f t="shared" si="51"/>
        <v>#N/A</v>
      </c>
      <c r="R255" s="407" t="e">
        <f t="shared" si="41"/>
        <v>#N/A</v>
      </c>
      <c r="S255" s="324">
        <f t="shared" si="42"/>
        <v>0</v>
      </c>
      <c r="T255" s="924" t="str">
        <f t="shared" si="43"/>
        <v/>
      </c>
      <c r="U255" s="1221" t="str">
        <f t="shared" si="52"/>
        <v/>
      </c>
      <c r="W255" s="1098">
        <f t="shared" si="44"/>
        <v>1</v>
      </c>
      <c r="X255" s="1098" t="e">
        <f>INDEX(OSReq,MATCH('Interior Lighting'!D255,LightingSpaceType,0))</f>
        <v>#N/A</v>
      </c>
      <c r="Y255" s="1098" t="e">
        <f t="shared" si="45"/>
        <v>#N/A</v>
      </c>
      <c r="Z255" s="1098" t="e">
        <f t="shared" si="46"/>
        <v>#N/A</v>
      </c>
      <c r="AA255" s="1098" t="e">
        <f>INDEX(Lookup!$O$9:$O$24,MATCH('Interior Lighting'!Z255,Lookup!$K$9:$K$24,0))</f>
        <v>#N/A</v>
      </c>
      <c r="AB255" s="1098" t="e">
        <f>IF(E255="A",INDEX(Lookup!$L$9:$L$24,MATCH(Z255,Lookup!$K$9:$K$24,0)),IF(E255="B",INDEX(Lookup!$M$9:$M$24,MATCH(Z255,Lookup!$K$9:$K$24,0)),IF(E255="C",INDEX(Lookup!$N$9:$N$24,MATCH(Z255,Lookup!$K$9:$K$24,0)),"N/A")))</f>
        <v>#N/A</v>
      </c>
    </row>
    <row r="256" spans="1:28">
      <c r="A256" s="1006"/>
      <c r="B256" s="69"/>
      <c r="C256" s="323"/>
      <c r="D256" s="323"/>
      <c r="E256" s="324" t="e">
        <f>INDEX(Lookup!$I$9:$I$24,MATCH('Interior Lighting'!D256,Lookup!$C$9:$C$24,0))</f>
        <v>#N/A</v>
      </c>
      <c r="F256" s="69"/>
      <c r="G256" s="69"/>
      <c r="H256" s="69"/>
      <c r="I256" s="324" t="e">
        <f t="shared" si="47"/>
        <v>#N/A</v>
      </c>
      <c r="J256" s="170"/>
      <c r="K256" s="325">
        <f t="shared" si="48"/>
        <v>0</v>
      </c>
      <c r="L256" s="326" t="e">
        <f t="shared" si="49"/>
        <v>#DIV/0!</v>
      </c>
      <c r="M256" s="326" t="str">
        <f>IF(H256="Yes",IF(D256='Drop Down'!$W$4,0.9*L256,IF(D256='Drop Down'!$W$5,0.9*L256,IF(D256='Drop Down'!$W$10,0.9*L256,IF(D256='Drop Down'!$W$16,0.9*L256,"No credit allowed.")))),"N/A")</f>
        <v>N/A</v>
      </c>
      <c r="N256" s="327" t="e">
        <f>IF($D$20="Space-By-Space (90.1-2013)",INDEX(LPD2013SS,MATCH('Interior Lighting'!D256,LightingSpaceType,0)*W256),INDEX(LPD2013WB,MATCH('Interior Lighting'!D256,LightingSpaceType,0)))</f>
        <v>#N/A</v>
      </c>
      <c r="O256" s="327">
        <f t="shared" si="50"/>
        <v>0</v>
      </c>
      <c r="P256" s="407" t="e">
        <f t="shared" si="40"/>
        <v>#N/A</v>
      </c>
      <c r="Q256" s="407" t="e">
        <f t="shared" si="51"/>
        <v>#N/A</v>
      </c>
      <c r="R256" s="407" t="e">
        <f t="shared" si="41"/>
        <v>#N/A</v>
      </c>
      <c r="S256" s="324">
        <f t="shared" si="42"/>
        <v>0</v>
      </c>
      <c r="T256" s="924" t="str">
        <f t="shared" si="43"/>
        <v/>
      </c>
      <c r="U256" s="1221" t="str">
        <f t="shared" si="52"/>
        <v/>
      </c>
      <c r="W256" s="1098">
        <f t="shared" si="44"/>
        <v>1</v>
      </c>
      <c r="X256" s="1098" t="e">
        <f>INDEX(OSReq,MATCH('Interior Lighting'!D256,LightingSpaceType,0))</f>
        <v>#N/A</v>
      </c>
      <c r="Y256" s="1098" t="e">
        <f t="shared" si="45"/>
        <v>#N/A</v>
      </c>
      <c r="Z256" s="1098" t="e">
        <f t="shared" si="46"/>
        <v>#N/A</v>
      </c>
      <c r="AA256" s="1098" t="e">
        <f>INDEX(Lookup!$O$9:$O$24,MATCH('Interior Lighting'!Z256,Lookup!$K$9:$K$24,0))</f>
        <v>#N/A</v>
      </c>
      <c r="AB256" s="1098" t="e">
        <f>IF(E256="A",INDEX(Lookup!$L$9:$L$24,MATCH(Z256,Lookup!$K$9:$K$24,0)),IF(E256="B",INDEX(Lookup!$M$9:$M$24,MATCH(Z256,Lookup!$K$9:$K$24,0)),IF(E256="C",INDEX(Lookup!$N$9:$N$24,MATCH(Z256,Lookup!$K$9:$K$24,0)),"N/A")))</f>
        <v>#N/A</v>
      </c>
    </row>
    <row r="257" spans="1:28">
      <c r="A257" s="1006"/>
      <c r="B257" s="69"/>
      <c r="C257" s="323"/>
      <c r="D257" s="323"/>
      <c r="E257" s="324" t="e">
        <f>INDEX(Lookup!$I$9:$I$24,MATCH('Interior Lighting'!D257,Lookup!$C$9:$C$24,0))</f>
        <v>#N/A</v>
      </c>
      <c r="F257" s="69"/>
      <c r="G257" s="69"/>
      <c r="H257" s="69"/>
      <c r="I257" s="324" t="e">
        <f t="shared" si="47"/>
        <v>#N/A</v>
      </c>
      <c r="J257" s="170"/>
      <c r="K257" s="325">
        <f t="shared" si="48"/>
        <v>0</v>
      </c>
      <c r="L257" s="326" t="e">
        <f t="shared" si="49"/>
        <v>#DIV/0!</v>
      </c>
      <c r="M257" s="326" t="str">
        <f>IF(H257="Yes",IF(D257='Drop Down'!$W$4,0.9*L257,IF(D257='Drop Down'!$W$5,0.9*L257,IF(D257='Drop Down'!$W$10,0.9*L257,IF(D257='Drop Down'!$W$16,0.9*L257,"No credit allowed.")))),"N/A")</f>
        <v>N/A</v>
      </c>
      <c r="N257" s="327" t="e">
        <f>IF($D$20="Space-By-Space (90.1-2013)",INDEX(LPD2013SS,MATCH('Interior Lighting'!D257,LightingSpaceType,0)*W257),INDEX(LPD2013WB,MATCH('Interior Lighting'!D257,LightingSpaceType,0)))</f>
        <v>#N/A</v>
      </c>
      <c r="O257" s="327">
        <f t="shared" si="50"/>
        <v>0</v>
      </c>
      <c r="P257" s="407" t="e">
        <f t="shared" si="40"/>
        <v>#N/A</v>
      </c>
      <c r="Q257" s="407" t="e">
        <f t="shared" si="51"/>
        <v>#N/A</v>
      </c>
      <c r="R257" s="407" t="e">
        <f t="shared" si="41"/>
        <v>#N/A</v>
      </c>
      <c r="S257" s="324">
        <f t="shared" si="42"/>
        <v>0</v>
      </c>
      <c r="T257" s="924" t="str">
        <f t="shared" si="43"/>
        <v/>
      </c>
      <c r="U257" s="1221" t="str">
        <f t="shared" si="52"/>
        <v/>
      </c>
      <c r="W257" s="1098">
        <f t="shared" si="44"/>
        <v>1</v>
      </c>
      <c r="X257" s="1098" t="e">
        <f>INDEX(OSReq,MATCH('Interior Lighting'!D257,LightingSpaceType,0))</f>
        <v>#N/A</v>
      </c>
      <c r="Y257" s="1098" t="e">
        <f t="shared" si="45"/>
        <v>#N/A</v>
      </c>
      <c r="Z257" s="1098" t="e">
        <f t="shared" si="46"/>
        <v>#N/A</v>
      </c>
      <c r="AA257" s="1098" t="e">
        <f>INDEX(Lookup!$O$9:$O$24,MATCH('Interior Lighting'!Z257,Lookup!$K$9:$K$24,0))</f>
        <v>#N/A</v>
      </c>
      <c r="AB257" s="1098" t="e">
        <f>IF(E257="A",INDEX(Lookup!$L$9:$L$24,MATCH(Z257,Lookup!$K$9:$K$24,0)),IF(E257="B",INDEX(Lookup!$M$9:$M$24,MATCH(Z257,Lookup!$K$9:$K$24,0)),IF(E257="C",INDEX(Lookup!$N$9:$N$24,MATCH(Z257,Lookup!$K$9:$K$24,0)),"N/A")))</f>
        <v>#N/A</v>
      </c>
    </row>
    <row r="258" spans="1:28">
      <c r="A258" s="1006"/>
      <c r="B258" s="69"/>
      <c r="C258" s="323"/>
      <c r="D258" s="323"/>
      <c r="E258" s="324" t="e">
        <f>INDEX(Lookup!$I$9:$I$24,MATCH('Interior Lighting'!D258,Lookup!$C$9:$C$24,0))</f>
        <v>#N/A</v>
      </c>
      <c r="F258" s="69"/>
      <c r="G258" s="69"/>
      <c r="H258" s="69"/>
      <c r="I258" s="324" t="e">
        <f t="shared" si="47"/>
        <v>#N/A</v>
      </c>
      <c r="J258" s="170"/>
      <c r="K258" s="325">
        <f t="shared" si="48"/>
        <v>0</v>
      </c>
      <c r="L258" s="326" t="e">
        <f t="shared" si="49"/>
        <v>#DIV/0!</v>
      </c>
      <c r="M258" s="326" t="str">
        <f>IF(H258="Yes",IF(D258='Drop Down'!$W$4,0.9*L258,IF(D258='Drop Down'!$W$5,0.9*L258,IF(D258='Drop Down'!$W$10,0.9*L258,IF(D258='Drop Down'!$W$16,0.9*L258,"No credit allowed.")))),"N/A")</f>
        <v>N/A</v>
      </c>
      <c r="N258" s="327" t="e">
        <f>IF($D$20="Space-By-Space (90.1-2013)",INDEX(LPD2013SS,MATCH('Interior Lighting'!D258,LightingSpaceType,0)*W258),INDEX(LPD2013WB,MATCH('Interior Lighting'!D258,LightingSpaceType,0)))</f>
        <v>#N/A</v>
      </c>
      <c r="O258" s="327">
        <f t="shared" si="50"/>
        <v>0</v>
      </c>
      <c r="P258" s="407" t="e">
        <f t="shared" si="40"/>
        <v>#N/A</v>
      </c>
      <c r="Q258" s="407" t="e">
        <f t="shared" si="51"/>
        <v>#N/A</v>
      </c>
      <c r="R258" s="407" t="e">
        <f t="shared" si="41"/>
        <v>#N/A</v>
      </c>
      <c r="S258" s="324">
        <f t="shared" si="42"/>
        <v>0</v>
      </c>
      <c r="T258" s="924" t="str">
        <f t="shared" si="43"/>
        <v/>
      </c>
      <c r="U258" s="1221" t="str">
        <f t="shared" si="52"/>
        <v/>
      </c>
      <c r="W258" s="1098">
        <f t="shared" si="44"/>
        <v>1</v>
      </c>
      <c r="X258" s="1098" t="e">
        <f>INDEX(OSReq,MATCH('Interior Lighting'!D258,LightingSpaceType,0))</f>
        <v>#N/A</v>
      </c>
      <c r="Y258" s="1098" t="e">
        <f t="shared" si="45"/>
        <v>#N/A</v>
      </c>
      <c r="Z258" s="1098" t="e">
        <f t="shared" si="46"/>
        <v>#N/A</v>
      </c>
      <c r="AA258" s="1098" t="e">
        <f>INDEX(Lookup!$O$9:$O$24,MATCH('Interior Lighting'!Z258,Lookup!$K$9:$K$24,0))</f>
        <v>#N/A</v>
      </c>
      <c r="AB258" s="1098" t="e">
        <f>IF(E258="A",INDEX(Lookup!$L$9:$L$24,MATCH(Z258,Lookup!$K$9:$K$24,0)),IF(E258="B",INDEX(Lookup!$M$9:$M$24,MATCH(Z258,Lookup!$K$9:$K$24,0)),IF(E258="C",INDEX(Lookup!$N$9:$N$24,MATCH(Z258,Lookup!$K$9:$K$24,0)),"N/A")))</f>
        <v>#N/A</v>
      </c>
    </row>
    <row r="259" spans="1:28">
      <c r="A259" s="1006"/>
      <c r="B259" s="69"/>
      <c r="C259" s="323"/>
      <c r="D259" s="323"/>
      <c r="E259" s="324" t="e">
        <f>INDEX(Lookup!$I$9:$I$24,MATCH('Interior Lighting'!D259,Lookup!$C$9:$C$24,0))</f>
        <v>#N/A</v>
      </c>
      <c r="F259" s="69"/>
      <c r="G259" s="69"/>
      <c r="H259" s="69"/>
      <c r="I259" s="324" t="e">
        <f t="shared" si="47"/>
        <v>#N/A</v>
      </c>
      <c r="J259" s="170"/>
      <c r="K259" s="325">
        <f t="shared" si="48"/>
        <v>0</v>
      </c>
      <c r="L259" s="326" t="e">
        <f t="shared" si="49"/>
        <v>#DIV/0!</v>
      </c>
      <c r="M259" s="326" t="str">
        <f>IF(H259="Yes",IF(D259='Drop Down'!$W$4,0.9*L259,IF(D259='Drop Down'!$W$5,0.9*L259,IF(D259='Drop Down'!$W$10,0.9*L259,IF(D259='Drop Down'!$W$16,0.9*L259,"No credit allowed.")))),"N/A")</f>
        <v>N/A</v>
      </c>
      <c r="N259" s="327" t="e">
        <f>IF($D$20="Space-By-Space (90.1-2013)",INDEX(LPD2013SS,MATCH('Interior Lighting'!D259,LightingSpaceType,0)*W259),INDEX(LPD2013WB,MATCH('Interior Lighting'!D259,LightingSpaceType,0)))</f>
        <v>#N/A</v>
      </c>
      <c r="O259" s="327">
        <f t="shared" si="50"/>
        <v>0</v>
      </c>
      <c r="P259" s="407" t="e">
        <f t="shared" si="40"/>
        <v>#N/A</v>
      </c>
      <c r="Q259" s="407" t="e">
        <f t="shared" si="51"/>
        <v>#N/A</v>
      </c>
      <c r="R259" s="407" t="e">
        <f t="shared" si="41"/>
        <v>#N/A</v>
      </c>
      <c r="S259" s="324">
        <f t="shared" si="42"/>
        <v>0</v>
      </c>
      <c r="T259" s="924" t="str">
        <f t="shared" si="43"/>
        <v/>
      </c>
      <c r="U259" s="1221" t="str">
        <f t="shared" si="52"/>
        <v/>
      </c>
      <c r="W259" s="1098">
        <f t="shared" si="44"/>
        <v>1</v>
      </c>
      <c r="X259" s="1098" t="e">
        <f>INDEX(OSReq,MATCH('Interior Lighting'!D259,LightingSpaceType,0))</f>
        <v>#N/A</v>
      </c>
      <c r="Y259" s="1098" t="e">
        <f t="shared" si="45"/>
        <v>#N/A</v>
      </c>
      <c r="Z259" s="1098" t="e">
        <f t="shared" si="46"/>
        <v>#N/A</v>
      </c>
      <c r="AA259" s="1098" t="e">
        <f>INDEX(Lookup!$O$9:$O$24,MATCH('Interior Lighting'!Z259,Lookup!$K$9:$K$24,0))</f>
        <v>#N/A</v>
      </c>
      <c r="AB259" s="1098" t="e">
        <f>IF(E259="A",INDEX(Lookup!$L$9:$L$24,MATCH(Z259,Lookup!$K$9:$K$24,0)),IF(E259="B",INDEX(Lookup!$M$9:$M$24,MATCH(Z259,Lookup!$K$9:$K$24,0)),IF(E259="C",INDEX(Lookup!$N$9:$N$24,MATCH(Z259,Lookup!$K$9:$K$24,0)),"N/A")))</f>
        <v>#N/A</v>
      </c>
    </row>
    <row r="260" spans="1:28">
      <c r="A260" s="1006"/>
      <c r="B260" s="69"/>
      <c r="C260" s="323"/>
      <c r="D260" s="323"/>
      <c r="E260" s="324" t="e">
        <f>INDEX(Lookup!$I$9:$I$24,MATCH('Interior Lighting'!D260,Lookup!$C$9:$C$24,0))</f>
        <v>#N/A</v>
      </c>
      <c r="F260" s="69"/>
      <c r="G260" s="69"/>
      <c r="H260" s="69"/>
      <c r="I260" s="324" t="e">
        <f t="shared" si="47"/>
        <v>#N/A</v>
      </c>
      <c r="J260" s="170"/>
      <c r="K260" s="325">
        <f t="shared" si="48"/>
        <v>0</v>
      </c>
      <c r="L260" s="326" t="e">
        <f t="shared" si="49"/>
        <v>#DIV/0!</v>
      </c>
      <c r="M260" s="326" t="str">
        <f>IF(H260="Yes",IF(D260='Drop Down'!$W$4,0.9*L260,IF(D260='Drop Down'!$W$5,0.9*L260,IF(D260='Drop Down'!$W$10,0.9*L260,IF(D260='Drop Down'!$W$16,0.9*L260,"No credit allowed.")))),"N/A")</f>
        <v>N/A</v>
      </c>
      <c r="N260" s="327" t="e">
        <f>IF($D$20="Space-By-Space (90.1-2013)",INDEX(LPD2013SS,MATCH('Interior Lighting'!D260,LightingSpaceType,0)*W260),INDEX(LPD2013WB,MATCH('Interior Lighting'!D260,LightingSpaceType,0)))</f>
        <v>#N/A</v>
      </c>
      <c r="O260" s="327">
        <f t="shared" si="50"/>
        <v>0</v>
      </c>
      <c r="P260" s="407" t="e">
        <f t="shared" si="40"/>
        <v>#N/A</v>
      </c>
      <c r="Q260" s="407" t="e">
        <f t="shared" si="51"/>
        <v>#N/A</v>
      </c>
      <c r="R260" s="407" t="e">
        <f t="shared" si="41"/>
        <v>#N/A</v>
      </c>
      <c r="S260" s="324">
        <f t="shared" si="42"/>
        <v>0</v>
      </c>
      <c r="T260" s="924" t="str">
        <f t="shared" si="43"/>
        <v/>
      </c>
      <c r="U260" s="1221" t="str">
        <f t="shared" si="52"/>
        <v/>
      </c>
      <c r="W260" s="1098">
        <f t="shared" si="44"/>
        <v>1</v>
      </c>
      <c r="X260" s="1098" t="e">
        <f>INDEX(OSReq,MATCH('Interior Lighting'!D260,LightingSpaceType,0))</f>
        <v>#N/A</v>
      </c>
      <c r="Y260" s="1098" t="e">
        <f t="shared" si="45"/>
        <v>#N/A</v>
      </c>
      <c r="Z260" s="1098" t="e">
        <f t="shared" si="46"/>
        <v>#N/A</v>
      </c>
      <c r="AA260" s="1098" t="e">
        <f>INDEX(Lookup!$O$9:$O$24,MATCH('Interior Lighting'!Z260,Lookup!$K$9:$K$24,0))</f>
        <v>#N/A</v>
      </c>
      <c r="AB260" s="1098" t="e">
        <f>IF(E260="A",INDEX(Lookup!$L$9:$L$24,MATCH(Z260,Lookup!$K$9:$K$24,0)),IF(E260="B",INDEX(Lookup!$M$9:$M$24,MATCH(Z260,Lookup!$K$9:$K$24,0)),IF(E260="C",INDEX(Lookup!$N$9:$N$24,MATCH(Z260,Lookup!$K$9:$K$24,0)),"N/A")))</f>
        <v>#N/A</v>
      </c>
    </row>
    <row r="261" spans="1:28">
      <c r="A261" s="1006"/>
      <c r="B261" s="69"/>
      <c r="C261" s="330"/>
      <c r="D261" s="323"/>
      <c r="E261" s="324" t="e">
        <f>INDEX(Lookup!$I$9:$I$24,MATCH('Interior Lighting'!D261,Lookup!$C$9:$C$24,0))</f>
        <v>#N/A</v>
      </c>
      <c r="F261" s="69"/>
      <c r="G261" s="69"/>
      <c r="H261" s="69"/>
      <c r="I261" s="324" t="e">
        <f t="shared" si="47"/>
        <v>#N/A</v>
      </c>
      <c r="J261" s="170"/>
      <c r="K261" s="325">
        <f t="shared" si="48"/>
        <v>0</v>
      </c>
      <c r="L261" s="326" t="e">
        <f t="shared" si="49"/>
        <v>#DIV/0!</v>
      </c>
      <c r="M261" s="326" t="str">
        <f>IF(H261="Yes",IF(D261='Drop Down'!$W$4,0.9*L261,IF(D261='Drop Down'!$W$5,0.9*L261,IF(D261='Drop Down'!$W$10,0.9*L261,IF(D261='Drop Down'!$W$16,0.9*L261,"No credit allowed.")))),"N/A")</f>
        <v>N/A</v>
      </c>
      <c r="N261" s="327" t="e">
        <f>IF($D$20="Space-By-Space (90.1-2013)",INDEX(LPD2013SS,MATCH('Interior Lighting'!D261,LightingSpaceType,0)*W261),INDEX(LPD2013WB,MATCH('Interior Lighting'!D261,LightingSpaceType,0)))</f>
        <v>#N/A</v>
      </c>
      <c r="O261" s="327">
        <f t="shared" si="50"/>
        <v>0</v>
      </c>
      <c r="P261" s="407" t="e">
        <f t="shared" si="40"/>
        <v>#N/A</v>
      </c>
      <c r="Q261" s="407" t="e">
        <f t="shared" si="51"/>
        <v>#N/A</v>
      </c>
      <c r="R261" s="407" t="e">
        <f t="shared" si="41"/>
        <v>#N/A</v>
      </c>
      <c r="S261" s="324">
        <f t="shared" si="42"/>
        <v>0</v>
      </c>
      <c r="T261" s="924" t="str">
        <f t="shared" si="43"/>
        <v/>
      </c>
      <c r="U261" s="1221" t="str">
        <f t="shared" si="52"/>
        <v/>
      </c>
      <c r="W261" s="1098">
        <f t="shared" si="44"/>
        <v>1</v>
      </c>
      <c r="X261" s="1098" t="e">
        <f>INDEX(OSReq,MATCH('Interior Lighting'!D261,LightingSpaceType,0))</f>
        <v>#N/A</v>
      </c>
      <c r="Y261" s="1098" t="e">
        <f t="shared" si="45"/>
        <v>#N/A</v>
      </c>
      <c r="Z261" s="1098" t="e">
        <f t="shared" si="46"/>
        <v>#N/A</v>
      </c>
      <c r="AA261" s="1098" t="e">
        <f>INDEX(Lookup!$O$9:$O$24,MATCH('Interior Lighting'!Z261,Lookup!$K$9:$K$24,0))</f>
        <v>#N/A</v>
      </c>
      <c r="AB261" s="1098" t="e">
        <f>IF(E261="A",INDEX(Lookup!$L$9:$L$24,MATCH(Z261,Lookup!$K$9:$K$24,0)),IF(E261="B",INDEX(Lookup!$M$9:$M$24,MATCH(Z261,Lookup!$K$9:$K$24,0)),IF(E261="C",INDEX(Lookup!$N$9:$N$24,MATCH(Z261,Lookup!$K$9:$K$24,0)),"N/A")))</f>
        <v>#N/A</v>
      </c>
    </row>
    <row r="262" spans="1:28">
      <c r="A262" s="1006"/>
      <c r="B262" s="69"/>
      <c r="C262" s="323"/>
      <c r="D262" s="323"/>
      <c r="E262" s="324" t="e">
        <f>INDEX(Lookup!$I$9:$I$24,MATCH('Interior Lighting'!D262,Lookup!$C$9:$C$24,0))</f>
        <v>#N/A</v>
      </c>
      <c r="F262" s="69"/>
      <c r="G262" s="69"/>
      <c r="H262" s="69"/>
      <c r="I262" s="324" t="e">
        <f t="shared" si="47"/>
        <v>#N/A</v>
      </c>
      <c r="J262" s="170"/>
      <c r="K262" s="325">
        <f t="shared" si="48"/>
        <v>0</v>
      </c>
      <c r="L262" s="326" t="e">
        <f t="shared" si="49"/>
        <v>#DIV/0!</v>
      </c>
      <c r="M262" s="326" t="str">
        <f>IF(H262="Yes",IF(D262='Drop Down'!$W$4,0.9*L262,IF(D262='Drop Down'!$W$5,0.9*L262,IF(D262='Drop Down'!$W$10,0.9*L262,IF(D262='Drop Down'!$W$16,0.9*L262,"No credit allowed.")))),"N/A")</f>
        <v>N/A</v>
      </c>
      <c r="N262" s="327" t="e">
        <f>IF($D$20="Space-By-Space (90.1-2013)",INDEX(LPD2013SS,MATCH('Interior Lighting'!D262,LightingSpaceType,0)*W262),INDEX(LPD2013WB,MATCH('Interior Lighting'!D262,LightingSpaceType,0)))</f>
        <v>#N/A</v>
      </c>
      <c r="O262" s="327">
        <f t="shared" si="50"/>
        <v>0</v>
      </c>
      <c r="P262" s="407" t="e">
        <f t="shared" si="40"/>
        <v>#N/A</v>
      </c>
      <c r="Q262" s="407" t="e">
        <f t="shared" si="51"/>
        <v>#N/A</v>
      </c>
      <c r="R262" s="407" t="e">
        <f t="shared" si="41"/>
        <v>#N/A</v>
      </c>
      <c r="S262" s="324">
        <f t="shared" si="42"/>
        <v>0</v>
      </c>
      <c r="T262" s="924" t="str">
        <f t="shared" si="43"/>
        <v/>
      </c>
      <c r="U262" s="1221" t="str">
        <f t="shared" si="52"/>
        <v/>
      </c>
      <c r="W262" s="1098">
        <f t="shared" si="44"/>
        <v>1</v>
      </c>
      <c r="X262" s="1098" t="e">
        <f>INDEX(OSReq,MATCH('Interior Lighting'!D262,LightingSpaceType,0))</f>
        <v>#N/A</v>
      </c>
      <c r="Y262" s="1098" t="e">
        <f t="shared" si="45"/>
        <v>#N/A</v>
      </c>
      <c r="Z262" s="1098" t="e">
        <f t="shared" si="46"/>
        <v>#N/A</v>
      </c>
      <c r="AA262" s="1098" t="e">
        <f>INDEX(Lookup!$O$9:$O$24,MATCH('Interior Lighting'!Z262,Lookup!$K$9:$K$24,0))</f>
        <v>#N/A</v>
      </c>
      <c r="AB262" s="1098" t="e">
        <f>IF(E262="A",INDEX(Lookup!$L$9:$L$24,MATCH(Z262,Lookup!$K$9:$K$24,0)),IF(E262="B",INDEX(Lookup!$M$9:$M$24,MATCH(Z262,Lookup!$K$9:$K$24,0)),IF(E262="C",INDEX(Lookup!$N$9:$N$24,MATCH(Z262,Lookup!$K$9:$K$24,0)),"N/A")))</f>
        <v>#N/A</v>
      </c>
    </row>
    <row r="263" spans="1:28">
      <c r="A263" s="1006"/>
      <c r="B263" s="69"/>
      <c r="C263" s="323"/>
      <c r="D263" s="323"/>
      <c r="E263" s="324" t="e">
        <f>INDEX(Lookup!$I$9:$I$24,MATCH('Interior Lighting'!D263,Lookup!$C$9:$C$24,0))</f>
        <v>#N/A</v>
      </c>
      <c r="F263" s="69"/>
      <c r="G263" s="69"/>
      <c r="H263" s="69"/>
      <c r="I263" s="324" t="e">
        <f t="shared" si="47"/>
        <v>#N/A</v>
      </c>
      <c r="J263" s="170"/>
      <c r="K263" s="325">
        <f t="shared" si="48"/>
        <v>0</v>
      </c>
      <c r="L263" s="326" t="e">
        <f t="shared" si="49"/>
        <v>#DIV/0!</v>
      </c>
      <c r="M263" s="326" t="str">
        <f>IF(H263="Yes",IF(D263='Drop Down'!$W$4,0.9*L263,IF(D263='Drop Down'!$W$5,0.9*L263,IF(D263='Drop Down'!$W$10,0.9*L263,IF(D263='Drop Down'!$W$16,0.9*L263,"No credit allowed.")))),"N/A")</f>
        <v>N/A</v>
      </c>
      <c r="N263" s="327" t="e">
        <f>IF($D$20="Space-By-Space (90.1-2013)",INDEX(LPD2013SS,MATCH('Interior Lighting'!D263,LightingSpaceType,0)*W263),INDEX(LPD2013WB,MATCH('Interior Lighting'!D263,LightingSpaceType,0)))</f>
        <v>#N/A</v>
      </c>
      <c r="O263" s="327">
        <f t="shared" si="50"/>
        <v>0</v>
      </c>
      <c r="P263" s="407" t="e">
        <f t="shared" si="40"/>
        <v>#N/A</v>
      </c>
      <c r="Q263" s="407" t="e">
        <f t="shared" si="51"/>
        <v>#N/A</v>
      </c>
      <c r="R263" s="407" t="e">
        <f t="shared" si="41"/>
        <v>#N/A</v>
      </c>
      <c r="S263" s="324">
        <f t="shared" si="42"/>
        <v>0</v>
      </c>
      <c r="T263" s="924" t="str">
        <f t="shared" si="43"/>
        <v/>
      </c>
      <c r="U263" s="1221" t="str">
        <f t="shared" si="52"/>
        <v/>
      </c>
      <c r="W263" s="1098">
        <f t="shared" si="44"/>
        <v>1</v>
      </c>
      <c r="X263" s="1098" t="e">
        <f>INDEX(OSReq,MATCH('Interior Lighting'!D263,LightingSpaceType,0))</f>
        <v>#N/A</v>
      </c>
      <c r="Y263" s="1098" t="e">
        <f t="shared" si="45"/>
        <v>#N/A</v>
      </c>
      <c r="Z263" s="1098" t="e">
        <f t="shared" si="46"/>
        <v>#N/A</v>
      </c>
      <c r="AA263" s="1098" t="e">
        <f>INDEX(Lookup!$O$9:$O$24,MATCH('Interior Lighting'!Z263,Lookup!$K$9:$K$24,0))</f>
        <v>#N/A</v>
      </c>
      <c r="AB263" s="1098" t="e">
        <f>IF(E263="A",INDEX(Lookup!$L$9:$L$24,MATCH(Z263,Lookup!$K$9:$K$24,0)),IF(E263="B",INDEX(Lookup!$M$9:$M$24,MATCH(Z263,Lookup!$K$9:$K$24,0)),IF(E263="C",INDEX(Lookup!$N$9:$N$24,MATCH(Z263,Lookup!$K$9:$K$24,0)),"N/A")))</f>
        <v>#N/A</v>
      </c>
    </row>
    <row r="264" spans="1:28">
      <c r="A264" s="1006"/>
      <c r="B264" s="69"/>
      <c r="C264" s="323"/>
      <c r="D264" s="323"/>
      <c r="E264" s="324" t="e">
        <f>INDEX(Lookup!$I$9:$I$24,MATCH('Interior Lighting'!D264,Lookup!$C$9:$C$24,0))</f>
        <v>#N/A</v>
      </c>
      <c r="F264" s="69"/>
      <c r="G264" s="69"/>
      <c r="H264" s="69"/>
      <c r="I264" s="324" t="e">
        <f t="shared" si="47"/>
        <v>#N/A</v>
      </c>
      <c r="J264" s="170"/>
      <c r="K264" s="325">
        <f t="shared" si="48"/>
        <v>0</v>
      </c>
      <c r="L264" s="326" t="e">
        <f t="shared" si="49"/>
        <v>#DIV/0!</v>
      </c>
      <c r="M264" s="326" t="str">
        <f>IF(H264="Yes",IF(D264='Drop Down'!$W$4,0.9*L264,IF(D264='Drop Down'!$W$5,0.9*L264,IF(D264='Drop Down'!$W$10,0.9*L264,IF(D264='Drop Down'!$W$16,0.9*L264,"No credit allowed.")))),"N/A")</f>
        <v>N/A</v>
      </c>
      <c r="N264" s="327" t="e">
        <f>IF($D$20="Space-By-Space (90.1-2013)",INDEX(LPD2013SS,MATCH('Interior Lighting'!D264,LightingSpaceType,0)*W264),INDEX(LPD2013WB,MATCH('Interior Lighting'!D264,LightingSpaceType,0)))</f>
        <v>#N/A</v>
      </c>
      <c r="O264" s="327">
        <f t="shared" si="50"/>
        <v>0</v>
      </c>
      <c r="P264" s="407" t="e">
        <f t="shared" si="40"/>
        <v>#N/A</v>
      </c>
      <c r="Q264" s="407" t="e">
        <f t="shared" si="51"/>
        <v>#N/A</v>
      </c>
      <c r="R264" s="407" t="e">
        <f t="shared" si="41"/>
        <v>#N/A</v>
      </c>
      <c r="S264" s="324">
        <f t="shared" si="42"/>
        <v>0</v>
      </c>
      <c r="T264" s="924" t="str">
        <f t="shared" si="43"/>
        <v/>
      </c>
      <c r="U264" s="1221" t="str">
        <f t="shared" si="52"/>
        <v/>
      </c>
      <c r="W264" s="1098">
        <f t="shared" si="44"/>
        <v>1</v>
      </c>
      <c r="X264" s="1098" t="e">
        <f>INDEX(OSReq,MATCH('Interior Lighting'!D264,LightingSpaceType,0))</f>
        <v>#N/A</v>
      </c>
      <c r="Y264" s="1098" t="e">
        <f t="shared" si="45"/>
        <v>#N/A</v>
      </c>
      <c r="Z264" s="1098" t="e">
        <f t="shared" si="46"/>
        <v>#N/A</v>
      </c>
      <c r="AA264" s="1098" t="e">
        <f>INDEX(Lookup!$O$9:$O$24,MATCH('Interior Lighting'!Z264,Lookup!$K$9:$K$24,0))</f>
        <v>#N/A</v>
      </c>
      <c r="AB264" s="1098" t="e">
        <f>IF(E264="A",INDEX(Lookup!$L$9:$L$24,MATCH(Z264,Lookup!$K$9:$K$24,0)),IF(E264="B",INDEX(Lookup!$M$9:$M$24,MATCH(Z264,Lookup!$K$9:$K$24,0)),IF(E264="C",INDEX(Lookup!$N$9:$N$24,MATCH(Z264,Lookup!$K$9:$K$24,0)),"N/A")))</f>
        <v>#N/A</v>
      </c>
    </row>
    <row r="265" spans="1:28">
      <c r="A265" s="1006"/>
      <c r="B265" s="69"/>
      <c r="C265" s="323"/>
      <c r="D265" s="323"/>
      <c r="E265" s="324" t="e">
        <f>INDEX(Lookup!$I$9:$I$24,MATCH('Interior Lighting'!D265,Lookup!$C$9:$C$24,0))</f>
        <v>#N/A</v>
      </c>
      <c r="F265" s="69"/>
      <c r="G265" s="69"/>
      <c r="H265" s="69"/>
      <c r="I265" s="324" t="e">
        <f t="shared" si="47"/>
        <v>#N/A</v>
      </c>
      <c r="J265" s="170"/>
      <c r="K265" s="325">
        <f t="shared" si="48"/>
        <v>0</v>
      </c>
      <c r="L265" s="326" t="e">
        <f t="shared" si="49"/>
        <v>#DIV/0!</v>
      </c>
      <c r="M265" s="326" t="str">
        <f>IF(H265="Yes",IF(D265='Drop Down'!$W$4,0.9*L265,IF(D265='Drop Down'!$W$5,0.9*L265,IF(D265='Drop Down'!$W$10,0.9*L265,IF(D265='Drop Down'!$W$16,0.9*L265,"No credit allowed.")))),"N/A")</f>
        <v>N/A</v>
      </c>
      <c r="N265" s="327" t="e">
        <f>IF($D$20="Space-By-Space (90.1-2013)",INDEX(LPD2013SS,MATCH('Interior Lighting'!D265,LightingSpaceType,0)*W265),INDEX(LPD2013WB,MATCH('Interior Lighting'!D265,LightingSpaceType,0)))</f>
        <v>#N/A</v>
      </c>
      <c r="O265" s="327">
        <f t="shared" si="50"/>
        <v>0</v>
      </c>
      <c r="P265" s="407" t="e">
        <f t="shared" si="40"/>
        <v>#N/A</v>
      </c>
      <c r="Q265" s="407" t="e">
        <f t="shared" si="51"/>
        <v>#N/A</v>
      </c>
      <c r="R265" s="407" t="e">
        <f t="shared" si="41"/>
        <v>#N/A</v>
      </c>
      <c r="S265" s="324">
        <f t="shared" si="42"/>
        <v>0</v>
      </c>
      <c r="T265" s="924" t="str">
        <f t="shared" si="43"/>
        <v/>
      </c>
      <c r="U265" s="1221" t="str">
        <f t="shared" si="52"/>
        <v/>
      </c>
      <c r="W265" s="1098">
        <f t="shared" si="44"/>
        <v>1</v>
      </c>
      <c r="X265" s="1098" t="e">
        <f>INDEX(OSReq,MATCH('Interior Lighting'!D265,LightingSpaceType,0))</f>
        <v>#N/A</v>
      </c>
      <c r="Y265" s="1098" t="e">
        <f t="shared" si="45"/>
        <v>#N/A</v>
      </c>
      <c r="Z265" s="1098" t="e">
        <f t="shared" si="46"/>
        <v>#N/A</v>
      </c>
      <c r="AA265" s="1098" t="e">
        <f>INDEX(Lookup!$O$9:$O$24,MATCH('Interior Lighting'!Z265,Lookup!$K$9:$K$24,0))</f>
        <v>#N/A</v>
      </c>
      <c r="AB265" s="1098" t="e">
        <f>IF(E265="A",INDEX(Lookup!$L$9:$L$24,MATCH(Z265,Lookup!$K$9:$K$24,0)),IF(E265="B",INDEX(Lookup!$M$9:$M$24,MATCH(Z265,Lookup!$K$9:$K$24,0)),IF(E265="C",INDEX(Lookup!$N$9:$N$24,MATCH(Z265,Lookup!$K$9:$K$24,0)),"N/A")))</f>
        <v>#N/A</v>
      </c>
    </row>
    <row r="266" spans="1:28">
      <c r="A266" s="1006"/>
      <c r="B266" s="69"/>
      <c r="C266" s="323"/>
      <c r="D266" s="323"/>
      <c r="E266" s="324" t="e">
        <f>INDEX(Lookup!$I$9:$I$24,MATCH('Interior Lighting'!D266,Lookup!$C$9:$C$24,0))</f>
        <v>#N/A</v>
      </c>
      <c r="F266" s="69"/>
      <c r="G266" s="69"/>
      <c r="H266" s="69"/>
      <c r="I266" s="324" t="e">
        <f t="shared" si="47"/>
        <v>#N/A</v>
      </c>
      <c r="J266" s="170"/>
      <c r="K266" s="325">
        <f t="shared" si="48"/>
        <v>0</v>
      </c>
      <c r="L266" s="326" t="e">
        <f t="shared" si="49"/>
        <v>#DIV/0!</v>
      </c>
      <c r="M266" s="326" t="str">
        <f>IF(H266="Yes",IF(D266='Drop Down'!$W$4,0.9*L266,IF(D266='Drop Down'!$W$5,0.9*L266,IF(D266='Drop Down'!$W$10,0.9*L266,IF(D266='Drop Down'!$W$16,0.9*L266,"No credit allowed.")))),"N/A")</f>
        <v>N/A</v>
      </c>
      <c r="N266" s="327" t="e">
        <f>IF($D$20="Space-By-Space (90.1-2013)",INDEX(LPD2013SS,MATCH('Interior Lighting'!D266,LightingSpaceType,0)*W266),INDEX(LPD2013WB,MATCH('Interior Lighting'!D266,LightingSpaceType,0)))</f>
        <v>#N/A</v>
      </c>
      <c r="O266" s="327">
        <f t="shared" si="50"/>
        <v>0</v>
      </c>
      <c r="P266" s="407" t="e">
        <f t="shared" si="40"/>
        <v>#N/A</v>
      </c>
      <c r="Q266" s="407" t="e">
        <f t="shared" si="51"/>
        <v>#N/A</v>
      </c>
      <c r="R266" s="407" t="e">
        <f t="shared" si="41"/>
        <v>#N/A</v>
      </c>
      <c r="S266" s="324">
        <f t="shared" si="42"/>
        <v>0</v>
      </c>
      <c r="T266" s="924" t="str">
        <f t="shared" si="43"/>
        <v/>
      </c>
      <c r="U266" s="1221" t="str">
        <f t="shared" si="52"/>
        <v/>
      </c>
      <c r="W266" s="1098">
        <f t="shared" si="44"/>
        <v>1</v>
      </c>
      <c r="X266" s="1098" t="e">
        <f>INDEX(OSReq,MATCH('Interior Lighting'!D266,LightingSpaceType,0))</f>
        <v>#N/A</v>
      </c>
      <c r="Y266" s="1098" t="e">
        <f t="shared" si="45"/>
        <v>#N/A</v>
      </c>
      <c r="Z266" s="1098" t="e">
        <f t="shared" si="46"/>
        <v>#N/A</v>
      </c>
      <c r="AA266" s="1098" t="e">
        <f>INDEX(Lookup!$O$9:$O$24,MATCH('Interior Lighting'!Z266,Lookup!$K$9:$K$24,0))</f>
        <v>#N/A</v>
      </c>
      <c r="AB266" s="1098" t="e">
        <f>IF(E266="A",INDEX(Lookup!$L$9:$L$24,MATCH(Z266,Lookup!$K$9:$K$24,0)),IF(E266="B",INDEX(Lookup!$M$9:$M$24,MATCH(Z266,Lookup!$K$9:$K$24,0)),IF(E266="C",INDEX(Lookup!$N$9:$N$24,MATCH(Z266,Lookup!$K$9:$K$24,0)),"N/A")))</f>
        <v>#N/A</v>
      </c>
    </row>
    <row r="267" spans="1:28">
      <c r="A267" s="1006"/>
      <c r="B267" s="69"/>
      <c r="C267" s="330"/>
      <c r="D267" s="323"/>
      <c r="E267" s="324" t="e">
        <f>INDEX(Lookup!$I$9:$I$24,MATCH('Interior Lighting'!D267,Lookup!$C$9:$C$24,0))</f>
        <v>#N/A</v>
      </c>
      <c r="F267" s="69"/>
      <c r="G267" s="69"/>
      <c r="H267" s="69"/>
      <c r="I267" s="324" t="e">
        <f t="shared" si="47"/>
        <v>#N/A</v>
      </c>
      <c r="J267" s="170"/>
      <c r="K267" s="325">
        <f t="shared" si="48"/>
        <v>0</v>
      </c>
      <c r="L267" s="326" t="e">
        <f t="shared" si="49"/>
        <v>#DIV/0!</v>
      </c>
      <c r="M267" s="326" t="str">
        <f>IF(H267="Yes",IF(D267='Drop Down'!$W$4,0.9*L267,IF(D267='Drop Down'!$W$5,0.9*L267,IF(D267='Drop Down'!$W$10,0.9*L267,IF(D267='Drop Down'!$W$16,0.9*L267,"No credit allowed.")))),"N/A")</f>
        <v>N/A</v>
      </c>
      <c r="N267" s="327" t="e">
        <f>IF($D$20="Space-By-Space (90.1-2013)",INDEX(LPD2013SS,MATCH('Interior Lighting'!D267,LightingSpaceType,0)*W267),INDEX(LPD2013WB,MATCH('Interior Lighting'!D267,LightingSpaceType,0)))</f>
        <v>#N/A</v>
      </c>
      <c r="O267" s="327">
        <f t="shared" si="50"/>
        <v>0</v>
      </c>
      <c r="P267" s="407" t="e">
        <f t="shared" si="40"/>
        <v>#N/A</v>
      </c>
      <c r="Q267" s="407" t="e">
        <f t="shared" si="51"/>
        <v>#N/A</v>
      </c>
      <c r="R267" s="407" t="e">
        <f t="shared" si="41"/>
        <v>#N/A</v>
      </c>
      <c r="S267" s="324">
        <f t="shared" si="42"/>
        <v>0</v>
      </c>
      <c r="T267" s="924" t="str">
        <f t="shared" si="43"/>
        <v/>
      </c>
      <c r="U267" s="1221" t="str">
        <f t="shared" si="52"/>
        <v/>
      </c>
      <c r="W267" s="1098">
        <f t="shared" si="44"/>
        <v>1</v>
      </c>
      <c r="X267" s="1098" t="e">
        <f>INDEX(OSReq,MATCH('Interior Lighting'!D267,LightingSpaceType,0))</f>
        <v>#N/A</v>
      </c>
      <c r="Y267" s="1098" t="e">
        <f t="shared" si="45"/>
        <v>#N/A</v>
      </c>
      <c r="Z267" s="1098" t="e">
        <f t="shared" si="46"/>
        <v>#N/A</v>
      </c>
      <c r="AA267" s="1098" t="e">
        <f>INDEX(Lookup!$O$9:$O$24,MATCH('Interior Lighting'!Z267,Lookup!$K$9:$K$24,0))</f>
        <v>#N/A</v>
      </c>
      <c r="AB267" s="1098" t="e">
        <f>IF(E267="A",INDEX(Lookup!$L$9:$L$24,MATCH(Z267,Lookup!$K$9:$K$24,0)),IF(E267="B",INDEX(Lookup!$M$9:$M$24,MATCH(Z267,Lookup!$K$9:$K$24,0)),IF(E267="C",INDEX(Lookup!$N$9:$N$24,MATCH(Z267,Lookup!$K$9:$K$24,0)),"N/A")))</f>
        <v>#N/A</v>
      </c>
    </row>
    <row r="268" spans="1:28">
      <c r="A268" s="1006"/>
      <c r="B268" s="69"/>
      <c r="C268" s="323"/>
      <c r="D268" s="323"/>
      <c r="E268" s="324" t="e">
        <f>INDEX(Lookup!$I$9:$I$24,MATCH('Interior Lighting'!D268,Lookup!$C$9:$C$24,0))</f>
        <v>#N/A</v>
      </c>
      <c r="F268" s="69"/>
      <c r="G268" s="69"/>
      <c r="H268" s="69"/>
      <c r="I268" s="324" t="e">
        <f t="shared" si="47"/>
        <v>#N/A</v>
      </c>
      <c r="J268" s="170"/>
      <c r="K268" s="325">
        <f t="shared" si="48"/>
        <v>0</v>
      </c>
      <c r="L268" s="326" t="e">
        <f t="shared" si="49"/>
        <v>#DIV/0!</v>
      </c>
      <c r="M268" s="326" t="str">
        <f>IF(H268="Yes",IF(D268='Drop Down'!$W$4,0.9*L268,IF(D268='Drop Down'!$W$5,0.9*L268,IF(D268='Drop Down'!$W$10,0.9*L268,IF(D268='Drop Down'!$W$16,0.9*L268,"No credit allowed.")))),"N/A")</f>
        <v>N/A</v>
      </c>
      <c r="N268" s="327" t="e">
        <f>IF($D$20="Space-By-Space (90.1-2013)",INDEX(LPD2013SS,MATCH('Interior Lighting'!D268,LightingSpaceType,0)*W268),INDEX(LPD2013WB,MATCH('Interior Lighting'!D268,LightingSpaceType,0)))</f>
        <v>#N/A</v>
      </c>
      <c r="O268" s="327">
        <f t="shared" si="50"/>
        <v>0</v>
      </c>
      <c r="P268" s="407" t="e">
        <f t="shared" si="40"/>
        <v>#N/A</v>
      </c>
      <c r="Q268" s="407" t="e">
        <f t="shared" si="51"/>
        <v>#N/A</v>
      </c>
      <c r="R268" s="407" t="e">
        <f t="shared" si="41"/>
        <v>#N/A</v>
      </c>
      <c r="S268" s="324">
        <f t="shared" si="42"/>
        <v>0</v>
      </c>
      <c r="T268" s="924" t="str">
        <f t="shared" si="43"/>
        <v/>
      </c>
      <c r="U268" s="1221" t="str">
        <f t="shared" si="52"/>
        <v/>
      </c>
      <c r="W268" s="1098">
        <f t="shared" si="44"/>
        <v>1</v>
      </c>
      <c r="X268" s="1098" t="e">
        <f>INDEX(OSReq,MATCH('Interior Lighting'!D268,LightingSpaceType,0))</f>
        <v>#N/A</v>
      </c>
      <c r="Y268" s="1098" t="e">
        <f t="shared" si="45"/>
        <v>#N/A</v>
      </c>
      <c r="Z268" s="1098" t="e">
        <f t="shared" si="46"/>
        <v>#N/A</v>
      </c>
      <c r="AA268" s="1098" t="e">
        <f>INDEX(Lookup!$O$9:$O$24,MATCH('Interior Lighting'!Z268,Lookup!$K$9:$K$24,0))</f>
        <v>#N/A</v>
      </c>
      <c r="AB268" s="1098" t="e">
        <f>IF(E268="A",INDEX(Lookup!$L$9:$L$24,MATCH(Z268,Lookup!$K$9:$K$24,0)),IF(E268="B",INDEX(Lookup!$M$9:$M$24,MATCH(Z268,Lookup!$K$9:$K$24,0)),IF(E268="C",INDEX(Lookup!$N$9:$N$24,MATCH(Z268,Lookup!$K$9:$K$24,0)),"N/A")))</f>
        <v>#N/A</v>
      </c>
    </row>
    <row r="269" spans="1:28">
      <c r="A269" s="1006"/>
      <c r="B269" s="69"/>
      <c r="C269" s="323"/>
      <c r="D269" s="323"/>
      <c r="E269" s="324" t="e">
        <f>INDEX(Lookup!$I$9:$I$24,MATCH('Interior Lighting'!D269,Lookup!$C$9:$C$24,0))</f>
        <v>#N/A</v>
      </c>
      <c r="F269" s="69"/>
      <c r="G269" s="69"/>
      <c r="H269" s="69"/>
      <c r="I269" s="324" t="e">
        <f t="shared" si="47"/>
        <v>#N/A</v>
      </c>
      <c r="J269" s="170"/>
      <c r="K269" s="325">
        <f t="shared" si="48"/>
        <v>0</v>
      </c>
      <c r="L269" s="326" t="e">
        <f t="shared" si="49"/>
        <v>#DIV/0!</v>
      </c>
      <c r="M269" s="326" t="str">
        <f>IF(H269="Yes",IF(D269='Drop Down'!$W$4,0.9*L269,IF(D269='Drop Down'!$W$5,0.9*L269,IF(D269='Drop Down'!$W$10,0.9*L269,IF(D269='Drop Down'!$W$16,0.9*L269,"No credit allowed.")))),"N/A")</f>
        <v>N/A</v>
      </c>
      <c r="N269" s="327" t="e">
        <f>IF($D$20="Space-By-Space (90.1-2013)",INDEX(LPD2013SS,MATCH('Interior Lighting'!D269,LightingSpaceType,0)*W269),INDEX(LPD2013WB,MATCH('Interior Lighting'!D269,LightingSpaceType,0)))</f>
        <v>#N/A</v>
      </c>
      <c r="O269" s="327">
        <f t="shared" si="50"/>
        <v>0</v>
      </c>
      <c r="P269" s="407" t="e">
        <f t="shared" si="40"/>
        <v>#N/A</v>
      </c>
      <c r="Q269" s="407" t="e">
        <f t="shared" si="51"/>
        <v>#N/A</v>
      </c>
      <c r="R269" s="407" t="e">
        <f t="shared" si="41"/>
        <v>#N/A</v>
      </c>
      <c r="S269" s="324">
        <f t="shared" si="42"/>
        <v>0</v>
      </c>
      <c r="T269" s="924" t="str">
        <f t="shared" si="43"/>
        <v/>
      </c>
      <c r="U269" s="1221" t="str">
        <f t="shared" si="52"/>
        <v/>
      </c>
      <c r="W269" s="1098">
        <f t="shared" si="44"/>
        <v>1</v>
      </c>
      <c r="X269" s="1098" t="e">
        <f>INDEX(OSReq,MATCH('Interior Lighting'!D269,LightingSpaceType,0))</f>
        <v>#N/A</v>
      </c>
      <c r="Y269" s="1098" t="e">
        <f t="shared" si="45"/>
        <v>#N/A</v>
      </c>
      <c r="Z269" s="1098" t="e">
        <f t="shared" si="46"/>
        <v>#N/A</v>
      </c>
      <c r="AA269" s="1098" t="e">
        <f>INDEX(Lookup!$O$9:$O$24,MATCH('Interior Lighting'!Z269,Lookup!$K$9:$K$24,0))</f>
        <v>#N/A</v>
      </c>
      <c r="AB269" s="1098" t="e">
        <f>IF(E269="A",INDEX(Lookup!$L$9:$L$24,MATCH(Z269,Lookup!$K$9:$K$24,0)),IF(E269="B",INDEX(Lookup!$M$9:$M$24,MATCH(Z269,Lookup!$K$9:$K$24,0)),IF(E269="C",INDEX(Lookup!$N$9:$N$24,MATCH(Z269,Lookup!$K$9:$K$24,0)),"N/A")))</f>
        <v>#N/A</v>
      </c>
    </row>
    <row r="270" spans="1:28">
      <c r="A270" s="1006"/>
      <c r="B270" s="69"/>
      <c r="C270" s="323"/>
      <c r="D270" s="323"/>
      <c r="E270" s="324" t="e">
        <f>INDEX(Lookup!$I$9:$I$24,MATCH('Interior Lighting'!D270,Lookup!$C$9:$C$24,0))</f>
        <v>#N/A</v>
      </c>
      <c r="F270" s="69"/>
      <c r="G270" s="69"/>
      <c r="H270" s="69"/>
      <c r="I270" s="324" t="e">
        <f t="shared" si="47"/>
        <v>#N/A</v>
      </c>
      <c r="J270" s="170"/>
      <c r="K270" s="325">
        <f t="shared" si="48"/>
        <v>0</v>
      </c>
      <c r="L270" s="326" t="e">
        <f t="shared" si="49"/>
        <v>#DIV/0!</v>
      </c>
      <c r="M270" s="326" t="str">
        <f>IF(H270="Yes",IF(D270='Drop Down'!$W$4,0.9*L270,IF(D270='Drop Down'!$W$5,0.9*L270,IF(D270='Drop Down'!$W$10,0.9*L270,IF(D270='Drop Down'!$W$16,0.9*L270,"No credit allowed.")))),"N/A")</f>
        <v>N/A</v>
      </c>
      <c r="N270" s="327" t="e">
        <f>IF($D$20="Space-By-Space (90.1-2013)",INDEX(LPD2013SS,MATCH('Interior Lighting'!D270,LightingSpaceType,0)*W270),INDEX(LPD2013WB,MATCH('Interior Lighting'!D270,LightingSpaceType,0)))</f>
        <v>#N/A</v>
      </c>
      <c r="O270" s="327">
        <f t="shared" si="50"/>
        <v>0</v>
      </c>
      <c r="P270" s="407" t="e">
        <f t="shared" si="40"/>
        <v>#N/A</v>
      </c>
      <c r="Q270" s="407" t="e">
        <f t="shared" si="51"/>
        <v>#N/A</v>
      </c>
      <c r="R270" s="407" t="e">
        <f t="shared" si="41"/>
        <v>#N/A</v>
      </c>
      <c r="S270" s="324">
        <f t="shared" si="42"/>
        <v>0</v>
      </c>
      <c r="T270" s="924" t="str">
        <f t="shared" si="43"/>
        <v/>
      </c>
      <c r="U270" s="1221" t="str">
        <f t="shared" si="52"/>
        <v/>
      </c>
      <c r="W270" s="1098">
        <f t="shared" si="44"/>
        <v>1</v>
      </c>
      <c r="X270" s="1098" t="e">
        <f>INDEX(OSReq,MATCH('Interior Lighting'!D270,LightingSpaceType,0))</f>
        <v>#N/A</v>
      </c>
      <c r="Y270" s="1098" t="e">
        <f t="shared" si="45"/>
        <v>#N/A</v>
      </c>
      <c r="Z270" s="1098" t="e">
        <f t="shared" si="46"/>
        <v>#N/A</v>
      </c>
      <c r="AA270" s="1098" t="e">
        <f>INDEX(Lookup!$O$9:$O$24,MATCH('Interior Lighting'!Z270,Lookup!$K$9:$K$24,0))</f>
        <v>#N/A</v>
      </c>
      <c r="AB270" s="1098" t="e">
        <f>IF(E270="A",INDEX(Lookup!$L$9:$L$24,MATCH(Z270,Lookup!$K$9:$K$24,0)),IF(E270="B",INDEX(Lookup!$M$9:$M$24,MATCH(Z270,Lookup!$K$9:$K$24,0)),IF(E270="C",INDEX(Lookup!$N$9:$N$24,MATCH(Z270,Lookup!$K$9:$K$24,0)),"N/A")))</f>
        <v>#N/A</v>
      </c>
    </row>
    <row r="271" spans="1:28">
      <c r="A271" s="1006"/>
      <c r="B271" s="69"/>
      <c r="C271" s="323"/>
      <c r="D271" s="323"/>
      <c r="E271" s="324" t="e">
        <f>INDEX(Lookup!$I$9:$I$24,MATCH('Interior Lighting'!D271,Lookup!$C$9:$C$24,0))</f>
        <v>#N/A</v>
      </c>
      <c r="F271" s="69"/>
      <c r="G271" s="69"/>
      <c r="H271" s="69"/>
      <c r="I271" s="324" t="e">
        <f t="shared" si="47"/>
        <v>#N/A</v>
      </c>
      <c r="J271" s="170"/>
      <c r="K271" s="325">
        <f t="shared" si="48"/>
        <v>0</v>
      </c>
      <c r="L271" s="326" t="e">
        <f t="shared" si="49"/>
        <v>#DIV/0!</v>
      </c>
      <c r="M271" s="326" t="str">
        <f>IF(H271="Yes",IF(D271='Drop Down'!$W$4,0.9*L271,IF(D271='Drop Down'!$W$5,0.9*L271,IF(D271='Drop Down'!$W$10,0.9*L271,IF(D271='Drop Down'!$W$16,0.9*L271,"No credit allowed.")))),"N/A")</f>
        <v>N/A</v>
      </c>
      <c r="N271" s="327" t="e">
        <f>IF($D$20="Space-By-Space (90.1-2013)",INDEX(LPD2013SS,MATCH('Interior Lighting'!D271,LightingSpaceType,0)*W271),INDEX(LPD2013WB,MATCH('Interior Lighting'!D271,LightingSpaceType,0)))</f>
        <v>#N/A</v>
      </c>
      <c r="O271" s="327">
        <f t="shared" si="50"/>
        <v>0</v>
      </c>
      <c r="P271" s="407" t="e">
        <f t="shared" si="40"/>
        <v>#N/A</v>
      </c>
      <c r="Q271" s="407" t="e">
        <f t="shared" si="51"/>
        <v>#N/A</v>
      </c>
      <c r="R271" s="407" t="e">
        <f t="shared" si="41"/>
        <v>#N/A</v>
      </c>
      <c r="S271" s="324">
        <f t="shared" si="42"/>
        <v>0</v>
      </c>
      <c r="T271" s="924" t="str">
        <f t="shared" si="43"/>
        <v/>
      </c>
      <c r="U271" s="1221" t="str">
        <f t="shared" si="52"/>
        <v/>
      </c>
      <c r="W271" s="1098">
        <f t="shared" si="44"/>
        <v>1</v>
      </c>
      <c r="X271" s="1098" t="e">
        <f>INDEX(OSReq,MATCH('Interior Lighting'!D271,LightingSpaceType,0))</f>
        <v>#N/A</v>
      </c>
      <c r="Y271" s="1098" t="e">
        <f t="shared" si="45"/>
        <v>#N/A</v>
      </c>
      <c r="Z271" s="1098" t="e">
        <f t="shared" si="46"/>
        <v>#N/A</v>
      </c>
      <c r="AA271" s="1098" t="e">
        <f>INDEX(Lookup!$O$9:$O$24,MATCH('Interior Lighting'!Z271,Lookup!$K$9:$K$24,0))</f>
        <v>#N/A</v>
      </c>
      <c r="AB271" s="1098" t="e">
        <f>IF(E271="A",INDEX(Lookup!$L$9:$L$24,MATCH(Z271,Lookup!$K$9:$K$24,0)),IF(E271="B",INDEX(Lookup!$M$9:$M$24,MATCH(Z271,Lookup!$K$9:$K$24,0)),IF(E271="C",INDEX(Lookup!$N$9:$N$24,MATCH(Z271,Lookup!$K$9:$K$24,0)),"N/A")))</f>
        <v>#N/A</v>
      </c>
    </row>
    <row r="272" spans="1:28">
      <c r="A272" s="338"/>
      <c r="B272" s="69"/>
      <c r="C272" s="323"/>
      <c r="D272" s="323"/>
      <c r="E272" s="324" t="e">
        <f>INDEX(Lookup!$I$9:$I$24,MATCH('Interior Lighting'!D272,Lookup!$C$9:$C$24,0))</f>
        <v>#N/A</v>
      </c>
      <c r="F272" s="69"/>
      <c r="G272" s="69"/>
      <c r="H272" s="69"/>
      <c r="I272" s="324" t="e">
        <f t="shared" si="47"/>
        <v>#N/A</v>
      </c>
      <c r="J272" s="170"/>
      <c r="K272" s="325">
        <f t="shared" si="48"/>
        <v>0</v>
      </c>
      <c r="L272" s="326" t="e">
        <f t="shared" si="49"/>
        <v>#DIV/0!</v>
      </c>
      <c r="M272" s="326" t="str">
        <f>IF(H272="Yes",IF(D272='Drop Down'!$W$4,0.9*L272,IF(D272='Drop Down'!$W$5,0.9*L272,IF(D272='Drop Down'!$W$10,0.9*L272,IF(D272='Drop Down'!$W$16,0.9*L272,"No credit allowed.")))),"N/A")</f>
        <v>N/A</v>
      </c>
      <c r="N272" s="327" t="e">
        <f>IF($D$20="Space-By-Space (90.1-2013)",INDEX(LPD2013SS,MATCH('Interior Lighting'!D272,LightingSpaceType,0)*W272),INDEX(LPD2013WB,MATCH('Interior Lighting'!D272,LightingSpaceType,0)))</f>
        <v>#N/A</v>
      </c>
      <c r="O272" s="327">
        <f t="shared" si="50"/>
        <v>0</v>
      </c>
      <c r="P272" s="407" t="e">
        <f t="shared" si="40"/>
        <v>#N/A</v>
      </c>
      <c r="Q272" s="407" t="e">
        <f t="shared" si="51"/>
        <v>#N/A</v>
      </c>
      <c r="R272" s="407" t="e">
        <f t="shared" si="41"/>
        <v>#N/A</v>
      </c>
      <c r="S272" s="324">
        <f t="shared" si="42"/>
        <v>0</v>
      </c>
      <c r="T272" s="924" t="str">
        <f t="shared" si="43"/>
        <v/>
      </c>
      <c r="U272" s="1221" t="str">
        <f t="shared" si="52"/>
        <v/>
      </c>
      <c r="W272" s="1098">
        <f t="shared" si="44"/>
        <v>1</v>
      </c>
      <c r="X272" s="1098" t="e">
        <f>INDEX(OSReq,MATCH('Interior Lighting'!D272,LightingSpaceType,0))</f>
        <v>#N/A</v>
      </c>
      <c r="Y272" s="1098" t="e">
        <f t="shared" si="45"/>
        <v>#N/A</v>
      </c>
      <c r="Z272" s="1098" t="e">
        <f t="shared" si="46"/>
        <v>#N/A</v>
      </c>
      <c r="AA272" s="1098" t="e">
        <f>INDEX(Lookup!$O$9:$O$24,MATCH('Interior Lighting'!Z272,Lookup!$K$9:$K$24,0))</f>
        <v>#N/A</v>
      </c>
      <c r="AB272" s="1098" t="e">
        <f>IF(E272="A",INDEX(Lookup!$L$9:$L$24,MATCH(Z272,Lookup!$K$9:$K$24,0)),IF(E272="B",INDEX(Lookup!$M$9:$M$24,MATCH(Z272,Lookup!$K$9:$K$24,0)),IF(E272="C",INDEX(Lookup!$N$9:$N$24,MATCH(Z272,Lookup!$K$9:$K$24,0)),"N/A")))</f>
        <v>#N/A</v>
      </c>
    </row>
    <row r="273" spans="1:28">
      <c r="A273" s="1103"/>
      <c r="B273" s="69"/>
      <c r="C273" s="323"/>
      <c r="D273" s="323"/>
      <c r="E273" s="324" t="e">
        <f>INDEX(Lookup!$I$9:$I$24,MATCH('Interior Lighting'!D273,Lookup!$C$9:$C$24,0))</f>
        <v>#N/A</v>
      </c>
      <c r="F273" s="69"/>
      <c r="G273" s="69"/>
      <c r="H273" s="69"/>
      <c r="I273" s="324" t="e">
        <f t="shared" si="47"/>
        <v>#N/A</v>
      </c>
      <c r="J273" s="170"/>
      <c r="K273" s="325">
        <f t="shared" si="48"/>
        <v>0</v>
      </c>
      <c r="L273" s="326" t="e">
        <f t="shared" si="49"/>
        <v>#DIV/0!</v>
      </c>
      <c r="M273" s="326" t="str">
        <f>IF(H273="Yes",IF(D273='Drop Down'!$W$4,0.9*L273,IF(D273='Drop Down'!$W$5,0.9*L273,IF(D273='Drop Down'!$W$10,0.9*L273,IF(D273='Drop Down'!$W$16,0.9*L273,"No credit allowed.")))),"N/A")</f>
        <v>N/A</v>
      </c>
      <c r="N273" s="327" t="e">
        <f>IF($D$20="Space-By-Space (90.1-2013)",INDEX(LPD2013SS,MATCH('Interior Lighting'!D273,LightingSpaceType,0)*W273),INDEX(LPD2013WB,MATCH('Interior Lighting'!D273,LightingSpaceType,0)))</f>
        <v>#N/A</v>
      </c>
      <c r="O273" s="327">
        <f t="shared" si="50"/>
        <v>0</v>
      </c>
      <c r="P273" s="407" t="e">
        <f t="shared" si="40"/>
        <v>#N/A</v>
      </c>
      <c r="Q273" s="407" t="e">
        <f t="shared" si="51"/>
        <v>#N/A</v>
      </c>
      <c r="R273" s="407" t="e">
        <f t="shared" si="41"/>
        <v>#N/A</v>
      </c>
      <c r="S273" s="324">
        <f t="shared" si="42"/>
        <v>0</v>
      </c>
      <c r="T273" s="924" t="str">
        <f t="shared" si="43"/>
        <v/>
      </c>
      <c r="U273" s="1221" t="str">
        <f t="shared" si="52"/>
        <v/>
      </c>
      <c r="W273" s="1098">
        <f t="shared" si="44"/>
        <v>1</v>
      </c>
      <c r="X273" s="1098" t="e">
        <f>INDEX(OSReq,MATCH('Interior Lighting'!D273,LightingSpaceType,0))</f>
        <v>#N/A</v>
      </c>
      <c r="Y273" s="1098" t="e">
        <f t="shared" si="45"/>
        <v>#N/A</v>
      </c>
      <c r="Z273" s="1098" t="e">
        <f t="shared" si="46"/>
        <v>#N/A</v>
      </c>
      <c r="AA273" s="1098" t="e">
        <f>INDEX(Lookup!$O$9:$O$24,MATCH('Interior Lighting'!Z273,Lookup!$K$9:$K$24,0))</f>
        <v>#N/A</v>
      </c>
      <c r="AB273" s="1098" t="e">
        <f>IF(E273="A",INDEX(Lookup!$L$9:$L$24,MATCH(Z273,Lookup!$K$9:$K$24,0)),IF(E273="B",INDEX(Lookup!$M$9:$M$24,MATCH(Z273,Lookup!$K$9:$K$24,0)),IF(E273="C",INDEX(Lookup!$N$9:$N$24,MATCH(Z273,Lookup!$K$9:$K$24,0)),"N/A")))</f>
        <v>#N/A</v>
      </c>
    </row>
    <row r="274" spans="1:28">
      <c r="A274" s="1103"/>
      <c r="B274" s="69"/>
      <c r="C274" s="323"/>
      <c r="D274" s="323"/>
      <c r="E274" s="324" t="e">
        <f>INDEX(Lookup!$I$9:$I$24,MATCH('Interior Lighting'!D274,Lookup!$C$9:$C$24,0))</f>
        <v>#N/A</v>
      </c>
      <c r="F274" s="69"/>
      <c r="G274" s="69"/>
      <c r="H274" s="69"/>
      <c r="I274" s="324" t="e">
        <f t="shared" si="47"/>
        <v>#N/A</v>
      </c>
      <c r="J274" s="170"/>
      <c r="K274" s="325">
        <f t="shared" si="48"/>
        <v>0</v>
      </c>
      <c r="L274" s="326" t="e">
        <f t="shared" si="49"/>
        <v>#DIV/0!</v>
      </c>
      <c r="M274" s="326" t="str">
        <f>IF(H274="Yes",IF(D274='Drop Down'!$W$4,0.9*L274,IF(D274='Drop Down'!$W$5,0.9*L274,IF(D274='Drop Down'!$W$10,0.9*L274,IF(D274='Drop Down'!$W$16,0.9*L274,"No credit allowed.")))),"N/A")</f>
        <v>N/A</v>
      </c>
      <c r="N274" s="327" t="e">
        <f>IF($D$20="Space-By-Space (90.1-2013)",INDEX(LPD2013SS,MATCH('Interior Lighting'!D274,LightingSpaceType,0)*W274),INDEX(LPD2013WB,MATCH('Interior Lighting'!D274,LightingSpaceType,0)))</f>
        <v>#N/A</v>
      </c>
      <c r="O274" s="327">
        <f t="shared" si="50"/>
        <v>0</v>
      </c>
      <c r="P274" s="407" t="e">
        <f t="shared" si="40"/>
        <v>#N/A</v>
      </c>
      <c r="Q274" s="407" t="e">
        <f t="shared" si="51"/>
        <v>#N/A</v>
      </c>
      <c r="R274" s="407" t="e">
        <f t="shared" si="41"/>
        <v>#N/A</v>
      </c>
      <c r="S274" s="324">
        <f t="shared" si="42"/>
        <v>0</v>
      </c>
      <c r="T274" s="924" t="str">
        <f t="shared" si="43"/>
        <v/>
      </c>
      <c r="U274" s="1221" t="str">
        <f t="shared" si="52"/>
        <v/>
      </c>
      <c r="W274" s="1098">
        <f t="shared" si="44"/>
        <v>1</v>
      </c>
      <c r="X274" s="1098" t="e">
        <f>INDEX(OSReq,MATCH('Interior Lighting'!D274,LightingSpaceType,0))</f>
        <v>#N/A</v>
      </c>
      <c r="Y274" s="1098" t="e">
        <f t="shared" si="45"/>
        <v>#N/A</v>
      </c>
      <c r="Z274" s="1098" t="e">
        <f t="shared" si="46"/>
        <v>#N/A</v>
      </c>
      <c r="AA274" s="1098" t="e">
        <f>INDEX(Lookup!$O$9:$O$24,MATCH('Interior Lighting'!Z274,Lookup!$K$9:$K$24,0))</f>
        <v>#N/A</v>
      </c>
      <c r="AB274" s="1098" t="e">
        <f>IF(E274="A",INDEX(Lookup!$L$9:$L$24,MATCH(Z274,Lookup!$K$9:$K$24,0)),IF(E274="B",INDEX(Lookup!$M$9:$M$24,MATCH(Z274,Lookup!$K$9:$K$24,0)),IF(E274="C",INDEX(Lookup!$N$9:$N$24,MATCH(Z274,Lookup!$K$9:$K$24,0)),"N/A")))</f>
        <v>#N/A</v>
      </c>
    </row>
    <row r="275" spans="1:28">
      <c r="A275" s="338"/>
      <c r="B275" s="69"/>
      <c r="C275" s="323"/>
      <c r="D275" s="323"/>
      <c r="E275" s="324" t="e">
        <f>INDEX(Lookup!$I$9:$I$24,MATCH('Interior Lighting'!D275,Lookup!$C$9:$C$24,0))</f>
        <v>#N/A</v>
      </c>
      <c r="F275" s="69"/>
      <c r="G275" s="69"/>
      <c r="H275" s="69"/>
      <c r="I275" s="324" t="e">
        <f t="shared" si="47"/>
        <v>#N/A</v>
      </c>
      <c r="J275" s="170"/>
      <c r="K275" s="325">
        <f t="shared" si="48"/>
        <v>0</v>
      </c>
      <c r="L275" s="326" t="e">
        <f t="shared" si="49"/>
        <v>#DIV/0!</v>
      </c>
      <c r="M275" s="326" t="str">
        <f>IF(H275="Yes",IF(D275='Drop Down'!$W$4,0.9*L275,IF(D275='Drop Down'!$W$5,0.9*L275,IF(D275='Drop Down'!$W$10,0.9*L275,IF(D275='Drop Down'!$W$16,0.9*L275,"No credit allowed.")))),"N/A")</f>
        <v>N/A</v>
      </c>
      <c r="N275" s="327" t="e">
        <f>IF($D$20="Space-By-Space (90.1-2013)",INDEX(LPD2013SS,MATCH('Interior Lighting'!D275,LightingSpaceType,0)*W275),INDEX(LPD2013WB,MATCH('Interior Lighting'!D275,LightingSpaceType,0)))</f>
        <v>#N/A</v>
      </c>
      <c r="O275" s="327">
        <f t="shared" si="50"/>
        <v>0</v>
      </c>
      <c r="P275" s="407" t="e">
        <f t="shared" si="40"/>
        <v>#N/A</v>
      </c>
      <c r="Q275" s="407" t="e">
        <f t="shared" si="51"/>
        <v>#N/A</v>
      </c>
      <c r="R275" s="407" t="e">
        <f t="shared" si="41"/>
        <v>#N/A</v>
      </c>
      <c r="S275" s="324">
        <f t="shared" si="42"/>
        <v>0</v>
      </c>
      <c r="T275" s="924" t="str">
        <f t="shared" si="43"/>
        <v/>
      </c>
      <c r="U275" s="1221" t="str">
        <f t="shared" si="52"/>
        <v/>
      </c>
      <c r="W275" s="1098">
        <f t="shared" si="44"/>
        <v>1</v>
      </c>
      <c r="X275" s="1098" t="e">
        <f>INDEX(OSReq,MATCH('Interior Lighting'!D275,LightingSpaceType,0))</f>
        <v>#N/A</v>
      </c>
      <c r="Y275" s="1098" t="e">
        <f t="shared" si="45"/>
        <v>#N/A</v>
      </c>
      <c r="Z275" s="1098" t="e">
        <f t="shared" si="46"/>
        <v>#N/A</v>
      </c>
      <c r="AA275" s="1098" t="e">
        <f>INDEX(Lookup!$O$9:$O$24,MATCH('Interior Lighting'!Z275,Lookup!$K$9:$K$24,0))</f>
        <v>#N/A</v>
      </c>
      <c r="AB275" s="1098" t="e">
        <f>IF(E275="A",INDEX(Lookup!$L$9:$L$24,MATCH(Z275,Lookup!$K$9:$K$24,0)),IF(E275="B",INDEX(Lookup!$M$9:$M$24,MATCH(Z275,Lookup!$K$9:$K$24,0)),IF(E275="C",INDEX(Lookup!$N$9:$N$24,MATCH(Z275,Lookup!$K$9:$K$24,0)),"N/A")))</f>
        <v>#N/A</v>
      </c>
    </row>
    <row r="276" spans="1:28">
      <c r="A276" s="338"/>
      <c r="B276" s="69"/>
      <c r="C276" s="323"/>
      <c r="D276" s="323"/>
      <c r="E276" s="324" t="e">
        <f>INDEX(Lookup!$I$9:$I$24,MATCH('Interior Lighting'!D276,Lookup!$C$9:$C$24,0))</f>
        <v>#N/A</v>
      </c>
      <c r="F276" s="69"/>
      <c r="G276" s="69"/>
      <c r="H276" s="69"/>
      <c r="I276" s="324" t="e">
        <f t="shared" si="47"/>
        <v>#N/A</v>
      </c>
      <c r="J276" s="170"/>
      <c r="K276" s="325">
        <f t="shared" si="48"/>
        <v>0</v>
      </c>
      <c r="L276" s="326" t="e">
        <f t="shared" si="49"/>
        <v>#DIV/0!</v>
      </c>
      <c r="M276" s="326" t="str">
        <f>IF(H276="Yes",IF(D276='Drop Down'!$W$4,0.9*L276,IF(D276='Drop Down'!$W$5,0.9*L276,IF(D276='Drop Down'!$W$10,0.9*L276,IF(D276='Drop Down'!$W$16,0.9*L276,"No credit allowed.")))),"N/A")</f>
        <v>N/A</v>
      </c>
      <c r="N276" s="327" t="e">
        <f>IF($D$20="Space-By-Space (90.1-2013)",INDEX(LPD2013SS,MATCH('Interior Lighting'!D276,LightingSpaceType,0)*W276),INDEX(LPD2013WB,MATCH('Interior Lighting'!D276,LightingSpaceType,0)))</f>
        <v>#N/A</v>
      </c>
      <c r="O276" s="327">
        <f t="shared" si="50"/>
        <v>0</v>
      </c>
      <c r="P276" s="407" t="e">
        <f t="shared" si="40"/>
        <v>#N/A</v>
      </c>
      <c r="Q276" s="407" t="e">
        <f t="shared" si="51"/>
        <v>#N/A</v>
      </c>
      <c r="R276" s="407" t="e">
        <f t="shared" si="41"/>
        <v>#N/A</v>
      </c>
      <c r="S276" s="324">
        <f t="shared" si="42"/>
        <v>0</v>
      </c>
      <c r="T276" s="924" t="str">
        <f t="shared" si="43"/>
        <v/>
      </c>
      <c r="U276" s="1221" t="str">
        <f t="shared" si="52"/>
        <v/>
      </c>
      <c r="W276" s="1098">
        <f t="shared" si="44"/>
        <v>1</v>
      </c>
      <c r="X276" s="1098" t="e">
        <f>INDEX(OSReq,MATCH('Interior Lighting'!D276,LightingSpaceType,0))</f>
        <v>#N/A</v>
      </c>
      <c r="Y276" s="1098" t="e">
        <f t="shared" si="45"/>
        <v>#N/A</v>
      </c>
      <c r="Z276" s="1098" t="e">
        <f t="shared" si="46"/>
        <v>#N/A</v>
      </c>
      <c r="AA276" s="1098" t="e">
        <f>INDEX(Lookup!$O$9:$O$24,MATCH('Interior Lighting'!Z276,Lookup!$K$9:$K$24,0))</f>
        <v>#N/A</v>
      </c>
      <c r="AB276" s="1098" t="e">
        <f>IF(E276="A",INDEX(Lookup!$L$9:$L$24,MATCH(Z276,Lookup!$K$9:$K$24,0)),IF(E276="B",INDEX(Lookup!$M$9:$M$24,MATCH(Z276,Lookup!$K$9:$K$24,0)),IF(E276="C",INDEX(Lookup!$N$9:$N$24,MATCH(Z276,Lookup!$K$9:$K$24,0)),"N/A")))</f>
        <v>#N/A</v>
      </c>
    </row>
    <row r="277" spans="1:28">
      <c r="A277" s="1006"/>
      <c r="B277" s="69"/>
      <c r="C277" s="323"/>
      <c r="D277" s="323"/>
      <c r="E277" s="324" t="e">
        <f>INDEX(Lookup!$I$9:$I$24,MATCH('Interior Lighting'!D277,Lookup!$C$9:$C$24,0))</f>
        <v>#N/A</v>
      </c>
      <c r="F277" s="69"/>
      <c r="G277" s="69"/>
      <c r="H277" s="69"/>
      <c r="I277" s="324" t="e">
        <f t="shared" si="47"/>
        <v>#N/A</v>
      </c>
      <c r="J277" s="170"/>
      <c r="K277" s="325">
        <f t="shared" si="48"/>
        <v>0</v>
      </c>
      <c r="L277" s="326" t="e">
        <f t="shared" si="49"/>
        <v>#DIV/0!</v>
      </c>
      <c r="M277" s="326" t="str">
        <f>IF(H277="Yes",IF(D277='Drop Down'!$W$4,0.9*L277,IF(D277='Drop Down'!$W$5,0.9*L277,IF(D277='Drop Down'!$W$10,0.9*L277,IF(D277='Drop Down'!$W$16,0.9*L277,"No credit allowed.")))),"N/A")</f>
        <v>N/A</v>
      </c>
      <c r="N277" s="327" t="e">
        <f>IF($D$20="Space-By-Space (90.1-2013)",INDEX(LPD2013SS,MATCH('Interior Lighting'!D277,LightingSpaceType,0)*W277),INDEX(LPD2013WB,MATCH('Interior Lighting'!D277,LightingSpaceType,0)))</f>
        <v>#N/A</v>
      </c>
      <c r="O277" s="327">
        <f t="shared" si="50"/>
        <v>0</v>
      </c>
      <c r="P277" s="407" t="e">
        <f t="shared" si="40"/>
        <v>#N/A</v>
      </c>
      <c r="Q277" s="407" t="e">
        <f t="shared" si="51"/>
        <v>#N/A</v>
      </c>
      <c r="R277" s="407" t="e">
        <f t="shared" si="41"/>
        <v>#N/A</v>
      </c>
      <c r="S277" s="324">
        <f t="shared" si="42"/>
        <v>0</v>
      </c>
      <c r="T277" s="924" t="str">
        <f t="shared" si="43"/>
        <v/>
      </c>
      <c r="U277" s="1221" t="str">
        <f t="shared" si="52"/>
        <v/>
      </c>
      <c r="W277" s="1098">
        <f t="shared" si="44"/>
        <v>1</v>
      </c>
      <c r="X277" s="1098" t="e">
        <f>INDEX(OSReq,MATCH('Interior Lighting'!D277,LightingSpaceType,0))</f>
        <v>#N/A</v>
      </c>
      <c r="Y277" s="1098" t="e">
        <f t="shared" si="45"/>
        <v>#N/A</v>
      </c>
      <c r="Z277" s="1098" t="e">
        <f t="shared" si="46"/>
        <v>#N/A</v>
      </c>
      <c r="AA277" s="1098" t="e">
        <f>INDEX(Lookup!$O$9:$O$24,MATCH('Interior Lighting'!Z277,Lookup!$K$9:$K$24,0))</f>
        <v>#N/A</v>
      </c>
      <c r="AB277" s="1098" t="e">
        <f>IF(E277="A",INDEX(Lookup!$L$9:$L$24,MATCH(Z277,Lookup!$K$9:$K$24,0)),IF(E277="B",INDEX(Lookup!$M$9:$M$24,MATCH(Z277,Lookup!$K$9:$K$24,0)),IF(E277="C",INDEX(Lookup!$N$9:$N$24,MATCH(Z277,Lookup!$K$9:$K$24,0)),"N/A")))</f>
        <v>#N/A</v>
      </c>
    </row>
    <row r="278" spans="1:28">
      <c r="A278" s="1006"/>
      <c r="B278" s="69"/>
      <c r="C278" s="330"/>
      <c r="D278" s="323"/>
      <c r="E278" s="324" t="e">
        <f>INDEX(Lookup!$I$9:$I$24,MATCH('Interior Lighting'!D278,Lookup!$C$9:$C$24,0))</f>
        <v>#N/A</v>
      </c>
      <c r="F278" s="69"/>
      <c r="G278" s="69"/>
      <c r="H278" s="69"/>
      <c r="I278" s="324" t="e">
        <f t="shared" si="47"/>
        <v>#N/A</v>
      </c>
      <c r="J278" s="170"/>
      <c r="K278" s="325">
        <f t="shared" si="48"/>
        <v>0</v>
      </c>
      <c r="L278" s="326" t="e">
        <f t="shared" si="49"/>
        <v>#DIV/0!</v>
      </c>
      <c r="M278" s="326" t="str">
        <f>IF(H278="Yes",IF(D278='Drop Down'!$W$4,0.9*L278,IF(D278='Drop Down'!$W$5,0.9*L278,IF(D278='Drop Down'!$W$10,0.9*L278,IF(D278='Drop Down'!$W$16,0.9*L278,"No credit allowed.")))),"N/A")</f>
        <v>N/A</v>
      </c>
      <c r="N278" s="327" t="e">
        <f>IF($D$20="Space-By-Space (90.1-2013)",INDEX(LPD2013SS,MATCH('Interior Lighting'!D278,LightingSpaceType,0)*W278),INDEX(LPD2013WB,MATCH('Interior Lighting'!D278,LightingSpaceType,0)))</f>
        <v>#N/A</v>
      </c>
      <c r="O278" s="327">
        <f t="shared" si="50"/>
        <v>0</v>
      </c>
      <c r="P278" s="407" t="e">
        <f t="shared" si="40"/>
        <v>#N/A</v>
      </c>
      <c r="Q278" s="407" t="e">
        <f t="shared" si="51"/>
        <v>#N/A</v>
      </c>
      <c r="R278" s="407" t="e">
        <f t="shared" si="41"/>
        <v>#N/A</v>
      </c>
      <c r="S278" s="324">
        <f t="shared" si="42"/>
        <v>0</v>
      </c>
      <c r="T278" s="924" t="str">
        <f t="shared" si="43"/>
        <v/>
      </c>
      <c r="U278" s="1221" t="str">
        <f t="shared" si="52"/>
        <v/>
      </c>
      <c r="W278" s="1098">
        <f t="shared" si="44"/>
        <v>1</v>
      </c>
      <c r="X278" s="1098" t="e">
        <f>INDEX(OSReq,MATCH('Interior Lighting'!D278,LightingSpaceType,0))</f>
        <v>#N/A</v>
      </c>
      <c r="Y278" s="1098" t="e">
        <f t="shared" si="45"/>
        <v>#N/A</v>
      </c>
      <c r="Z278" s="1098" t="e">
        <f t="shared" si="46"/>
        <v>#N/A</v>
      </c>
      <c r="AA278" s="1098" t="e">
        <f>INDEX(Lookup!$O$9:$O$24,MATCH('Interior Lighting'!Z278,Lookup!$K$9:$K$24,0))</f>
        <v>#N/A</v>
      </c>
      <c r="AB278" s="1098" t="e">
        <f>IF(E278="A",INDEX(Lookup!$L$9:$L$24,MATCH(Z278,Lookup!$K$9:$K$24,0)),IF(E278="B",INDEX(Lookup!$M$9:$M$24,MATCH(Z278,Lookup!$K$9:$K$24,0)),IF(E278="C",INDEX(Lookup!$N$9:$N$24,MATCH(Z278,Lookup!$K$9:$K$24,0)),"N/A")))</f>
        <v>#N/A</v>
      </c>
    </row>
    <row r="279" spans="1:28">
      <c r="A279" s="1006"/>
      <c r="B279" s="69"/>
      <c r="C279" s="323"/>
      <c r="D279" s="323"/>
      <c r="E279" s="324" t="e">
        <f>INDEX(Lookup!$I$9:$I$24,MATCH('Interior Lighting'!D279,Lookup!$C$9:$C$24,0))</f>
        <v>#N/A</v>
      </c>
      <c r="F279" s="69"/>
      <c r="G279" s="69"/>
      <c r="H279" s="69"/>
      <c r="I279" s="324" t="e">
        <f t="shared" si="47"/>
        <v>#N/A</v>
      </c>
      <c r="J279" s="170"/>
      <c r="K279" s="325">
        <f t="shared" si="48"/>
        <v>0</v>
      </c>
      <c r="L279" s="326" t="e">
        <f t="shared" si="49"/>
        <v>#DIV/0!</v>
      </c>
      <c r="M279" s="326" t="str">
        <f>IF(H279="Yes",IF(D279='Drop Down'!$W$4,0.9*L279,IF(D279='Drop Down'!$W$5,0.9*L279,IF(D279='Drop Down'!$W$10,0.9*L279,IF(D279='Drop Down'!$W$16,0.9*L279,"No credit allowed.")))),"N/A")</f>
        <v>N/A</v>
      </c>
      <c r="N279" s="327" t="e">
        <f>IF($D$20="Space-By-Space (90.1-2013)",INDEX(LPD2013SS,MATCH('Interior Lighting'!D279,LightingSpaceType,0)*W279),INDEX(LPD2013WB,MATCH('Interior Lighting'!D279,LightingSpaceType,0)))</f>
        <v>#N/A</v>
      </c>
      <c r="O279" s="327">
        <f t="shared" si="50"/>
        <v>0</v>
      </c>
      <c r="P279" s="407" t="e">
        <f t="shared" si="40"/>
        <v>#N/A</v>
      </c>
      <c r="Q279" s="407" t="e">
        <f t="shared" si="51"/>
        <v>#N/A</v>
      </c>
      <c r="R279" s="407" t="e">
        <f t="shared" si="41"/>
        <v>#N/A</v>
      </c>
      <c r="S279" s="324">
        <f t="shared" si="42"/>
        <v>0</v>
      </c>
      <c r="T279" s="924" t="str">
        <f t="shared" si="43"/>
        <v/>
      </c>
      <c r="U279" s="1221" t="str">
        <f t="shared" si="52"/>
        <v/>
      </c>
      <c r="W279" s="1098">
        <f t="shared" si="44"/>
        <v>1</v>
      </c>
      <c r="X279" s="1098" t="e">
        <f>INDEX(OSReq,MATCH('Interior Lighting'!D279,LightingSpaceType,0))</f>
        <v>#N/A</v>
      </c>
      <c r="Y279" s="1098" t="e">
        <f t="shared" si="45"/>
        <v>#N/A</v>
      </c>
      <c r="Z279" s="1098" t="e">
        <f t="shared" si="46"/>
        <v>#N/A</v>
      </c>
      <c r="AA279" s="1098" t="e">
        <f>INDEX(Lookup!$O$9:$O$24,MATCH('Interior Lighting'!Z279,Lookup!$K$9:$K$24,0))</f>
        <v>#N/A</v>
      </c>
      <c r="AB279" s="1098" t="e">
        <f>IF(E279="A",INDEX(Lookup!$L$9:$L$24,MATCH(Z279,Lookup!$K$9:$K$24,0)),IF(E279="B",INDEX(Lookup!$M$9:$M$24,MATCH(Z279,Lookup!$K$9:$K$24,0)),IF(E279="C",INDEX(Lookup!$N$9:$N$24,MATCH(Z279,Lookup!$K$9:$K$24,0)),"N/A")))</f>
        <v>#N/A</v>
      </c>
    </row>
    <row r="280" spans="1:28">
      <c r="A280" s="1006"/>
      <c r="B280" s="69"/>
      <c r="C280" s="323"/>
      <c r="D280" s="323"/>
      <c r="E280" s="324" t="e">
        <f>INDEX(Lookup!$I$9:$I$24,MATCH('Interior Lighting'!D280,Lookup!$C$9:$C$24,0))</f>
        <v>#N/A</v>
      </c>
      <c r="F280" s="69"/>
      <c r="G280" s="69"/>
      <c r="H280" s="69"/>
      <c r="I280" s="324" t="e">
        <f t="shared" si="47"/>
        <v>#N/A</v>
      </c>
      <c r="J280" s="170"/>
      <c r="K280" s="325">
        <f t="shared" si="48"/>
        <v>0</v>
      </c>
      <c r="L280" s="326" t="e">
        <f t="shared" si="49"/>
        <v>#DIV/0!</v>
      </c>
      <c r="M280" s="326" t="str">
        <f>IF(H280="Yes",IF(D280='Drop Down'!$W$4,0.9*L280,IF(D280='Drop Down'!$W$5,0.9*L280,IF(D280='Drop Down'!$W$10,0.9*L280,IF(D280='Drop Down'!$W$16,0.9*L280,"No credit allowed.")))),"N/A")</f>
        <v>N/A</v>
      </c>
      <c r="N280" s="327" t="e">
        <f>IF($D$20="Space-By-Space (90.1-2013)",INDEX(LPD2013SS,MATCH('Interior Lighting'!D280,LightingSpaceType,0)*W280),INDEX(LPD2013WB,MATCH('Interior Lighting'!D280,LightingSpaceType,0)))</f>
        <v>#N/A</v>
      </c>
      <c r="O280" s="327">
        <f t="shared" si="50"/>
        <v>0</v>
      </c>
      <c r="P280" s="407" t="e">
        <f t="shared" si="40"/>
        <v>#N/A</v>
      </c>
      <c r="Q280" s="407" t="e">
        <f t="shared" si="51"/>
        <v>#N/A</v>
      </c>
      <c r="R280" s="407" t="e">
        <f t="shared" si="41"/>
        <v>#N/A</v>
      </c>
      <c r="S280" s="324">
        <f t="shared" si="42"/>
        <v>0</v>
      </c>
      <c r="T280" s="924" t="str">
        <f t="shared" si="43"/>
        <v/>
      </c>
      <c r="U280" s="1221" t="str">
        <f t="shared" si="52"/>
        <v/>
      </c>
      <c r="W280" s="1098">
        <f t="shared" si="44"/>
        <v>1</v>
      </c>
      <c r="X280" s="1098" t="e">
        <f>INDEX(OSReq,MATCH('Interior Lighting'!D280,LightingSpaceType,0))</f>
        <v>#N/A</v>
      </c>
      <c r="Y280" s="1098" t="e">
        <f t="shared" si="45"/>
        <v>#N/A</v>
      </c>
      <c r="Z280" s="1098" t="e">
        <f t="shared" si="46"/>
        <v>#N/A</v>
      </c>
      <c r="AA280" s="1098" t="e">
        <f>INDEX(Lookup!$O$9:$O$24,MATCH('Interior Lighting'!Z280,Lookup!$K$9:$K$24,0))</f>
        <v>#N/A</v>
      </c>
      <c r="AB280" s="1098" t="e">
        <f>IF(E280="A",INDEX(Lookup!$L$9:$L$24,MATCH(Z280,Lookup!$K$9:$K$24,0)),IF(E280="B",INDEX(Lookup!$M$9:$M$24,MATCH(Z280,Lookup!$K$9:$K$24,0)),IF(E280="C",INDEX(Lookup!$N$9:$N$24,MATCH(Z280,Lookup!$K$9:$K$24,0)),"N/A")))</f>
        <v>#N/A</v>
      </c>
    </row>
    <row r="281" spans="1:28">
      <c r="A281" s="1006"/>
      <c r="B281" s="69"/>
      <c r="C281" s="323"/>
      <c r="D281" s="323"/>
      <c r="E281" s="324" t="e">
        <f>INDEX(Lookup!$I$9:$I$24,MATCH('Interior Lighting'!D281,Lookup!$C$9:$C$24,0))</f>
        <v>#N/A</v>
      </c>
      <c r="F281" s="69"/>
      <c r="G281" s="69"/>
      <c r="H281" s="69"/>
      <c r="I281" s="324" t="e">
        <f t="shared" si="47"/>
        <v>#N/A</v>
      </c>
      <c r="J281" s="170"/>
      <c r="K281" s="325">
        <f t="shared" si="48"/>
        <v>0</v>
      </c>
      <c r="L281" s="326" t="e">
        <f t="shared" si="49"/>
        <v>#DIV/0!</v>
      </c>
      <c r="M281" s="326" t="str">
        <f>IF(H281="Yes",IF(D281='Drop Down'!$W$4,0.9*L281,IF(D281='Drop Down'!$W$5,0.9*L281,IF(D281='Drop Down'!$W$10,0.9*L281,IF(D281='Drop Down'!$W$16,0.9*L281,"No credit allowed.")))),"N/A")</f>
        <v>N/A</v>
      </c>
      <c r="N281" s="327" t="e">
        <f>IF($D$20="Space-By-Space (90.1-2013)",INDEX(LPD2013SS,MATCH('Interior Lighting'!D281,LightingSpaceType,0)*W281),INDEX(LPD2013WB,MATCH('Interior Lighting'!D281,LightingSpaceType,0)))</f>
        <v>#N/A</v>
      </c>
      <c r="O281" s="327">
        <f t="shared" si="50"/>
        <v>0</v>
      </c>
      <c r="P281" s="407" t="e">
        <f t="shared" si="40"/>
        <v>#N/A</v>
      </c>
      <c r="Q281" s="407" t="e">
        <f t="shared" si="51"/>
        <v>#N/A</v>
      </c>
      <c r="R281" s="407" t="e">
        <f t="shared" si="41"/>
        <v>#N/A</v>
      </c>
      <c r="S281" s="324">
        <f t="shared" si="42"/>
        <v>0</v>
      </c>
      <c r="T281" s="924" t="str">
        <f t="shared" si="43"/>
        <v/>
      </c>
      <c r="U281" s="1221" t="str">
        <f t="shared" si="52"/>
        <v/>
      </c>
      <c r="W281" s="1098">
        <f t="shared" si="44"/>
        <v>1</v>
      </c>
      <c r="X281" s="1098" t="e">
        <f>INDEX(OSReq,MATCH('Interior Lighting'!D281,LightingSpaceType,0))</f>
        <v>#N/A</v>
      </c>
      <c r="Y281" s="1098" t="e">
        <f t="shared" si="45"/>
        <v>#N/A</v>
      </c>
      <c r="Z281" s="1098" t="e">
        <f t="shared" si="46"/>
        <v>#N/A</v>
      </c>
      <c r="AA281" s="1098" t="e">
        <f>INDEX(Lookup!$O$9:$O$24,MATCH('Interior Lighting'!Z281,Lookup!$K$9:$K$24,0))</f>
        <v>#N/A</v>
      </c>
      <c r="AB281" s="1098" t="e">
        <f>IF(E281="A",INDEX(Lookup!$L$9:$L$24,MATCH(Z281,Lookup!$K$9:$K$24,0)),IF(E281="B",INDEX(Lookup!$M$9:$M$24,MATCH(Z281,Lookup!$K$9:$K$24,0)),IF(E281="C",INDEX(Lookup!$N$9:$N$24,MATCH(Z281,Lookup!$K$9:$K$24,0)),"N/A")))</f>
        <v>#N/A</v>
      </c>
    </row>
    <row r="282" spans="1:28">
      <c r="A282" s="1006"/>
      <c r="B282" s="69"/>
      <c r="C282" s="323"/>
      <c r="D282" s="323"/>
      <c r="E282" s="324" t="e">
        <f>INDEX(Lookup!$I$9:$I$24,MATCH('Interior Lighting'!D282,Lookup!$C$9:$C$24,0))</f>
        <v>#N/A</v>
      </c>
      <c r="F282" s="69"/>
      <c r="G282" s="69"/>
      <c r="H282" s="69"/>
      <c r="I282" s="324" t="e">
        <f t="shared" si="47"/>
        <v>#N/A</v>
      </c>
      <c r="J282" s="170"/>
      <c r="K282" s="325">
        <f t="shared" si="48"/>
        <v>0</v>
      </c>
      <c r="L282" s="326" t="e">
        <f t="shared" si="49"/>
        <v>#DIV/0!</v>
      </c>
      <c r="M282" s="326" t="str">
        <f>IF(H282="Yes",IF(D282='Drop Down'!$W$4,0.9*L282,IF(D282='Drop Down'!$W$5,0.9*L282,IF(D282='Drop Down'!$W$10,0.9*L282,IF(D282='Drop Down'!$W$16,0.9*L282,"No credit allowed.")))),"N/A")</f>
        <v>N/A</v>
      </c>
      <c r="N282" s="327" t="e">
        <f>IF($D$20="Space-By-Space (90.1-2013)",INDEX(LPD2013SS,MATCH('Interior Lighting'!D282,LightingSpaceType,0)*W282),INDEX(LPD2013WB,MATCH('Interior Lighting'!D282,LightingSpaceType,0)))</f>
        <v>#N/A</v>
      </c>
      <c r="O282" s="327">
        <f t="shared" si="50"/>
        <v>0</v>
      </c>
      <c r="P282" s="407" t="e">
        <f t="shared" si="40"/>
        <v>#N/A</v>
      </c>
      <c r="Q282" s="407" t="e">
        <f t="shared" si="51"/>
        <v>#N/A</v>
      </c>
      <c r="R282" s="407" t="e">
        <f t="shared" si="41"/>
        <v>#N/A</v>
      </c>
      <c r="S282" s="324">
        <f t="shared" si="42"/>
        <v>0</v>
      </c>
      <c r="T282" s="924" t="str">
        <f t="shared" si="43"/>
        <v/>
      </c>
      <c r="U282" s="1221" t="str">
        <f t="shared" si="52"/>
        <v/>
      </c>
      <c r="W282" s="1098">
        <f t="shared" si="44"/>
        <v>1</v>
      </c>
      <c r="X282" s="1098" t="e">
        <f>INDEX(OSReq,MATCH('Interior Lighting'!D282,LightingSpaceType,0))</f>
        <v>#N/A</v>
      </c>
      <c r="Y282" s="1098" t="e">
        <f t="shared" si="45"/>
        <v>#N/A</v>
      </c>
      <c r="Z282" s="1098" t="e">
        <f t="shared" si="46"/>
        <v>#N/A</v>
      </c>
      <c r="AA282" s="1098" t="e">
        <f>INDEX(Lookup!$O$9:$O$24,MATCH('Interior Lighting'!Z282,Lookup!$K$9:$K$24,0))</f>
        <v>#N/A</v>
      </c>
      <c r="AB282" s="1098" t="e">
        <f>IF(E282="A",INDEX(Lookup!$L$9:$L$24,MATCH(Z282,Lookup!$K$9:$K$24,0)),IF(E282="B",INDEX(Lookup!$M$9:$M$24,MATCH(Z282,Lookup!$K$9:$K$24,0)),IF(E282="C",INDEX(Lookup!$N$9:$N$24,MATCH(Z282,Lookup!$K$9:$K$24,0)),"N/A")))</f>
        <v>#N/A</v>
      </c>
    </row>
    <row r="283" spans="1:28">
      <c r="A283" s="1006"/>
      <c r="B283" s="69"/>
      <c r="C283" s="323"/>
      <c r="D283" s="323"/>
      <c r="E283" s="324" t="e">
        <f>INDEX(Lookup!$I$9:$I$24,MATCH('Interior Lighting'!D283,Lookup!$C$9:$C$24,0))</f>
        <v>#N/A</v>
      </c>
      <c r="F283" s="69"/>
      <c r="G283" s="69"/>
      <c r="H283" s="69"/>
      <c r="I283" s="324" t="e">
        <f t="shared" si="47"/>
        <v>#N/A</v>
      </c>
      <c r="J283" s="170"/>
      <c r="K283" s="325">
        <f t="shared" si="48"/>
        <v>0</v>
      </c>
      <c r="L283" s="326" t="e">
        <f t="shared" si="49"/>
        <v>#DIV/0!</v>
      </c>
      <c r="M283" s="326" t="str">
        <f>IF(H283="Yes",IF(D283='Drop Down'!$W$4,0.9*L283,IF(D283='Drop Down'!$W$5,0.9*L283,IF(D283='Drop Down'!$W$10,0.9*L283,IF(D283='Drop Down'!$W$16,0.9*L283,"No credit allowed.")))),"N/A")</f>
        <v>N/A</v>
      </c>
      <c r="N283" s="327" t="e">
        <f>IF($D$20="Space-By-Space (90.1-2013)",INDEX(LPD2013SS,MATCH('Interior Lighting'!D283,LightingSpaceType,0)*W283),INDEX(LPD2013WB,MATCH('Interior Lighting'!D283,LightingSpaceType,0)))</f>
        <v>#N/A</v>
      </c>
      <c r="O283" s="327">
        <f t="shared" si="50"/>
        <v>0</v>
      </c>
      <c r="P283" s="407" t="e">
        <f t="shared" si="40"/>
        <v>#N/A</v>
      </c>
      <c r="Q283" s="407" t="e">
        <f t="shared" si="51"/>
        <v>#N/A</v>
      </c>
      <c r="R283" s="407" t="e">
        <f t="shared" si="41"/>
        <v>#N/A</v>
      </c>
      <c r="S283" s="324">
        <f t="shared" si="42"/>
        <v>0</v>
      </c>
      <c r="T283" s="924" t="str">
        <f t="shared" si="43"/>
        <v/>
      </c>
      <c r="U283" s="1221" t="str">
        <f t="shared" si="52"/>
        <v/>
      </c>
      <c r="W283" s="1098">
        <f t="shared" si="44"/>
        <v>1</v>
      </c>
      <c r="X283" s="1098" t="e">
        <f>INDEX(OSReq,MATCH('Interior Lighting'!D283,LightingSpaceType,0))</f>
        <v>#N/A</v>
      </c>
      <c r="Y283" s="1098" t="e">
        <f t="shared" si="45"/>
        <v>#N/A</v>
      </c>
      <c r="Z283" s="1098" t="e">
        <f t="shared" si="46"/>
        <v>#N/A</v>
      </c>
      <c r="AA283" s="1098" t="e">
        <f>INDEX(Lookup!$O$9:$O$24,MATCH('Interior Lighting'!Z283,Lookup!$K$9:$K$24,0))</f>
        <v>#N/A</v>
      </c>
      <c r="AB283" s="1098" t="e">
        <f>IF(E283="A",INDEX(Lookup!$L$9:$L$24,MATCH(Z283,Lookup!$K$9:$K$24,0)),IF(E283="B",INDEX(Lookup!$M$9:$M$24,MATCH(Z283,Lookup!$K$9:$K$24,0)),IF(E283="C",INDEX(Lookup!$N$9:$N$24,MATCH(Z283,Lookup!$K$9:$K$24,0)),"N/A")))</f>
        <v>#N/A</v>
      </c>
    </row>
    <row r="284" spans="1:28">
      <c r="A284" s="1006"/>
      <c r="B284" s="69"/>
      <c r="C284" s="330"/>
      <c r="D284" s="323"/>
      <c r="E284" s="324" t="e">
        <f>INDEX(Lookup!$I$9:$I$24,MATCH('Interior Lighting'!D284,Lookup!$C$9:$C$24,0))</f>
        <v>#N/A</v>
      </c>
      <c r="F284" s="69"/>
      <c r="G284" s="69"/>
      <c r="H284" s="69"/>
      <c r="I284" s="324" t="e">
        <f t="shared" si="47"/>
        <v>#N/A</v>
      </c>
      <c r="J284" s="170"/>
      <c r="K284" s="325">
        <f t="shared" si="48"/>
        <v>0</v>
      </c>
      <c r="L284" s="326" t="e">
        <f t="shared" si="49"/>
        <v>#DIV/0!</v>
      </c>
      <c r="M284" s="326" t="str">
        <f>IF(H284="Yes",IF(D284='Drop Down'!$W$4,0.9*L284,IF(D284='Drop Down'!$W$5,0.9*L284,IF(D284='Drop Down'!$W$10,0.9*L284,IF(D284='Drop Down'!$W$16,0.9*L284,"No credit allowed.")))),"N/A")</f>
        <v>N/A</v>
      </c>
      <c r="N284" s="327" t="e">
        <f>IF($D$20="Space-By-Space (90.1-2013)",INDEX(LPD2013SS,MATCH('Interior Lighting'!D284,LightingSpaceType,0)*W284),INDEX(LPD2013WB,MATCH('Interior Lighting'!D284,LightingSpaceType,0)))</f>
        <v>#N/A</v>
      </c>
      <c r="O284" s="327">
        <f t="shared" si="50"/>
        <v>0</v>
      </c>
      <c r="P284" s="407" t="e">
        <f t="shared" si="40"/>
        <v>#N/A</v>
      </c>
      <c r="Q284" s="407" t="e">
        <f t="shared" si="51"/>
        <v>#N/A</v>
      </c>
      <c r="R284" s="407" t="e">
        <f t="shared" si="41"/>
        <v>#N/A</v>
      </c>
      <c r="S284" s="324">
        <f t="shared" si="42"/>
        <v>0</v>
      </c>
      <c r="T284" s="924" t="str">
        <f t="shared" si="43"/>
        <v/>
      </c>
      <c r="U284" s="1221" t="str">
        <f t="shared" si="52"/>
        <v/>
      </c>
      <c r="W284" s="1098">
        <f t="shared" si="44"/>
        <v>1</v>
      </c>
      <c r="X284" s="1098" t="e">
        <f>INDEX(OSReq,MATCH('Interior Lighting'!D284,LightingSpaceType,0))</f>
        <v>#N/A</v>
      </c>
      <c r="Y284" s="1098" t="e">
        <f t="shared" si="45"/>
        <v>#N/A</v>
      </c>
      <c r="Z284" s="1098" t="e">
        <f t="shared" si="46"/>
        <v>#N/A</v>
      </c>
      <c r="AA284" s="1098" t="e">
        <f>INDEX(Lookup!$O$9:$O$24,MATCH('Interior Lighting'!Z284,Lookup!$K$9:$K$24,0))</f>
        <v>#N/A</v>
      </c>
      <c r="AB284" s="1098" t="e">
        <f>IF(E284="A",INDEX(Lookup!$L$9:$L$24,MATCH(Z284,Lookup!$K$9:$K$24,0)),IF(E284="B",INDEX(Lookup!$M$9:$M$24,MATCH(Z284,Lookup!$K$9:$K$24,0)),IF(E284="C",INDEX(Lookup!$N$9:$N$24,MATCH(Z284,Lookup!$K$9:$K$24,0)),"N/A")))</f>
        <v>#N/A</v>
      </c>
    </row>
    <row r="285" spans="1:28">
      <c r="A285" s="1006"/>
      <c r="B285" s="69"/>
      <c r="C285" s="323"/>
      <c r="D285" s="323"/>
      <c r="E285" s="324" t="e">
        <f>INDEX(Lookup!$I$9:$I$24,MATCH('Interior Lighting'!D285,Lookup!$C$9:$C$24,0))</f>
        <v>#N/A</v>
      </c>
      <c r="F285" s="69"/>
      <c r="G285" s="69"/>
      <c r="H285" s="69"/>
      <c r="I285" s="324" t="e">
        <f t="shared" si="47"/>
        <v>#N/A</v>
      </c>
      <c r="J285" s="170"/>
      <c r="K285" s="325">
        <f t="shared" si="48"/>
        <v>0</v>
      </c>
      <c r="L285" s="326" t="e">
        <f t="shared" si="49"/>
        <v>#DIV/0!</v>
      </c>
      <c r="M285" s="326" t="str">
        <f>IF(H285="Yes",IF(D285='Drop Down'!$W$4,0.9*L285,IF(D285='Drop Down'!$W$5,0.9*L285,IF(D285='Drop Down'!$W$10,0.9*L285,IF(D285='Drop Down'!$W$16,0.9*L285,"No credit allowed.")))),"N/A")</f>
        <v>N/A</v>
      </c>
      <c r="N285" s="327" t="e">
        <f>IF($D$20="Space-By-Space (90.1-2013)",INDEX(LPD2013SS,MATCH('Interior Lighting'!D285,LightingSpaceType,0)*W285),INDEX(LPD2013WB,MATCH('Interior Lighting'!D285,LightingSpaceType,0)))</f>
        <v>#N/A</v>
      </c>
      <c r="O285" s="327">
        <f t="shared" si="50"/>
        <v>0</v>
      </c>
      <c r="P285" s="407" t="e">
        <f t="shared" si="40"/>
        <v>#N/A</v>
      </c>
      <c r="Q285" s="407" t="e">
        <f t="shared" si="51"/>
        <v>#N/A</v>
      </c>
      <c r="R285" s="407" t="e">
        <f t="shared" si="41"/>
        <v>#N/A</v>
      </c>
      <c r="S285" s="324">
        <f t="shared" si="42"/>
        <v>0</v>
      </c>
      <c r="T285" s="924" t="str">
        <f t="shared" si="43"/>
        <v/>
      </c>
      <c r="U285" s="1221" t="str">
        <f t="shared" si="52"/>
        <v/>
      </c>
      <c r="W285" s="1098">
        <f t="shared" si="44"/>
        <v>1</v>
      </c>
      <c r="X285" s="1098" t="e">
        <f>INDEX(OSReq,MATCH('Interior Lighting'!D285,LightingSpaceType,0))</f>
        <v>#N/A</v>
      </c>
      <c r="Y285" s="1098" t="e">
        <f t="shared" si="45"/>
        <v>#N/A</v>
      </c>
      <c r="Z285" s="1098" t="e">
        <f t="shared" si="46"/>
        <v>#N/A</v>
      </c>
      <c r="AA285" s="1098" t="e">
        <f>INDEX(Lookup!$O$9:$O$24,MATCH('Interior Lighting'!Z285,Lookup!$K$9:$K$24,0))</f>
        <v>#N/A</v>
      </c>
      <c r="AB285" s="1098" t="e">
        <f>IF(E285="A",INDEX(Lookup!$L$9:$L$24,MATCH(Z285,Lookup!$K$9:$K$24,0)),IF(E285="B",INDEX(Lookup!$M$9:$M$24,MATCH(Z285,Lookup!$K$9:$K$24,0)),IF(E285="C",INDEX(Lookup!$N$9:$N$24,MATCH(Z285,Lookup!$K$9:$K$24,0)),"N/A")))</f>
        <v>#N/A</v>
      </c>
    </row>
    <row r="286" spans="1:28">
      <c r="A286" s="1006"/>
      <c r="B286" s="69"/>
      <c r="C286" s="323"/>
      <c r="D286" s="323"/>
      <c r="E286" s="324" t="e">
        <f>INDEX(Lookup!$I$9:$I$24,MATCH('Interior Lighting'!D286,Lookup!$C$9:$C$24,0))</f>
        <v>#N/A</v>
      </c>
      <c r="F286" s="69"/>
      <c r="G286" s="69"/>
      <c r="H286" s="69"/>
      <c r="I286" s="324" t="e">
        <f t="shared" si="47"/>
        <v>#N/A</v>
      </c>
      <c r="J286" s="170"/>
      <c r="K286" s="325">
        <f t="shared" si="48"/>
        <v>0</v>
      </c>
      <c r="L286" s="326" t="e">
        <f t="shared" si="49"/>
        <v>#DIV/0!</v>
      </c>
      <c r="M286" s="326" t="str">
        <f>IF(H286="Yes",IF(D286='Drop Down'!$W$4,0.9*L286,IF(D286='Drop Down'!$W$5,0.9*L286,IF(D286='Drop Down'!$W$10,0.9*L286,IF(D286='Drop Down'!$W$16,0.9*L286,"No credit allowed.")))),"N/A")</f>
        <v>N/A</v>
      </c>
      <c r="N286" s="327" t="e">
        <f>IF($D$20="Space-By-Space (90.1-2013)",INDEX(LPD2013SS,MATCH('Interior Lighting'!D286,LightingSpaceType,0)*W286),INDEX(LPD2013WB,MATCH('Interior Lighting'!D286,LightingSpaceType,0)))</f>
        <v>#N/A</v>
      </c>
      <c r="O286" s="327">
        <f t="shared" si="50"/>
        <v>0</v>
      </c>
      <c r="P286" s="407" t="e">
        <f t="shared" ref="P286:P349" si="53">Y286*AA286*AB286</f>
        <v>#N/A</v>
      </c>
      <c r="Q286" s="407" t="e">
        <f t="shared" si="51"/>
        <v>#N/A</v>
      </c>
      <c r="R286" s="407" t="e">
        <f t="shared" ref="R286:R349" si="54">INDEX(Footcandles,MATCH(D286,LightingSpaceType,0))</f>
        <v>#N/A</v>
      </c>
      <c r="S286" s="324">
        <f t="shared" ref="S286:S350" si="55">J286*B286</f>
        <v>0</v>
      </c>
      <c r="T286" s="924" t="str">
        <f t="shared" ref="T286:T349" si="56">IF(F286&gt;0, IF(Q286&lt;R286, "Insufficient lighting to meet IESNA footcandle recommendations.", ""), "")</f>
        <v/>
      </c>
      <c r="U286" s="1221" t="str">
        <f t="shared" si="52"/>
        <v/>
      </c>
      <c r="W286" s="1098">
        <f t="shared" ref="W286:W350" si="57">IF(A286="Yes",1.2,1)</f>
        <v>1</v>
      </c>
      <c r="X286" s="1098" t="e">
        <f>INDEX(OSReq,MATCH('Interior Lighting'!D286,LightingSpaceType,0))</f>
        <v>#N/A</v>
      </c>
      <c r="Y286" s="1098" t="e">
        <f t="shared" ref="Y286:Y349" si="58">INDEX($M$4:$M$27,MATCH(G286,$J$4:$J$27,0))</f>
        <v>#N/A</v>
      </c>
      <c r="Z286" s="1098" t="e">
        <f t="shared" ref="Z286:Z349" si="59">INDEX($K$4:$K$27,MATCH(G286,$J$4:$J$27,0))</f>
        <v>#N/A</v>
      </c>
      <c r="AA286" s="1098" t="e">
        <f>INDEX(Lookup!$O$9:$O$24,MATCH('Interior Lighting'!Z286,Lookup!$K$9:$K$24,0))</f>
        <v>#N/A</v>
      </c>
      <c r="AB286" s="1098" t="e">
        <f>IF(E286="A",INDEX(Lookup!$L$9:$L$24,MATCH(Z286,Lookup!$K$9:$K$24,0)),IF(E286="B",INDEX(Lookup!$M$9:$M$24,MATCH(Z286,Lookup!$K$9:$K$24,0)),IF(E286="C",INDEX(Lookup!$N$9:$N$24,MATCH(Z286,Lookup!$K$9:$K$24,0)),"N/A")))</f>
        <v>#N/A</v>
      </c>
    </row>
    <row r="287" spans="1:28">
      <c r="A287" s="1006"/>
      <c r="B287" s="69"/>
      <c r="C287" s="323"/>
      <c r="D287" s="323"/>
      <c r="E287" s="324" t="e">
        <f>INDEX(Lookup!$I$9:$I$24,MATCH('Interior Lighting'!D287,Lookup!$C$9:$C$24,0))</f>
        <v>#N/A</v>
      </c>
      <c r="F287" s="69"/>
      <c r="G287" s="69"/>
      <c r="H287" s="69"/>
      <c r="I287" s="324" t="e">
        <f t="shared" ref="I287:I350" si="60">INDEX($L$4:$L$27,MATCH(G287,$J$4:$J$27,0))</f>
        <v>#N/A</v>
      </c>
      <c r="J287" s="170"/>
      <c r="K287" s="325">
        <f t="shared" ref="K287:K350" si="61">IF(F287&gt;0, F287*I287*J287, 0)</f>
        <v>0</v>
      </c>
      <c r="L287" s="326" t="e">
        <f t="shared" ref="L287:L350" si="62">IF(D287="Exit Signs","convert to kW", K287/S287)</f>
        <v>#DIV/0!</v>
      </c>
      <c r="M287" s="326" t="str">
        <f>IF(H287="Yes",IF(D287='Drop Down'!$W$4,0.9*L287,IF(D287='Drop Down'!$W$5,0.9*L287,IF(D287='Drop Down'!$W$10,0.9*L287,IF(D287='Drop Down'!$W$16,0.9*L287,"No credit allowed.")))),"N/A")</f>
        <v>N/A</v>
      </c>
      <c r="N287" s="327" t="e">
        <f>IF($D$20="Space-By-Space (90.1-2013)",INDEX(LPD2013SS,MATCH('Interior Lighting'!D287,LightingSpaceType,0)*W287),INDEX(LPD2013WB,MATCH('Interior Lighting'!D287,LightingSpaceType,0)))</f>
        <v>#N/A</v>
      </c>
      <c r="O287" s="327">
        <f t="shared" ref="O287:O350" si="63">IF(D287="Exit Signs", 5*F287*J287, IF(B287&gt;0, N287*S287, 0))</f>
        <v>0</v>
      </c>
      <c r="P287" s="407" t="e">
        <f t="shared" si="53"/>
        <v>#N/A</v>
      </c>
      <c r="Q287" s="407" t="e">
        <f t="shared" ref="Q287:Q350" si="64">IF(D287="Exit Signs","NA", K287*P287/S287)</f>
        <v>#N/A</v>
      </c>
      <c r="R287" s="407" t="e">
        <f t="shared" si="54"/>
        <v>#N/A</v>
      </c>
      <c r="S287" s="324">
        <f t="shared" si="55"/>
        <v>0</v>
      </c>
      <c r="T287" s="924" t="str">
        <f t="shared" si="56"/>
        <v/>
      </c>
      <c r="U287" s="1221" t="str">
        <f t="shared" si="52"/>
        <v/>
      </c>
      <c r="W287" s="1098">
        <f t="shared" si="57"/>
        <v>1</v>
      </c>
      <c r="X287" s="1098" t="e">
        <f>INDEX(OSReq,MATCH('Interior Lighting'!D287,LightingSpaceType,0))</f>
        <v>#N/A</v>
      </c>
      <c r="Y287" s="1098" t="e">
        <f t="shared" si="58"/>
        <v>#N/A</v>
      </c>
      <c r="Z287" s="1098" t="e">
        <f t="shared" si="59"/>
        <v>#N/A</v>
      </c>
      <c r="AA287" s="1098" t="e">
        <f>INDEX(Lookup!$O$9:$O$24,MATCH('Interior Lighting'!Z287,Lookup!$K$9:$K$24,0))</f>
        <v>#N/A</v>
      </c>
      <c r="AB287" s="1098" t="e">
        <f>IF(E287="A",INDEX(Lookup!$L$9:$L$24,MATCH(Z287,Lookup!$K$9:$K$24,0)),IF(E287="B",INDEX(Lookup!$M$9:$M$24,MATCH(Z287,Lookup!$K$9:$K$24,0)),IF(E287="C",INDEX(Lookup!$N$9:$N$24,MATCH(Z287,Lookup!$K$9:$K$24,0)),"N/A")))</f>
        <v>#N/A</v>
      </c>
    </row>
    <row r="288" spans="1:28">
      <c r="A288" s="1006"/>
      <c r="B288" s="69"/>
      <c r="C288" s="323"/>
      <c r="D288" s="323"/>
      <c r="E288" s="324" t="e">
        <f>INDEX(Lookup!$I$9:$I$24,MATCH('Interior Lighting'!D288,Lookup!$C$9:$C$24,0))</f>
        <v>#N/A</v>
      </c>
      <c r="F288" s="69"/>
      <c r="G288" s="69"/>
      <c r="H288" s="69"/>
      <c r="I288" s="324" t="e">
        <f t="shared" si="60"/>
        <v>#N/A</v>
      </c>
      <c r="J288" s="170"/>
      <c r="K288" s="325">
        <f t="shared" si="61"/>
        <v>0</v>
      </c>
      <c r="L288" s="326" t="e">
        <f t="shared" si="62"/>
        <v>#DIV/0!</v>
      </c>
      <c r="M288" s="326" t="str">
        <f>IF(H288="Yes",IF(D288='Drop Down'!$W$4,0.9*L288,IF(D288='Drop Down'!$W$5,0.9*L288,IF(D288='Drop Down'!$W$10,0.9*L288,IF(D288='Drop Down'!$W$16,0.9*L288,"No credit allowed.")))),"N/A")</f>
        <v>N/A</v>
      </c>
      <c r="N288" s="327" t="e">
        <f>IF($D$20="Space-By-Space (90.1-2013)",INDEX(LPD2013SS,MATCH('Interior Lighting'!D288,LightingSpaceType,0)*W288),INDEX(LPD2013WB,MATCH('Interior Lighting'!D288,LightingSpaceType,0)))</f>
        <v>#N/A</v>
      </c>
      <c r="O288" s="327">
        <f t="shared" si="63"/>
        <v>0</v>
      </c>
      <c r="P288" s="407" t="e">
        <f t="shared" si="53"/>
        <v>#N/A</v>
      </c>
      <c r="Q288" s="407" t="e">
        <f t="shared" si="64"/>
        <v>#N/A</v>
      </c>
      <c r="R288" s="407" t="e">
        <f t="shared" si="54"/>
        <v>#N/A</v>
      </c>
      <c r="S288" s="324">
        <f t="shared" si="55"/>
        <v>0</v>
      </c>
      <c r="T288" s="924" t="str">
        <f t="shared" si="56"/>
        <v/>
      </c>
      <c r="U288" s="1221" t="str">
        <f t="shared" ref="U288:U351" si="65">IF(H288="","",IF(AND(H288="No",X288="Y"),"Please check ASHRAE Table 9.6.1 to ensure compliance with lighting control requirements for this space type.",""))</f>
        <v/>
      </c>
      <c r="W288" s="1098">
        <f t="shared" si="57"/>
        <v>1</v>
      </c>
      <c r="X288" s="1098" t="e">
        <f>INDEX(OSReq,MATCH('Interior Lighting'!D288,LightingSpaceType,0))</f>
        <v>#N/A</v>
      </c>
      <c r="Y288" s="1098" t="e">
        <f t="shared" si="58"/>
        <v>#N/A</v>
      </c>
      <c r="Z288" s="1098" t="e">
        <f t="shared" si="59"/>
        <v>#N/A</v>
      </c>
      <c r="AA288" s="1098" t="e">
        <f>INDEX(Lookup!$O$9:$O$24,MATCH('Interior Lighting'!Z288,Lookup!$K$9:$K$24,0))</f>
        <v>#N/A</v>
      </c>
      <c r="AB288" s="1098" t="e">
        <f>IF(E288="A",INDEX(Lookup!$L$9:$L$24,MATCH(Z288,Lookup!$K$9:$K$24,0)),IF(E288="B",INDEX(Lookup!$M$9:$M$24,MATCH(Z288,Lookup!$K$9:$K$24,0)),IF(E288="C",INDEX(Lookup!$N$9:$N$24,MATCH(Z288,Lookup!$K$9:$K$24,0)),"N/A")))</f>
        <v>#N/A</v>
      </c>
    </row>
    <row r="289" spans="1:28">
      <c r="A289" s="1006"/>
      <c r="B289" s="69"/>
      <c r="C289" s="323"/>
      <c r="D289" s="323"/>
      <c r="E289" s="324" t="e">
        <f>INDEX(Lookup!$I$9:$I$24,MATCH('Interior Lighting'!D289,Lookup!$C$9:$C$24,0))</f>
        <v>#N/A</v>
      </c>
      <c r="F289" s="69"/>
      <c r="G289" s="69"/>
      <c r="H289" s="69"/>
      <c r="I289" s="324" t="e">
        <f t="shared" si="60"/>
        <v>#N/A</v>
      </c>
      <c r="J289" s="170"/>
      <c r="K289" s="325">
        <f t="shared" si="61"/>
        <v>0</v>
      </c>
      <c r="L289" s="326" t="e">
        <f t="shared" si="62"/>
        <v>#DIV/0!</v>
      </c>
      <c r="M289" s="326" t="str">
        <f>IF(H289="Yes",IF(D289='Drop Down'!$W$4,0.9*L289,IF(D289='Drop Down'!$W$5,0.9*L289,IF(D289='Drop Down'!$W$10,0.9*L289,IF(D289='Drop Down'!$W$16,0.9*L289,"No credit allowed.")))),"N/A")</f>
        <v>N/A</v>
      </c>
      <c r="N289" s="327" t="e">
        <f>IF($D$20="Space-By-Space (90.1-2013)",INDEX(LPD2013SS,MATCH('Interior Lighting'!D289,LightingSpaceType,0)*W289),INDEX(LPD2013WB,MATCH('Interior Lighting'!D289,LightingSpaceType,0)))</f>
        <v>#N/A</v>
      </c>
      <c r="O289" s="327">
        <f t="shared" si="63"/>
        <v>0</v>
      </c>
      <c r="P289" s="407" t="e">
        <f t="shared" si="53"/>
        <v>#N/A</v>
      </c>
      <c r="Q289" s="407" t="e">
        <f t="shared" si="64"/>
        <v>#N/A</v>
      </c>
      <c r="R289" s="407" t="e">
        <f t="shared" si="54"/>
        <v>#N/A</v>
      </c>
      <c r="S289" s="324">
        <f t="shared" si="55"/>
        <v>0</v>
      </c>
      <c r="T289" s="924" t="str">
        <f t="shared" si="56"/>
        <v/>
      </c>
      <c r="U289" s="1221" t="str">
        <f t="shared" si="65"/>
        <v/>
      </c>
      <c r="W289" s="1098">
        <f t="shared" si="57"/>
        <v>1</v>
      </c>
      <c r="X289" s="1098" t="e">
        <f>INDEX(OSReq,MATCH('Interior Lighting'!D289,LightingSpaceType,0))</f>
        <v>#N/A</v>
      </c>
      <c r="Y289" s="1098" t="e">
        <f t="shared" si="58"/>
        <v>#N/A</v>
      </c>
      <c r="Z289" s="1098" t="e">
        <f t="shared" si="59"/>
        <v>#N/A</v>
      </c>
      <c r="AA289" s="1098" t="e">
        <f>INDEX(Lookup!$O$9:$O$24,MATCH('Interior Lighting'!Z289,Lookup!$K$9:$K$24,0))</f>
        <v>#N/A</v>
      </c>
      <c r="AB289" s="1098" t="e">
        <f>IF(E289="A",INDEX(Lookup!$L$9:$L$24,MATCH(Z289,Lookup!$K$9:$K$24,0)),IF(E289="B",INDEX(Lookup!$M$9:$M$24,MATCH(Z289,Lookup!$K$9:$K$24,0)),IF(E289="C",INDEX(Lookup!$N$9:$N$24,MATCH(Z289,Lookup!$K$9:$K$24,0)),"N/A")))</f>
        <v>#N/A</v>
      </c>
    </row>
    <row r="290" spans="1:28">
      <c r="A290" s="1006"/>
      <c r="B290" s="69"/>
      <c r="C290" s="330"/>
      <c r="D290" s="323"/>
      <c r="E290" s="324" t="e">
        <f>INDEX(Lookup!$I$9:$I$24,MATCH('Interior Lighting'!D290,Lookup!$C$9:$C$24,0))</f>
        <v>#N/A</v>
      </c>
      <c r="F290" s="69"/>
      <c r="G290" s="69"/>
      <c r="H290" s="69"/>
      <c r="I290" s="324" t="e">
        <f t="shared" si="60"/>
        <v>#N/A</v>
      </c>
      <c r="J290" s="170"/>
      <c r="K290" s="325">
        <f t="shared" si="61"/>
        <v>0</v>
      </c>
      <c r="L290" s="326" t="e">
        <f t="shared" si="62"/>
        <v>#DIV/0!</v>
      </c>
      <c r="M290" s="326" t="str">
        <f>IF(H290="Yes",IF(D290='Drop Down'!$W$4,0.9*L290,IF(D290='Drop Down'!$W$5,0.9*L290,IF(D290='Drop Down'!$W$10,0.9*L290,IF(D290='Drop Down'!$W$16,0.9*L290,"No credit allowed.")))),"N/A")</f>
        <v>N/A</v>
      </c>
      <c r="N290" s="327" t="e">
        <f>IF($D$20="Space-By-Space (90.1-2013)",INDEX(LPD2013SS,MATCH('Interior Lighting'!D290,LightingSpaceType,0)*W290),INDEX(LPD2013WB,MATCH('Interior Lighting'!D290,LightingSpaceType,0)))</f>
        <v>#N/A</v>
      </c>
      <c r="O290" s="327">
        <f t="shared" si="63"/>
        <v>0</v>
      </c>
      <c r="P290" s="407" t="e">
        <f t="shared" si="53"/>
        <v>#N/A</v>
      </c>
      <c r="Q290" s="407" t="e">
        <f t="shared" si="64"/>
        <v>#N/A</v>
      </c>
      <c r="R290" s="407" t="e">
        <f t="shared" si="54"/>
        <v>#N/A</v>
      </c>
      <c r="S290" s="324">
        <f t="shared" si="55"/>
        <v>0</v>
      </c>
      <c r="T290" s="924" t="str">
        <f t="shared" si="56"/>
        <v/>
      </c>
      <c r="U290" s="1221" t="str">
        <f t="shared" si="65"/>
        <v/>
      </c>
      <c r="W290" s="1098">
        <f t="shared" si="57"/>
        <v>1</v>
      </c>
      <c r="X290" s="1098" t="e">
        <f>INDEX(OSReq,MATCH('Interior Lighting'!D290,LightingSpaceType,0))</f>
        <v>#N/A</v>
      </c>
      <c r="Y290" s="1098" t="e">
        <f t="shared" si="58"/>
        <v>#N/A</v>
      </c>
      <c r="Z290" s="1098" t="e">
        <f t="shared" si="59"/>
        <v>#N/A</v>
      </c>
      <c r="AA290" s="1098" t="e">
        <f>INDEX(Lookup!$O$9:$O$24,MATCH('Interior Lighting'!Z290,Lookup!$K$9:$K$24,0))</f>
        <v>#N/A</v>
      </c>
      <c r="AB290" s="1098" t="e">
        <f>IF(E290="A",INDEX(Lookup!$L$9:$L$24,MATCH(Z290,Lookup!$K$9:$K$24,0)),IF(E290="B",INDEX(Lookup!$M$9:$M$24,MATCH(Z290,Lookup!$K$9:$K$24,0)),IF(E290="C",INDEX(Lookup!$N$9:$N$24,MATCH(Z290,Lookup!$K$9:$K$24,0)),"N/A")))</f>
        <v>#N/A</v>
      </c>
    </row>
    <row r="291" spans="1:28">
      <c r="A291" s="1006"/>
      <c r="B291" s="69"/>
      <c r="C291" s="323"/>
      <c r="D291" s="323"/>
      <c r="E291" s="324" t="e">
        <f>INDEX(Lookup!$I$9:$I$24,MATCH('Interior Lighting'!D291,Lookup!$C$9:$C$24,0))</f>
        <v>#N/A</v>
      </c>
      <c r="F291" s="69"/>
      <c r="G291" s="69"/>
      <c r="H291" s="69"/>
      <c r="I291" s="324" t="e">
        <f t="shared" si="60"/>
        <v>#N/A</v>
      </c>
      <c r="J291" s="170"/>
      <c r="K291" s="325">
        <f t="shared" si="61"/>
        <v>0</v>
      </c>
      <c r="L291" s="326" t="e">
        <f t="shared" si="62"/>
        <v>#DIV/0!</v>
      </c>
      <c r="M291" s="326" t="str">
        <f>IF(H291="Yes",IF(D291='Drop Down'!$W$4,0.9*L291,IF(D291='Drop Down'!$W$5,0.9*L291,IF(D291='Drop Down'!$W$10,0.9*L291,IF(D291='Drop Down'!$W$16,0.9*L291,"No credit allowed.")))),"N/A")</f>
        <v>N/A</v>
      </c>
      <c r="N291" s="327" t="e">
        <f>IF($D$20="Space-By-Space (90.1-2013)",INDEX(LPD2013SS,MATCH('Interior Lighting'!D291,LightingSpaceType,0)*W291),INDEX(LPD2013WB,MATCH('Interior Lighting'!D291,LightingSpaceType,0)))</f>
        <v>#N/A</v>
      </c>
      <c r="O291" s="327">
        <f t="shared" si="63"/>
        <v>0</v>
      </c>
      <c r="P291" s="407" t="e">
        <f t="shared" si="53"/>
        <v>#N/A</v>
      </c>
      <c r="Q291" s="407" t="e">
        <f t="shared" si="64"/>
        <v>#N/A</v>
      </c>
      <c r="R291" s="407" t="e">
        <f t="shared" si="54"/>
        <v>#N/A</v>
      </c>
      <c r="S291" s="324">
        <f t="shared" si="55"/>
        <v>0</v>
      </c>
      <c r="T291" s="924" t="str">
        <f t="shared" si="56"/>
        <v/>
      </c>
      <c r="U291" s="1221" t="str">
        <f t="shared" si="65"/>
        <v/>
      </c>
      <c r="W291" s="1098">
        <f t="shared" si="57"/>
        <v>1</v>
      </c>
      <c r="X291" s="1098" t="e">
        <f>INDEX(OSReq,MATCH('Interior Lighting'!D291,LightingSpaceType,0))</f>
        <v>#N/A</v>
      </c>
      <c r="Y291" s="1098" t="e">
        <f t="shared" si="58"/>
        <v>#N/A</v>
      </c>
      <c r="Z291" s="1098" t="e">
        <f t="shared" si="59"/>
        <v>#N/A</v>
      </c>
      <c r="AA291" s="1098" t="e">
        <f>INDEX(Lookup!$O$9:$O$24,MATCH('Interior Lighting'!Z291,Lookup!$K$9:$K$24,0))</f>
        <v>#N/A</v>
      </c>
      <c r="AB291" s="1098" t="e">
        <f>IF(E291="A",INDEX(Lookup!$L$9:$L$24,MATCH(Z291,Lookup!$K$9:$K$24,0)),IF(E291="B",INDEX(Lookup!$M$9:$M$24,MATCH(Z291,Lookup!$K$9:$K$24,0)),IF(E291="C",INDEX(Lookup!$N$9:$N$24,MATCH(Z291,Lookup!$K$9:$K$24,0)),"N/A")))</f>
        <v>#N/A</v>
      </c>
    </row>
    <row r="292" spans="1:28">
      <c r="A292" s="1006"/>
      <c r="B292" s="69"/>
      <c r="C292" s="323"/>
      <c r="D292" s="323"/>
      <c r="E292" s="324" t="e">
        <f>INDEX(Lookup!$I$9:$I$24,MATCH('Interior Lighting'!D292,Lookup!$C$9:$C$24,0))</f>
        <v>#N/A</v>
      </c>
      <c r="F292" s="69"/>
      <c r="G292" s="69"/>
      <c r="H292" s="69"/>
      <c r="I292" s="324" t="e">
        <f t="shared" si="60"/>
        <v>#N/A</v>
      </c>
      <c r="J292" s="170"/>
      <c r="K292" s="325">
        <f t="shared" si="61"/>
        <v>0</v>
      </c>
      <c r="L292" s="326" t="e">
        <f t="shared" si="62"/>
        <v>#DIV/0!</v>
      </c>
      <c r="M292" s="326" t="str">
        <f>IF(H292="Yes",IF(D292='Drop Down'!$W$4,0.9*L292,IF(D292='Drop Down'!$W$5,0.9*L292,IF(D292='Drop Down'!$W$10,0.9*L292,IF(D292='Drop Down'!$W$16,0.9*L292,"No credit allowed.")))),"N/A")</f>
        <v>N/A</v>
      </c>
      <c r="N292" s="327" t="e">
        <f>IF($D$20="Space-By-Space (90.1-2013)",INDEX(LPD2013SS,MATCH('Interior Lighting'!D292,LightingSpaceType,0)*W292),INDEX(LPD2013WB,MATCH('Interior Lighting'!D292,LightingSpaceType,0)))</f>
        <v>#N/A</v>
      </c>
      <c r="O292" s="327">
        <f t="shared" si="63"/>
        <v>0</v>
      </c>
      <c r="P292" s="407" t="e">
        <f t="shared" si="53"/>
        <v>#N/A</v>
      </c>
      <c r="Q292" s="407" t="e">
        <f t="shared" si="64"/>
        <v>#N/A</v>
      </c>
      <c r="R292" s="407" t="e">
        <f t="shared" si="54"/>
        <v>#N/A</v>
      </c>
      <c r="S292" s="324">
        <f t="shared" si="55"/>
        <v>0</v>
      </c>
      <c r="T292" s="924" t="str">
        <f t="shared" si="56"/>
        <v/>
      </c>
      <c r="U292" s="1221" t="str">
        <f t="shared" si="65"/>
        <v/>
      </c>
      <c r="W292" s="1098">
        <f t="shared" si="57"/>
        <v>1</v>
      </c>
      <c r="X292" s="1098" t="e">
        <f>INDEX(OSReq,MATCH('Interior Lighting'!D292,LightingSpaceType,0))</f>
        <v>#N/A</v>
      </c>
      <c r="Y292" s="1098" t="e">
        <f t="shared" si="58"/>
        <v>#N/A</v>
      </c>
      <c r="Z292" s="1098" t="e">
        <f t="shared" si="59"/>
        <v>#N/A</v>
      </c>
      <c r="AA292" s="1098" t="e">
        <f>INDEX(Lookup!$O$9:$O$24,MATCH('Interior Lighting'!Z292,Lookup!$K$9:$K$24,0))</f>
        <v>#N/A</v>
      </c>
      <c r="AB292" s="1098" t="e">
        <f>IF(E292="A",INDEX(Lookup!$L$9:$L$24,MATCH(Z292,Lookup!$K$9:$K$24,0)),IF(E292="B",INDEX(Lookup!$M$9:$M$24,MATCH(Z292,Lookup!$K$9:$K$24,0)),IF(E292="C",INDEX(Lookup!$N$9:$N$24,MATCH(Z292,Lookup!$K$9:$K$24,0)),"N/A")))</f>
        <v>#N/A</v>
      </c>
    </row>
    <row r="293" spans="1:28">
      <c r="A293" s="1006"/>
      <c r="B293" s="69"/>
      <c r="C293" s="323"/>
      <c r="D293" s="323"/>
      <c r="E293" s="324" t="e">
        <f>INDEX(Lookup!$I$9:$I$24,MATCH('Interior Lighting'!D293,Lookup!$C$9:$C$24,0))</f>
        <v>#N/A</v>
      </c>
      <c r="F293" s="69"/>
      <c r="G293" s="69"/>
      <c r="H293" s="69"/>
      <c r="I293" s="324" t="e">
        <f t="shared" si="60"/>
        <v>#N/A</v>
      </c>
      <c r="J293" s="170"/>
      <c r="K293" s="325">
        <f t="shared" si="61"/>
        <v>0</v>
      </c>
      <c r="L293" s="326" t="e">
        <f t="shared" si="62"/>
        <v>#DIV/0!</v>
      </c>
      <c r="M293" s="326" t="str">
        <f>IF(H293="Yes",IF(D293='Drop Down'!$W$4,0.9*L293,IF(D293='Drop Down'!$W$5,0.9*L293,IF(D293='Drop Down'!$W$10,0.9*L293,IF(D293='Drop Down'!$W$16,0.9*L293,"No credit allowed.")))),"N/A")</f>
        <v>N/A</v>
      </c>
      <c r="N293" s="327" t="e">
        <f>IF($D$20="Space-By-Space (90.1-2013)",INDEX(LPD2013SS,MATCH('Interior Lighting'!D293,LightingSpaceType,0)*W293),INDEX(LPD2013WB,MATCH('Interior Lighting'!D293,LightingSpaceType,0)))</f>
        <v>#N/A</v>
      </c>
      <c r="O293" s="327">
        <f t="shared" si="63"/>
        <v>0</v>
      </c>
      <c r="P293" s="407" t="e">
        <f t="shared" si="53"/>
        <v>#N/A</v>
      </c>
      <c r="Q293" s="407" t="e">
        <f t="shared" si="64"/>
        <v>#N/A</v>
      </c>
      <c r="R293" s="407" t="e">
        <f t="shared" si="54"/>
        <v>#N/A</v>
      </c>
      <c r="S293" s="324">
        <f t="shared" si="55"/>
        <v>0</v>
      </c>
      <c r="T293" s="924" t="str">
        <f t="shared" si="56"/>
        <v/>
      </c>
      <c r="U293" s="1221" t="str">
        <f t="shared" si="65"/>
        <v/>
      </c>
      <c r="W293" s="1098">
        <f t="shared" si="57"/>
        <v>1</v>
      </c>
      <c r="X293" s="1098" t="e">
        <f>INDEX(OSReq,MATCH('Interior Lighting'!D293,LightingSpaceType,0))</f>
        <v>#N/A</v>
      </c>
      <c r="Y293" s="1098" t="e">
        <f t="shared" si="58"/>
        <v>#N/A</v>
      </c>
      <c r="Z293" s="1098" t="e">
        <f t="shared" si="59"/>
        <v>#N/A</v>
      </c>
      <c r="AA293" s="1098" t="e">
        <f>INDEX(Lookup!$O$9:$O$24,MATCH('Interior Lighting'!Z293,Lookup!$K$9:$K$24,0))</f>
        <v>#N/A</v>
      </c>
      <c r="AB293" s="1098" t="e">
        <f>IF(E293="A",INDEX(Lookup!$L$9:$L$24,MATCH(Z293,Lookup!$K$9:$K$24,0)),IF(E293="B",INDEX(Lookup!$M$9:$M$24,MATCH(Z293,Lookup!$K$9:$K$24,0)),IF(E293="C",INDEX(Lookup!$N$9:$N$24,MATCH(Z293,Lookup!$K$9:$K$24,0)),"N/A")))</f>
        <v>#N/A</v>
      </c>
    </row>
    <row r="294" spans="1:28">
      <c r="A294" s="1006"/>
      <c r="B294" s="69"/>
      <c r="C294" s="323"/>
      <c r="D294" s="323"/>
      <c r="E294" s="324" t="e">
        <f>INDEX(Lookup!$I$9:$I$24,MATCH('Interior Lighting'!D294,Lookup!$C$9:$C$24,0))</f>
        <v>#N/A</v>
      </c>
      <c r="F294" s="69"/>
      <c r="G294" s="69"/>
      <c r="H294" s="69"/>
      <c r="I294" s="324" t="e">
        <f t="shared" si="60"/>
        <v>#N/A</v>
      </c>
      <c r="J294" s="170"/>
      <c r="K294" s="325">
        <f t="shared" si="61"/>
        <v>0</v>
      </c>
      <c r="L294" s="326" t="e">
        <f t="shared" si="62"/>
        <v>#DIV/0!</v>
      </c>
      <c r="M294" s="326" t="str">
        <f>IF(H294="Yes",IF(D294='Drop Down'!$W$4,0.9*L294,IF(D294='Drop Down'!$W$5,0.9*L294,IF(D294='Drop Down'!$W$10,0.9*L294,IF(D294='Drop Down'!$W$16,0.9*L294,"No credit allowed.")))),"N/A")</f>
        <v>N/A</v>
      </c>
      <c r="N294" s="327" t="e">
        <f>IF($D$20="Space-By-Space (90.1-2013)",INDEX(LPD2013SS,MATCH('Interior Lighting'!D294,LightingSpaceType,0)*W294),INDEX(LPD2013WB,MATCH('Interior Lighting'!D294,LightingSpaceType,0)))</f>
        <v>#N/A</v>
      </c>
      <c r="O294" s="327">
        <f t="shared" si="63"/>
        <v>0</v>
      </c>
      <c r="P294" s="407" t="e">
        <f t="shared" si="53"/>
        <v>#N/A</v>
      </c>
      <c r="Q294" s="407" t="e">
        <f t="shared" si="64"/>
        <v>#N/A</v>
      </c>
      <c r="R294" s="407" t="e">
        <f t="shared" si="54"/>
        <v>#N/A</v>
      </c>
      <c r="S294" s="324">
        <f t="shared" si="55"/>
        <v>0</v>
      </c>
      <c r="T294" s="924" t="str">
        <f t="shared" si="56"/>
        <v/>
      </c>
      <c r="U294" s="1221" t="str">
        <f t="shared" si="65"/>
        <v/>
      </c>
      <c r="W294" s="1098">
        <f t="shared" si="57"/>
        <v>1</v>
      </c>
      <c r="X294" s="1098" t="e">
        <f>INDEX(OSReq,MATCH('Interior Lighting'!D294,LightingSpaceType,0))</f>
        <v>#N/A</v>
      </c>
      <c r="Y294" s="1098" t="e">
        <f t="shared" si="58"/>
        <v>#N/A</v>
      </c>
      <c r="Z294" s="1098" t="e">
        <f t="shared" si="59"/>
        <v>#N/A</v>
      </c>
      <c r="AA294" s="1098" t="e">
        <f>INDEX(Lookup!$O$9:$O$24,MATCH('Interior Lighting'!Z294,Lookup!$K$9:$K$24,0))</f>
        <v>#N/A</v>
      </c>
      <c r="AB294" s="1098" t="e">
        <f>IF(E294="A",INDEX(Lookup!$L$9:$L$24,MATCH(Z294,Lookup!$K$9:$K$24,0)),IF(E294="B",INDEX(Lookup!$M$9:$M$24,MATCH(Z294,Lookup!$K$9:$K$24,0)),IF(E294="C",INDEX(Lookup!$N$9:$N$24,MATCH(Z294,Lookup!$K$9:$K$24,0)),"N/A")))</f>
        <v>#N/A</v>
      </c>
    </row>
    <row r="295" spans="1:28">
      <c r="A295" s="1006"/>
      <c r="B295" s="69"/>
      <c r="C295" s="323"/>
      <c r="D295" s="323"/>
      <c r="E295" s="324" t="e">
        <f>INDEX(Lookup!$I$9:$I$24,MATCH('Interior Lighting'!D295,Lookup!$C$9:$C$24,0))</f>
        <v>#N/A</v>
      </c>
      <c r="F295" s="69"/>
      <c r="G295" s="69"/>
      <c r="H295" s="69"/>
      <c r="I295" s="324" t="e">
        <f t="shared" si="60"/>
        <v>#N/A</v>
      </c>
      <c r="J295" s="170"/>
      <c r="K295" s="325">
        <f t="shared" si="61"/>
        <v>0</v>
      </c>
      <c r="L295" s="326" t="e">
        <f t="shared" si="62"/>
        <v>#DIV/0!</v>
      </c>
      <c r="M295" s="326" t="str">
        <f>IF(H295="Yes",IF(D295='Drop Down'!$W$4,0.9*L295,IF(D295='Drop Down'!$W$5,0.9*L295,IF(D295='Drop Down'!$W$10,0.9*L295,IF(D295='Drop Down'!$W$16,0.9*L295,"No credit allowed.")))),"N/A")</f>
        <v>N/A</v>
      </c>
      <c r="N295" s="327" t="e">
        <f>IF($D$20="Space-By-Space (90.1-2013)",INDEX(LPD2013SS,MATCH('Interior Lighting'!D295,LightingSpaceType,0)*W295),INDEX(LPD2013WB,MATCH('Interior Lighting'!D295,LightingSpaceType,0)))</f>
        <v>#N/A</v>
      </c>
      <c r="O295" s="327">
        <f t="shared" si="63"/>
        <v>0</v>
      </c>
      <c r="P295" s="407" t="e">
        <f t="shared" si="53"/>
        <v>#N/A</v>
      </c>
      <c r="Q295" s="407" t="e">
        <f t="shared" si="64"/>
        <v>#N/A</v>
      </c>
      <c r="R295" s="407" t="e">
        <f t="shared" si="54"/>
        <v>#N/A</v>
      </c>
      <c r="S295" s="324">
        <f t="shared" si="55"/>
        <v>0</v>
      </c>
      <c r="T295" s="924" t="str">
        <f t="shared" si="56"/>
        <v/>
      </c>
      <c r="U295" s="1221" t="str">
        <f t="shared" si="65"/>
        <v/>
      </c>
      <c r="W295" s="1098">
        <f t="shared" si="57"/>
        <v>1</v>
      </c>
      <c r="X295" s="1098" t="e">
        <f>INDEX(OSReq,MATCH('Interior Lighting'!D295,LightingSpaceType,0))</f>
        <v>#N/A</v>
      </c>
      <c r="Y295" s="1098" t="e">
        <f t="shared" si="58"/>
        <v>#N/A</v>
      </c>
      <c r="Z295" s="1098" t="e">
        <f t="shared" si="59"/>
        <v>#N/A</v>
      </c>
      <c r="AA295" s="1098" t="e">
        <f>INDEX(Lookup!$O$9:$O$24,MATCH('Interior Lighting'!Z295,Lookup!$K$9:$K$24,0))</f>
        <v>#N/A</v>
      </c>
      <c r="AB295" s="1098" t="e">
        <f>IF(E295="A",INDEX(Lookup!$L$9:$L$24,MATCH(Z295,Lookup!$K$9:$K$24,0)),IF(E295="B",INDEX(Lookup!$M$9:$M$24,MATCH(Z295,Lookup!$K$9:$K$24,0)),IF(E295="C",INDEX(Lookup!$N$9:$N$24,MATCH(Z295,Lookup!$K$9:$K$24,0)),"N/A")))</f>
        <v>#N/A</v>
      </c>
    </row>
    <row r="296" spans="1:28">
      <c r="A296" s="1006"/>
      <c r="B296" s="69"/>
      <c r="C296" s="330"/>
      <c r="D296" s="323"/>
      <c r="E296" s="324" t="e">
        <f>INDEX(Lookup!$I$9:$I$24,MATCH('Interior Lighting'!D296,Lookup!$C$9:$C$24,0))</f>
        <v>#N/A</v>
      </c>
      <c r="F296" s="69"/>
      <c r="G296" s="69"/>
      <c r="H296" s="69"/>
      <c r="I296" s="324" t="e">
        <f t="shared" si="60"/>
        <v>#N/A</v>
      </c>
      <c r="J296" s="170"/>
      <c r="K296" s="325">
        <f t="shared" si="61"/>
        <v>0</v>
      </c>
      <c r="L296" s="326" t="e">
        <f t="shared" si="62"/>
        <v>#DIV/0!</v>
      </c>
      <c r="M296" s="326" t="str">
        <f>IF(H296="Yes",IF(D296='Drop Down'!$W$4,0.9*L296,IF(D296='Drop Down'!$W$5,0.9*L296,IF(D296='Drop Down'!$W$10,0.9*L296,IF(D296='Drop Down'!$W$16,0.9*L296,"No credit allowed.")))),"N/A")</f>
        <v>N/A</v>
      </c>
      <c r="N296" s="327" t="e">
        <f>IF($D$20="Space-By-Space (90.1-2013)",INDEX(LPD2013SS,MATCH('Interior Lighting'!D296,LightingSpaceType,0)*W296),INDEX(LPD2013WB,MATCH('Interior Lighting'!D296,LightingSpaceType,0)))</f>
        <v>#N/A</v>
      </c>
      <c r="O296" s="327">
        <f t="shared" si="63"/>
        <v>0</v>
      </c>
      <c r="P296" s="407" t="e">
        <f t="shared" si="53"/>
        <v>#N/A</v>
      </c>
      <c r="Q296" s="407" t="e">
        <f t="shared" si="64"/>
        <v>#N/A</v>
      </c>
      <c r="R296" s="407" t="e">
        <f t="shared" si="54"/>
        <v>#N/A</v>
      </c>
      <c r="S296" s="324">
        <f t="shared" si="55"/>
        <v>0</v>
      </c>
      <c r="T296" s="924" t="str">
        <f t="shared" si="56"/>
        <v/>
      </c>
      <c r="U296" s="1221" t="str">
        <f t="shared" si="65"/>
        <v/>
      </c>
      <c r="W296" s="1098">
        <f t="shared" si="57"/>
        <v>1</v>
      </c>
      <c r="X296" s="1098" t="e">
        <f>INDEX(OSReq,MATCH('Interior Lighting'!D296,LightingSpaceType,0))</f>
        <v>#N/A</v>
      </c>
      <c r="Y296" s="1098" t="e">
        <f t="shared" si="58"/>
        <v>#N/A</v>
      </c>
      <c r="Z296" s="1098" t="e">
        <f t="shared" si="59"/>
        <v>#N/A</v>
      </c>
      <c r="AA296" s="1098" t="e">
        <f>INDEX(Lookup!$O$9:$O$24,MATCH('Interior Lighting'!Z296,Lookup!$K$9:$K$24,0))</f>
        <v>#N/A</v>
      </c>
      <c r="AB296" s="1098" t="e">
        <f>IF(E296="A",INDEX(Lookup!$L$9:$L$24,MATCH(Z296,Lookup!$K$9:$K$24,0)),IF(E296="B",INDEX(Lookup!$M$9:$M$24,MATCH(Z296,Lookup!$K$9:$K$24,0)),IF(E296="C",INDEX(Lookup!$N$9:$N$24,MATCH(Z296,Lookup!$K$9:$K$24,0)),"N/A")))</f>
        <v>#N/A</v>
      </c>
    </row>
    <row r="297" spans="1:28">
      <c r="A297" s="1006"/>
      <c r="B297" s="69"/>
      <c r="C297" s="323"/>
      <c r="D297" s="323"/>
      <c r="E297" s="324" t="e">
        <f>INDEX(Lookup!$I$9:$I$24,MATCH('Interior Lighting'!D297,Lookup!$C$9:$C$24,0))</f>
        <v>#N/A</v>
      </c>
      <c r="F297" s="69"/>
      <c r="G297" s="69"/>
      <c r="H297" s="69"/>
      <c r="I297" s="324" t="e">
        <f t="shared" si="60"/>
        <v>#N/A</v>
      </c>
      <c r="J297" s="170"/>
      <c r="K297" s="325">
        <f t="shared" si="61"/>
        <v>0</v>
      </c>
      <c r="L297" s="326" t="e">
        <f t="shared" si="62"/>
        <v>#DIV/0!</v>
      </c>
      <c r="M297" s="326" t="str">
        <f>IF(H297="Yes",IF(D297='Drop Down'!$W$4,0.9*L297,IF(D297='Drop Down'!$W$5,0.9*L297,IF(D297='Drop Down'!$W$10,0.9*L297,IF(D297='Drop Down'!$W$16,0.9*L297,"No credit allowed.")))),"N/A")</f>
        <v>N/A</v>
      </c>
      <c r="N297" s="327" t="e">
        <f>IF($D$20="Space-By-Space (90.1-2013)",INDEX(LPD2013SS,MATCH('Interior Lighting'!D297,LightingSpaceType,0)*W297),INDEX(LPD2013WB,MATCH('Interior Lighting'!D297,LightingSpaceType,0)))</f>
        <v>#N/A</v>
      </c>
      <c r="O297" s="327">
        <f t="shared" si="63"/>
        <v>0</v>
      </c>
      <c r="P297" s="407" t="e">
        <f t="shared" si="53"/>
        <v>#N/A</v>
      </c>
      <c r="Q297" s="407" t="e">
        <f t="shared" si="64"/>
        <v>#N/A</v>
      </c>
      <c r="R297" s="407" t="e">
        <f t="shared" si="54"/>
        <v>#N/A</v>
      </c>
      <c r="S297" s="324">
        <f t="shared" si="55"/>
        <v>0</v>
      </c>
      <c r="T297" s="924" t="str">
        <f t="shared" si="56"/>
        <v/>
      </c>
      <c r="U297" s="1221" t="str">
        <f t="shared" si="65"/>
        <v/>
      </c>
      <c r="W297" s="1098">
        <f t="shared" si="57"/>
        <v>1</v>
      </c>
      <c r="X297" s="1098" t="e">
        <f>INDEX(OSReq,MATCH('Interior Lighting'!D297,LightingSpaceType,0))</f>
        <v>#N/A</v>
      </c>
      <c r="Y297" s="1098" t="e">
        <f t="shared" si="58"/>
        <v>#N/A</v>
      </c>
      <c r="Z297" s="1098" t="e">
        <f t="shared" si="59"/>
        <v>#N/A</v>
      </c>
      <c r="AA297" s="1098" t="e">
        <f>INDEX(Lookup!$O$9:$O$24,MATCH('Interior Lighting'!Z297,Lookup!$K$9:$K$24,0))</f>
        <v>#N/A</v>
      </c>
      <c r="AB297" s="1098" t="e">
        <f>IF(E297="A",INDEX(Lookup!$L$9:$L$24,MATCH(Z297,Lookup!$K$9:$K$24,0)),IF(E297="B",INDEX(Lookup!$M$9:$M$24,MATCH(Z297,Lookup!$K$9:$K$24,0)),IF(E297="C",INDEX(Lookup!$N$9:$N$24,MATCH(Z297,Lookup!$K$9:$K$24,0)),"N/A")))</f>
        <v>#N/A</v>
      </c>
    </row>
    <row r="298" spans="1:28">
      <c r="A298" s="1006"/>
      <c r="B298" s="69"/>
      <c r="C298" s="323"/>
      <c r="D298" s="323"/>
      <c r="E298" s="324" t="e">
        <f>INDEX(Lookup!$I$9:$I$24,MATCH('Interior Lighting'!D298,Lookup!$C$9:$C$24,0))</f>
        <v>#N/A</v>
      </c>
      <c r="F298" s="69"/>
      <c r="G298" s="69"/>
      <c r="H298" s="69"/>
      <c r="I298" s="324" t="e">
        <f t="shared" si="60"/>
        <v>#N/A</v>
      </c>
      <c r="J298" s="170"/>
      <c r="K298" s="325">
        <f t="shared" si="61"/>
        <v>0</v>
      </c>
      <c r="L298" s="326" t="e">
        <f t="shared" si="62"/>
        <v>#DIV/0!</v>
      </c>
      <c r="M298" s="326" t="str">
        <f>IF(H298="Yes",IF(D298='Drop Down'!$W$4,0.9*L298,IF(D298='Drop Down'!$W$5,0.9*L298,IF(D298='Drop Down'!$W$10,0.9*L298,IF(D298='Drop Down'!$W$16,0.9*L298,"No credit allowed.")))),"N/A")</f>
        <v>N/A</v>
      </c>
      <c r="N298" s="327" t="e">
        <f>IF($D$20="Space-By-Space (90.1-2013)",INDEX(LPD2013SS,MATCH('Interior Lighting'!D298,LightingSpaceType,0)*W298),INDEX(LPD2013WB,MATCH('Interior Lighting'!D298,LightingSpaceType,0)))</f>
        <v>#N/A</v>
      </c>
      <c r="O298" s="327">
        <f t="shared" si="63"/>
        <v>0</v>
      </c>
      <c r="P298" s="407" t="e">
        <f t="shared" si="53"/>
        <v>#N/A</v>
      </c>
      <c r="Q298" s="407" t="e">
        <f t="shared" si="64"/>
        <v>#N/A</v>
      </c>
      <c r="R298" s="407" t="e">
        <f t="shared" si="54"/>
        <v>#N/A</v>
      </c>
      <c r="S298" s="324">
        <f t="shared" si="55"/>
        <v>0</v>
      </c>
      <c r="T298" s="924" t="str">
        <f t="shared" si="56"/>
        <v/>
      </c>
      <c r="U298" s="1221" t="str">
        <f t="shared" si="65"/>
        <v/>
      </c>
      <c r="W298" s="1098">
        <f t="shared" si="57"/>
        <v>1</v>
      </c>
      <c r="X298" s="1098" t="e">
        <f>INDEX(OSReq,MATCH('Interior Lighting'!D298,LightingSpaceType,0))</f>
        <v>#N/A</v>
      </c>
      <c r="Y298" s="1098" t="e">
        <f t="shared" si="58"/>
        <v>#N/A</v>
      </c>
      <c r="Z298" s="1098" t="e">
        <f t="shared" si="59"/>
        <v>#N/A</v>
      </c>
      <c r="AA298" s="1098" t="e">
        <f>INDEX(Lookup!$O$9:$O$24,MATCH('Interior Lighting'!Z298,Lookup!$K$9:$K$24,0))</f>
        <v>#N/A</v>
      </c>
      <c r="AB298" s="1098" t="e">
        <f>IF(E298="A",INDEX(Lookup!$L$9:$L$24,MATCH(Z298,Lookup!$K$9:$K$24,0)),IF(E298="B",INDEX(Lookup!$M$9:$M$24,MATCH(Z298,Lookup!$K$9:$K$24,0)),IF(E298="C",INDEX(Lookup!$N$9:$N$24,MATCH(Z298,Lookup!$K$9:$K$24,0)),"N/A")))</f>
        <v>#N/A</v>
      </c>
    </row>
    <row r="299" spans="1:28">
      <c r="A299" s="1006"/>
      <c r="B299" s="69"/>
      <c r="C299" s="323"/>
      <c r="D299" s="323"/>
      <c r="E299" s="324" t="e">
        <f>INDEX(Lookup!$I$9:$I$24,MATCH('Interior Lighting'!D299,Lookup!$C$9:$C$24,0))</f>
        <v>#N/A</v>
      </c>
      <c r="F299" s="69"/>
      <c r="G299" s="69"/>
      <c r="H299" s="69"/>
      <c r="I299" s="324" t="e">
        <f t="shared" si="60"/>
        <v>#N/A</v>
      </c>
      <c r="J299" s="170"/>
      <c r="K299" s="325">
        <f t="shared" si="61"/>
        <v>0</v>
      </c>
      <c r="L299" s="326" t="e">
        <f t="shared" si="62"/>
        <v>#DIV/0!</v>
      </c>
      <c r="M299" s="326" t="str">
        <f>IF(H299="Yes",IF(D299='Drop Down'!$W$4,0.9*L299,IF(D299='Drop Down'!$W$5,0.9*L299,IF(D299='Drop Down'!$W$10,0.9*L299,IF(D299='Drop Down'!$W$16,0.9*L299,"No credit allowed.")))),"N/A")</f>
        <v>N/A</v>
      </c>
      <c r="N299" s="327" t="e">
        <f>IF($D$20="Space-By-Space (90.1-2013)",INDEX(LPD2013SS,MATCH('Interior Lighting'!D299,LightingSpaceType,0)*W299),INDEX(LPD2013WB,MATCH('Interior Lighting'!D299,LightingSpaceType,0)))</f>
        <v>#N/A</v>
      </c>
      <c r="O299" s="327">
        <f t="shared" si="63"/>
        <v>0</v>
      </c>
      <c r="P299" s="407" t="e">
        <f t="shared" si="53"/>
        <v>#N/A</v>
      </c>
      <c r="Q299" s="407" t="e">
        <f t="shared" si="64"/>
        <v>#N/A</v>
      </c>
      <c r="R299" s="407" t="e">
        <f t="shared" si="54"/>
        <v>#N/A</v>
      </c>
      <c r="S299" s="324">
        <f t="shared" si="55"/>
        <v>0</v>
      </c>
      <c r="T299" s="924" t="str">
        <f t="shared" si="56"/>
        <v/>
      </c>
      <c r="U299" s="1221" t="str">
        <f t="shared" si="65"/>
        <v/>
      </c>
      <c r="W299" s="1098">
        <f t="shared" si="57"/>
        <v>1</v>
      </c>
      <c r="X299" s="1098" t="e">
        <f>INDEX(OSReq,MATCH('Interior Lighting'!D299,LightingSpaceType,0))</f>
        <v>#N/A</v>
      </c>
      <c r="Y299" s="1098" t="e">
        <f t="shared" si="58"/>
        <v>#N/A</v>
      </c>
      <c r="Z299" s="1098" t="e">
        <f t="shared" si="59"/>
        <v>#N/A</v>
      </c>
      <c r="AA299" s="1098" t="e">
        <f>INDEX(Lookup!$O$9:$O$24,MATCH('Interior Lighting'!Z299,Lookup!$K$9:$K$24,0))</f>
        <v>#N/A</v>
      </c>
      <c r="AB299" s="1098" t="e">
        <f>IF(E299="A",INDEX(Lookup!$L$9:$L$24,MATCH(Z299,Lookup!$K$9:$K$24,0)),IF(E299="B",INDEX(Lookup!$M$9:$M$24,MATCH(Z299,Lookup!$K$9:$K$24,0)),IF(E299="C",INDEX(Lookup!$N$9:$N$24,MATCH(Z299,Lookup!$K$9:$K$24,0)),"N/A")))</f>
        <v>#N/A</v>
      </c>
    </row>
    <row r="300" spans="1:28">
      <c r="A300" s="1006"/>
      <c r="B300" s="69"/>
      <c r="C300" s="323"/>
      <c r="D300" s="323"/>
      <c r="E300" s="324" t="e">
        <f>INDEX(Lookup!$I$9:$I$24,MATCH('Interior Lighting'!D300,Lookup!$C$9:$C$24,0))</f>
        <v>#N/A</v>
      </c>
      <c r="F300" s="69"/>
      <c r="G300" s="69"/>
      <c r="H300" s="69"/>
      <c r="I300" s="324" t="e">
        <f t="shared" si="60"/>
        <v>#N/A</v>
      </c>
      <c r="J300" s="170"/>
      <c r="K300" s="325">
        <f t="shared" si="61"/>
        <v>0</v>
      </c>
      <c r="L300" s="326" t="e">
        <f t="shared" si="62"/>
        <v>#DIV/0!</v>
      </c>
      <c r="M300" s="326" t="str">
        <f>IF(H300="Yes",IF(D300='Drop Down'!$W$4,0.9*L300,IF(D300='Drop Down'!$W$5,0.9*L300,IF(D300='Drop Down'!$W$10,0.9*L300,IF(D300='Drop Down'!$W$16,0.9*L300,"No credit allowed.")))),"N/A")</f>
        <v>N/A</v>
      </c>
      <c r="N300" s="327" t="e">
        <f>IF($D$20="Space-By-Space (90.1-2013)",INDEX(LPD2013SS,MATCH('Interior Lighting'!D300,LightingSpaceType,0)*W300),INDEX(LPD2013WB,MATCH('Interior Lighting'!D300,LightingSpaceType,0)))</f>
        <v>#N/A</v>
      </c>
      <c r="O300" s="327">
        <f t="shared" si="63"/>
        <v>0</v>
      </c>
      <c r="P300" s="407" t="e">
        <f t="shared" si="53"/>
        <v>#N/A</v>
      </c>
      <c r="Q300" s="407" t="e">
        <f t="shared" si="64"/>
        <v>#N/A</v>
      </c>
      <c r="R300" s="407" t="e">
        <f t="shared" si="54"/>
        <v>#N/A</v>
      </c>
      <c r="S300" s="324">
        <f t="shared" si="55"/>
        <v>0</v>
      </c>
      <c r="T300" s="924" t="str">
        <f t="shared" si="56"/>
        <v/>
      </c>
      <c r="U300" s="1221" t="str">
        <f t="shared" si="65"/>
        <v/>
      </c>
      <c r="W300" s="1098">
        <f t="shared" si="57"/>
        <v>1</v>
      </c>
      <c r="X300" s="1098" t="e">
        <f>INDEX(OSReq,MATCH('Interior Lighting'!D300,LightingSpaceType,0))</f>
        <v>#N/A</v>
      </c>
      <c r="Y300" s="1098" t="e">
        <f t="shared" si="58"/>
        <v>#N/A</v>
      </c>
      <c r="Z300" s="1098" t="e">
        <f t="shared" si="59"/>
        <v>#N/A</v>
      </c>
      <c r="AA300" s="1098" t="e">
        <f>INDEX(Lookup!$O$9:$O$24,MATCH('Interior Lighting'!Z300,Lookup!$K$9:$K$24,0))</f>
        <v>#N/A</v>
      </c>
      <c r="AB300" s="1098" t="e">
        <f>IF(E300="A",INDEX(Lookup!$L$9:$L$24,MATCH(Z300,Lookup!$K$9:$K$24,0)),IF(E300="B",INDEX(Lookup!$M$9:$M$24,MATCH(Z300,Lookup!$K$9:$K$24,0)),IF(E300="C",INDEX(Lookup!$N$9:$N$24,MATCH(Z300,Lookup!$K$9:$K$24,0)),"N/A")))</f>
        <v>#N/A</v>
      </c>
    </row>
    <row r="301" spans="1:28">
      <c r="A301" s="1006"/>
      <c r="B301" s="69"/>
      <c r="C301" s="323"/>
      <c r="D301" s="323"/>
      <c r="E301" s="324" t="e">
        <f>INDEX(Lookup!$I$9:$I$24,MATCH('Interior Lighting'!D301,Lookup!$C$9:$C$24,0))</f>
        <v>#N/A</v>
      </c>
      <c r="F301" s="69"/>
      <c r="G301" s="69"/>
      <c r="H301" s="69"/>
      <c r="I301" s="324" t="e">
        <f t="shared" si="60"/>
        <v>#N/A</v>
      </c>
      <c r="J301" s="170"/>
      <c r="K301" s="325">
        <f t="shared" si="61"/>
        <v>0</v>
      </c>
      <c r="L301" s="326" t="e">
        <f t="shared" si="62"/>
        <v>#DIV/0!</v>
      </c>
      <c r="M301" s="326" t="str">
        <f>IF(H301="Yes",IF(D301='Drop Down'!$W$4,0.9*L301,IF(D301='Drop Down'!$W$5,0.9*L301,IF(D301='Drop Down'!$W$10,0.9*L301,IF(D301='Drop Down'!$W$16,0.9*L301,"No credit allowed.")))),"N/A")</f>
        <v>N/A</v>
      </c>
      <c r="N301" s="327" t="e">
        <f>IF($D$20="Space-By-Space (90.1-2013)",INDEX(LPD2013SS,MATCH('Interior Lighting'!D301,LightingSpaceType,0)*W301),INDEX(LPD2013WB,MATCH('Interior Lighting'!D301,LightingSpaceType,0)))</f>
        <v>#N/A</v>
      </c>
      <c r="O301" s="327">
        <f t="shared" si="63"/>
        <v>0</v>
      </c>
      <c r="P301" s="407" t="e">
        <f t="shared" si="53"/>
        <v>#N/A</v>
      </c>
      <c r="Q301" s="407" t="e">
        <f t="shared" si="64"/>
        <v>#N/A</v>
      </c>
      <c r="R301" s="407" t="e">
        <f t="shared" si="54"/>
        <v>#N/A</v>
      </c>
      <c r="S301" s="324">
        <f t="shared" si="55"/>
        <v>0</v>
      </c>
      <c r="T301" s="924" t="str">
        <f t="shared" si="56"/>
        <v/>
      </c>
      <c r="U301" s="1221" t="str">
        <f t="shared" si="65"/>
        <v/>
      </c>
      <c r="W301" s="1098">
        <f t="shared" si="57"/>
        <v>1</v>
      </c>
      <c r="X301" s="1098" t="e">
        <f>INDEX(OSReq,MATCH('Interior Lighting'!D301,LightingSpaceType,0))</f>
        <v>#N/A</v>
      </c>
      <c r="Y301" s="1098" t="e">
        <f t="shared" si="58"/>
        <v>#N/A</v>
      </c>
      <c r="Z301" s="1098" t="e">
        <f t="shared" si="59"/>
        <v>#N/A</v>
      </c>
      <c r="AA301" s="1098" t="e">
        <f>INDEX(Lookup!$O$9:$O$24,MATCH('Interior Lighting'!Z301,Lookup!$K$9:$K$24,0))</f>
        <v>#N/A</v>
      </c>
      <c r="AB301" s="1098" t="e">
        <f>IF(E301="A",INDEX(Lookup!$L$9:$L$24,MATCH(Z301,Lookup!$K$9:$K$24,0)),IF(E301="B",INDEX(Lookup!$M$9:$M$24,MATCH(Z301,Lookup!$K$9:$K$24,0)),IF(E301="C",INDEX(Lookup!$N$9:$N$24,MATCH(Z301,Lookup!$K$9:$K$24,0)),"N/A")))</f>
        <v>#N/A</v>
      </c>
    </row>
    <row r="302" spans="1:28">
      <c r="A302" s="1006"/>
      <c r="B302" s="69"/>
      <c r="C302" s="330"/>
      <c r="D302" s="323"/>
      <c r="E302" s="324" t="e">
        <f>INDEX(Lookup!$I$9:$I$24,MATCH('Interior Lighting'!D302,Lookup!$C$9:$C$24,0))</f>
        <v>#N/A</v>
      </c>
      <c r="F302" s="69"/>
      <c r="G302" s="69"/>
      <c r="H302" s="69"/>
      <c r="I302" s="324" t="e">
        <f t="shared" si="60"/>
        <v>#N/A</v>
      </c>
      <c r="J302" s="170"/>
      <c r="K302" s="325">
        <f t="shared" si="61"/>
        <v>0</v>
      </c>
      <c r="L302" s="326" t="e">
        <f t="shared" si="62"/>
        <v>#DIV/0!</v>
      </c>
      <c r="M302" s="326" t="str">
        <f>IF(H302="Yes",IF(D302='Drop Down'!$W$4,0.9*L302,IF(D302='Drop Down'!$W$5,0.9*L302,IF(D302='Drop Down'!$W$10,0.9*L302,IF(D302='Drop Down'!$W$16,0.9*L302,"No credit allowed.")))),"N/A")</f>
        <v>N/A</v>
      </c>
      <c r="N302" s="327" t="e">
        <f>IF($D$20="Space-By-Space (90.1-2013)",INDEX(LPD2013SS,MATCH('Interior Lighting'!D302,LightingSpaceType,0)*W302),INDEX(LPD2013WB,MATCH('Interior Lighting'!D302,LightingSpaceType,0)))</f>
        <v>#N/A</v>
      </c>
      <c r="O302" s="327">
        <f t="shared" si="63"/>
        <v>0</v>
      </c>
      <c r="P302" s="407" t="e">
        <f t="shared" si="53"/>
        <v>#N/A</v>
      </c>
      <c r="Q302" s="407" t="e">
        <f t="shared" si="64"/>
        <v>#N/A</v>
      </c>
      <c r="R302" s="407" t="e">
        <f t="shared" si="54"/>
        <v>#N/A</v>
      </c>
      <c r="S302" s="324">
        <f t="shared" si="55"/>
        <v>0</v>
      </c>
      <c r="T302" s="924" t="str">
        <f t="shared" si="56"/>
        <v/>
      </c>
      <c r="U302" s="1221" t="str">
        <f t="shared" si="65"/>
        <v/>
      </c>
      <c r="W302" s="1098">
        <f t="shared" si="57"/>
        <v>1</v>
      </c>
      <c r="X302" s="1098" t="e">
        <f>INDEX(OSReq,MATCH('Interior Lighting'!D302,LightingSpaceType,0))</f>
        <v>#N/A</v>
      </c>
      <c r="Y302" s="1098" t="e">
        <f t="shared" si="58"/>
        <v>#N/A</v>
      </c>
      <c r="Z302" s="1098" t="e">
        <f t="shared" si="59"/>
        <v>#N/A</v>
      </c>
      <c r="AA302" s="1098" t="e">
        <f>INDEX(Lookup!$O$9:$O$24,MATCH('Interior Lighting'!Z302,Lookup!$K$9:$K$24,0))</f>
        <v>#N/A</v>
      </c>
      <c r="AB302" s="1098" t="e">
        <f>IF(E302="A",INDEX(Lookup!$L$9:$L$24,MATCH(Z302,Lookup!$K$9:$K$24,0)),IF(E302="B",INDEX(Lookup!$M$9:$M$24,MATCH(Z302,Lookup!$K$9:$K$24,0)),IF(E302="C",INDEX(Lookup!$N$9:$N$24,MATCH(Z302,Lookup!$K$9:$K$24,0)),"N/A")))</f>
        <v>#N/A</v>
      </c>
    </row>
    <row r="303" spans="1:28" ht="11.25" customHeight="1">
      <c r="A303" s="1006"/>
      <c r="B303" s="69"/>
      <c r="C303" s="323"/>
      <c r="D303" s="323"/>
      <c r="E303" s="324" t="e">
        <f>INDEX(Lookup!$I$9:$I$24,MATCH('Interior Lighting'!D303,Lookup!$C$9:$C$24,0))</f>
        <v>#N/A</v>
      </c>
      <c r="F303" s="69"/>
      <c r="G303" s="69"/>
      <c r="H303" s="69"/>
      <c r="I303" s="324" t="e">
        <f t="shared" si="60"/>
        <v>#N/A</v>
      </c>
      <c r="J303" s="170"/>
      <c r="K303" s="325">
        <f t="shared" si="61"/>
        <v>0</v>
      </c>
      <c r="L303" s="326" t="e">
        <f t="shared" si="62"/>
        <v>#DIV/0!</v>
      </c>
      <c r="M303" s="326" t="str">
        <f>IF(H303="Yes",IF(D303='Drop Down'!$W$4,0.9*L303,IF(D303='Drop Down'!$W$5,0.9*L303,IF(D303='Drop Down'!$W$10,0.9*L303,IF(D303='Drop Down'!$W$16,0.9*L303,"No credit allowed.")))),"N/A")</f>
        <v>N/A</v>
      </c>
      <c r="N303" s="327" t="e">
        <f>IF($D$20="Space-By-Space (90.1-2013)",INDEX(LPD2013SS,MATCH('Interior Lighting'!D303,LightingSpaceType,0)*W303),INDEX(LPD2013WB,MATCH('Interior Lighting'!D303,LightingSpaceType,0)))</f>
        <v>#N/A</v>
      </c>
      <c r="O303" s="327">
        <f t="shared" si="63"/>
        <v>0</v>
      </c>
      <c r="P303" s="407" t="e">
        <f t="shared" si="53"/>
        <v>#N/A</v>
      </c>
      <c r="Q303" s="407" t="e">
        <f t="shared" si="64"/>
        <v>#N/A</v>
      </c>
      <c r="R303" s="407" t="e">
        <f t="shared" si="54"/>
        <v>#N/A</v>
      </c>
      <c r="S303" s="324">
        <f t="shared" si="55"/>
        <v>0</v>
      </c>
      <c r="T303" s="924" t="str">
        <f t="shared" si="56"/>
        <v/>
      </c>
      <c r="U303" s="1221" t="str">
        <f t="shared" si="65"/>
        <v/>
      </c>
      <c r="W303" s="1098">
        <f t="shared" si="57"/>
        <v>1</v>
      </c>
      <c r="X303" s="1098" t="e">
        <f>INDEX(OSReq,MATCH('Interior Lighting'!D303,LightingSpaceType,0))</f>
        <v>#N/A</v>
      </c>
      <c r="Y303" s="1098" t="e">
        <f t="shared" si="58"/>
        <v>#N/A</v>
      </c>
      <c r="Z303" s="1098" t="e">
        <f t="shared" si="59"/>
        <v>#N/A</v>
      </c>
      <c r="AA303" s="1098" t="e">
        <f>INDEX(Lookup!$O$9:$O$24,MATCH('Interior Lighting'!Z303,Lookup!$K$9:$K$24,0))</f>
        <v>#N/A</v>
      </c>
      <c r="AB303" s="1098" t="e">
        <f>IF(E303="A",INDEX(Lookup!$L$9:$L$24,MATCH(Z303,Lookup!$K$9:$K$24,0)),IF(E303="B",INDEX(Lookup!$M$9:$M$24,MATCH(Z303,Lookup!$K$9:$K$24,0)),IF(E303="C",INDEX(Lookup!$N$9:$N$24,MATCH(Z303,Lookup!$K$9:$K$24,0)),"N/A")))</f>
        <v>#N/A</v>
      </c>
    </row>
    <row r="304" spans="1:28" ht="12.75" customHeight="1">
      <c r="A304" s="1006"/>
      <c r="B304" s="69"/>
      <c r="C304" s="323"/>
      <c r="D304" s="323"/>
      <c r="E304" s="324" t="e">
        <f>INDEX(Lookup!$I$9:$I$24,MATCH('Interior Lighting'!D304,Lookup!$C$9:$C$24,0))</f>
        <v>#N/A</v>
      </c>
      <c r="F304" s="69"/>
      <c r="G304" s="69"/>
      <c r="H304" s="69"/>
      <c r="I304" s="324" t="e">
        <f t="shared" si="60"/>
        <v>#N/A</v>
      </c>
      <c r="J304" s="170"/>
      <c r="K304" s="325">
        <f t="shared" si="61"/>
        <v>0</v>
      </c>
      <c r="L304" s="326" t="e">
        <f t="shared" si="62"/>
        <v>#DIV/0!</v>
      </c>
      <c r="M304" s="326" t="str">
        <f>IF(H304="Yes",IF(D304='Drop Down'!$W$4,0.9*L304,IF(D304='Drop Down'!$W$5,0.9*L304,IF(D304='Drop Down'!$W$10,0.9*L304,IF(D304='Drop Down'!$W$16,0.9*L304,"No credit allowed.")))),"N/A")</f>
        <v>N/A</v>
      </c>
      <c r="N304" s="327" t="e">
        <f>IF($D$20="Space-By-Space (90.1-2013)",INDEX(LPD2013SS,MATCH('Interior Lighting'!D304,LightingSpaceType,0)*W304),INDEX(LPD2013WB,MATCH('Interior Lighting'!D304,LightingSpaceType,0)))</f>
        <v>#N/A</v>
      </c>
      <c r="O304" s="327">
        <f t="shared" si="63"/>
        <v>0</v>
      </c>
      <c r="P304" s="407" t="e">
        <f t="shared" si="53"/>
        <v>#N/A</v>
      </c>
      <c r="Q304" s="407" t="e">
        <f t="shared" si="64"/>
        <v>#N/A</v>
      </c>
      <c r="R304" s="407" t="e">
        <f t="shared" si="54"/>
        <v>#N/A</v>
      </c>
      <c r="S304" s="324">
        <f t="shared" si="55"/>
        <v>0</v>
      </c>
      <c r="T304" s="924" t="str">
        <f t="shared" si="56"/>
        <v/>
      </c>
      <c r="U304" s="1221" t="str">
        <f t="shared" si="65"/>
        <v/>
      </c>
      <c r="W304" s="1098">
        <f t="shared" si="57"/>
        <v>1</v>
      </c>
      <c r="X304" s="1098" t="e">
        <f>INDEX(OSReq,MATCH('Interior Lighting'!D304,LightingSpaceType,0))</f>
        <v>#N/A</v>
      </c>
      <c r="Y304" s="1098" t="e">
        <f t="shared" si="58"/>
        <v>#N/A</v>
      </c>
      <c r="Z304" s="1098" t="e">
        <f t="shared" si="59"/>
        <v>#N/A</v>
      </c>
      <c r="AA304" s="1098" t="e">
        <f>INDEX(Lookup!$O$9:$O$24,MATCH('Interior Lighting'!Z304,Lookup!$K$9:$K$24,0))</f>
        <v>#N/A</v>
      </c>
      <c r="AB304" s="1098" t="e">
        <f>IF(E304="A",INDEX(Lookup!$L$9:$L$24,MATCH(Z304,Lookup!$K$9:$K$24,0)),IF(E304="B",INDEX(Lookup!$M$9:$M$24,MATCH(Z304,Lookup!$K$9:$K$24,0)),IF(E304="C",INDEX(Lookup!$N$9:$N$24,MATCH(Z304,Lookup!$K$9:$K$24,0)),"N/A")))</f>
        <v>#N/A</v>
      </c>
    </row>
    <row r="305" spans="1:28" ht="12.75" customHeight="1">
      <c r="A305" s="1006"/>
      <c r="B305" s="69"/>
      <c r="C305" s="323"/>
      <c r="D305" s="323"/>
      <c r="E305" s="324" t="e">
        <f>INDEX(Lookup!$I$9:$I$24,MATCH('Interior Lighting'!D305,Lookup!$C$9:$C$24,0))</f>
        <v>#N/A</v>
      </c>
      <c r="F305" s="69"/>
      <c r="G305" s="69"/>
      <c r="H305" s="69"/>
      <c r="I305" s="324" t="e">
        <f t="shared" si="60"/>
        <v>#N/A</v>
      </c>
      <c r="J305" s="170"/>
      <c r="K305" s="325">
        <f t="shared" si="61"/>
        <v>0</v>
      </c>
      <c r="L305" s="326" t="e">
        <f t="shared" si="62"/>
        <v>#DIV/0!</v>
      </c>
      <c r="M305" s="326" t="str">
        <f>IF(H305="Yes",IF(D305='Drop Down'!$W$4,0.9*L305,IF(D305='Drop Down'!$W$5,0.9*L305,IF(D305='Drop Down'!$W$10,0.9*L305,IF(D305='Drop Down'!$W$16,0.9*L305,"No credit allowed.")))),"N/A")</f>
        <v>N/A</v>
      </c>
      <c r="N305" s="327" t="e">
        <f>IF($D$20="Space-By-Space (90.1-2013)",INDEX(LPD2013SS,MATCH('Interior Lighting'!D305,LightingSpaceType,0)*W305),INDEX(LPD2013WB,MATCH('Interior Lighting'!D305,LightingSpaceType,0)))</f>
        <v>#N/A</v>
      </c>
      <c r="O305" s="327">
        <f t="shared" si="63"/>
        <v>0</v>
      </c>
      <c r="P305" s="407" t="e">
        <f t="shared" si="53"/>
        <v>#N/A</v>
      </c>
      <c r="Q305" s="407" t="e">
        <f t="shared" si="64"/>
        <v>#N/A</v>
      </c>
      <c r="R305" s="407" t="e">
        <f t="shared" si="54"/>
        <v>#N/A</v>
      </c>
      <c r="S305" s="324">
        <f t="shared" si="55"/>
        <v>0</v>
      </c>
      <c r="T305" s="924" t="str">
        <f t="shared" si="56"/>
        <v/>
      </c>
      <c r="U305" s="1221" t="str">
        <f t="shared" si="65"/>
        <v/>
      </c>
      <c r="W305" s="1098">
        <f t="shared" si="57"/>
        <v>1</v>
      </c>
      <c r="X305" s="1098" t="e">
        <f>INDEX(OSReq,MATCH('Interior Lighting'!D305,LightingSpaceType,0))</f>
        <v>#N/A</v>
      </c>
      <c r="Y305" s="1098" t="e">
        <f t="shared" si="58"/>
        <v>#N/A</v>
      </c>
      <c r="Z305" s="1098" t="e">
        <f t="shared" si="59"/>
        <v>#N/A</v>
      </c>
      <c r="AA305" s="1098" t="e">
        <f>INDEX(Lookup!$O$9:$O$24,MATCH('Interior Lighting'!Z305,Lookup!$K$9:$K$24,0))</f>
        <v>#N/A</v>
      </c>
      <c r="AB305" s="1098" t="e">
        <f>IF(E305="A",INDEX(Lookup!$L$9:$L$24,MATCH(Z305,Lookup!$K$9:$K$24,0)),IF(E305="B",INDEX(Lookup!$M$9:$M$24,MATCH(Z305,Lookup!$K$9:$K$24,0)),IF(E305="C",INDEX(Lookup!$N$9:$N$24,MATCH(Z305,Lookup!$K$9:$K$24,0)),"N/A")))</f>
        <v>#N/A</v>
      </c>
    </row>
    <row r="306" spans="1:28">
      <c r="A306" s="1006"/>
      <c r="B306" s="69"/>
      <c r="C306" s="323"/>
      <c r="D306" s="323"/>
      <c r="E306" s="324" t="e">
        <f>INDEX(Lookup!$I$9:$I$24,MATCH('Interior Lighting'!D306,Lookup!$C$9:$C$24,0))</f>
        <v>#N/A</v>
      </c>
      <c r="F306" s="69"/>
      <c r="G306" s="69"/>
      <c r="H306" s="69"/>
      <c r="I306" s="324" t="e">
        <f t="shared" si="60"/>
        <v>#N/A</v>
      </c>
      <c r="J306" s="170"/>
      <c r="K306" s="325">
        <f t="shared" si="61"/>
        <v>0</v>
      </c>
      <c r="L306" s="326" t="e">
        <f t="shared" si="62"/>
        <v>#DIV/0!</v>
      </c>
      <c r="M306" s="326" t="str">
        <f>IF(H306="Yes",IF(D306='Drop Down'!$W$4,0.9*L306,IF(D306='Drop Down'!$W$5,0.9*L306,IF(D306='Drop Down'!$W$10,0.9*L306,IF(D306='Drop Down'!$W$16,0.9*L306,"No credit allowed.")))),"N/A")</f>
        <v>N/A</v>
      </c>
      <c r="N306" s="327" t="e">
        <f>IF($D$20="Space-By-Space (90.1-2013)",INDEX(LPD2013SS,MATCH('Interior Lighting'!D306,LightingSpaceType,0)*W306),INDEX(LPD2013WB,MATCH('Interior Lighting'!D306,LightingSpaceType,0)))</f>
        <v>#N/A</v>
      </c>
      <c r="O306" s="327">
        <f t="shared" si="63"/>
        <v>0</v>
      </c>
      <c r="P306" s="407" t="e">
        <f t="shared" si="53"/>
        <v>#N/A</v>
      </c>
      <c r="Q306" s="407" t="e">
        <f t="shared" si="64"/>
        <v>#N/A</v>
      </c>
      <c r="R306" s="407" t="e">
        <f t="shared" si="54"/>
        <v>#N/A</v>
      </c>
      <c r="S306" s="324">
        <f t="shared" si="55"/>
        <v>0</v>
      </c>
      <c r="T306" s="924" t="str">
        <f t="shared" si="56"/>
        <v/>
      </c>
      <c r="U306" s="1221" t="str">
        <f t="shared" si="65"/>
        <v/>
      </c>
      <c r="W306" s="1098">
        <f t="shared" si="57"/>
        <v>1</v>
      </c>
      <c r="X306" s="1098" t="e">
        <f>INDEX(OSReq,MATCH('Interior Lighting'!D306,LightingSpaceType,0))</f>
        <v>#N/A</v>
      </c>
      <c r="Y306" s="1098" t="e">
        <f t="shared" si="58"/>
        <v>#N/A</v>
      </c>
      <c r="Z306" s="1098" t="e">
        <f t="shared" si="59"/>
        <v>#N/A</v>
      </c>
      <c r="AA306" s="1098" t="e">
        <f>INDEX(Lookup!$O$9:$O$24,MATCH('Interior Lighting'!Z306,Lookup!$K$9:$K$24,0))</f>
        <v>#N/A</v>
      </c>
      <c r="AB306" s="1098" t="e">
        <f>IF(E306="A",INDEX(Lookup!$L$9:$L$24,MATCH(Z306,Lookup!$K$9:$K$24,0)),IF(E306="B",INDEX(Lookup!$M$9:$M$24,MATCH(Z306,Lookup!$K$9:$K$24,0)),IF(E306="C",INDEX(Lookup!$N$9:$N$24,MATCH(Z306,Lookup!$K$9:$K$24,0)),"N/A")))</f>
        <v>#N/A</v>
      </c>
    </row>
    <row r="307" spans="1:28">
      <c r="A307" s="1006"/>
      <c r="B307" s="69"/>
      <c r="C307" s="323"/>
      <c r="D307" s="323"/>
      <c r="E307" s="324" t="e">
        <f>INDEX(Lookup!$I$9:$I$24,MATCH('Interior Lighting'!D307,Lookup!$C$9:$C$24,0))</f>
        <v>#N/A</v>
      </c>
      <c r="F307" s="69"/>
      <c r="G307" s="69"/>
      <c r="H307" s="69"/>
      <c r="I307" s="324" t="e">
        <f t="shared" si="60"/>
        <v>#N/A</v>
      </c>
      <c r="J307" s="170"/>
      <c r="K307" s="325">
        <f t="shared" si="61"/>
        <v>0</v>
      </c>
      <c r="L307" s="326" t="e">
        <f t="shared" si="62"/>
        <v>#DIV/0!</v>
      </c>
      <c r="M307" s="326" t="str">
        <f>IF(H307="Yes",IF(D307='Drop Down'!$W$4,0.9*L307,IF(D307='Drop Down'!$W$5,0.9*L307,IF(D307='Drop Down'!$W$10,0.9*L307,IF(D307='Drop Down'!$W$16,0.9*L307,"No credit allowed.")))),"N/A")</f>
        <v>N/A</v>
      </c>
      <c r="N307" s="327" t="e">
        <f>IF($D$20="Space-By-Space (90.1-2013)",INDEX(LPD2013SS,MATCH('Interior Lighting'!D307,LightingSpaceType,0)*W307),INDEX(LPD2013WB,MATCH('Interior Lighting'!D307,LightingSpaceType,0)))</f>
        <v>#N/A</v>
      </c>
      <c r="O307" s="327">
        <f t="shared" si="63"/>
        <v>0</v>
      </c>
      <c r="P307" s="407" t="e">
        <f t="shared" si="53"/>
        <v>#N/A</v>
      </c>
      <c r="Q307" s="407" t="e">
        <f t="shared" si="64"/>
        <v>#N/A</v>
      </c>
      <c r="R307" s="407" t="e">
        <f t="shared" si="54"/>
        <v>#N/A</v>
      </c>
      <c r="S307" s="324">
        <f t="shared" si="55"/>
        <v>0</v>
      </c>
      <c r="T307" s="924" t="str">
        <f t="shared" si="56"/>
        <v/>
      </c>
      <c r="U307" s="1221" t="str">
        <f t="shared" si="65"/>
        <v/>
      </c>
      <c r="W307" s="1098">
        <f t="shared" si="57"/>
        <v>1</v>
      </c>
      <c r="X307" s="1098" t="e">
        <f>INDEX(OSReq,MATCH('Interior Lighting'!D307,LightingSpaceType,0))</f>
        <v>#N/A</v>
      </c>
      <c r="Y307" s="1098" t="e">
        <f t="shared" si="58"/>
        <v>#N/A</v>
      </c>
      <c r="Z307" s="1098" t="e">
        <f t="shared" si="59"/>
        <v>#N/A</v>
      </c>
      <c r="AA307" s="1098" t="e">
        <f>INDEX(Lookup!$O$9:$O$24,MATCH('Interior Lighting'!Z307,Lookup!$K$9:$K$24,0))</f>
        <v>#N/A</v>
      </c>
      <c r="AB307" s="1098" t="e">
        <f>IF(E307="A",INDEX(Lookup!$L$9:$L$24,MATCH(Z307,Lookup!$K$9:$K$24,0)),IF(E307="B",INDEX(Lookup!$M$9:$M$24,MATCH(Z307,Lookup!$K$9:$K$24,0)),IF(E307="C",INDEX(Lookup!$N$9:$N$24,MATCH(Z307,Lookup!$K$9:$K$24,0)),"N/A")))</f>
        <v>#N/A</v>
      </c>
    </row>
    <row r="308" spans="1:28">
      <c r="A308" s="1006"/>
      <c r="B308" s="69"/>
      <c r="C308" s="330"/>
      <c r="D308" s="323"/>
      <c r="E308" s="324" t="e">
        <f>INDEX(Lookup!$I$9:$I$24,MATCH('Interior Lighting'!D308,Lookup!$C$9:$C$24,0))</f>
        <v>#N/A</v>
      </c>
      <c r="F308" s="69"/>
      <c r="G308" s="69"/>
      <c r="H308" s="69"/>
      <c r="I308" s="324" t="e">
        <f t="shared" si="60"/>
        <v>#N/A</v>
      </c>
      <c r="J308" s="170"/>
      <c r="K308" s="325">
        <f t="shared" si="61"/>
        <v>0</v>
      </c>
      <c r="L308" s="326" t="e">
        <f t="shared" si="62"/>
        <v>#DIV/0!</v>
      </c>
      <c r="M308" s="326" t="str">
        <f>IF(H308="Yes",IF(D308='Drop Down'!$W$4,0.9*L308,IF(D308='Drop Down'!$W$5,0.9*L308,IF(D308='Drop Down'!$W$10,0.9*L308,IF(D308='Drop Down'!$W$16,0.9*L308,"No credit allowed.")))),"N/A")</f>
        <v>N/A</v>
      </c>
      <c r="N308" s="327" t="e">
        <f>IF($D$20="Space-By-Space (90.1-2013)",INDEX(LPD2013SS,MATCH('Interior Lighting'!D308,LightingSpaceType,0)*W308),INDEX(LPD2013WB,MATCH('Interior Lighting'!D308,LightingSpaceType,0)))</f>
        <v>#N/A</v>
      </c>
      <c r="O308" s="327">
        <f t="shared" si="63"/>
        <v>0</v>
      </c>
      <c r="P308" s="407" t="e">
        <f t="shared" si="53"/>
        <v>#N/A</v>
      </c>
      <c r="Q308" s="407" t="e">
        <f t="shared" si="64"/>
        <v>#N/A</v>
      </c>
      <c r="R308" s="407" t="e">
        <f t="shared" si="54"/>
        <v>#N/A</v>
      </c>
      <c r="S308" s="324">
        <f t="shared" si="55"/>
        <v>0</v>
      </c>
      <c r="T308" s="924" t="str">
        <f t="shared" si="56"/>
        <v/>
      </c>
      <c r="U308" s="1221" t="str">
        <f t="shared" si="65"/>
        <v/>
      </c>
      <c r="W308" s="1098">
        <f t="shared" si="57"/>
        <v>1</v>
      </c>
      <c r="X308" s="1098" t="e">
        <f>INDEX(OSReq,MATCH('Interior Lighting'!D308,LightingSpaceType,0))</f>
        <v>#N/A</v>
      </c>
      <c r="Y308" s="1098" t="e">
        <f t="shared" si="58"/>
        <v>#N/A</v>
      </c>
      <c r="Z308" s="1098" t="e">
        <f t="shared" si="59"/>
        <v>#N/A</v>
      </c>
      <c r="AA308" s="1098" t="e">
        <f>INDEX(Lookup!$O$9:$O$24,MATCH('Interior Lighting'!Z308,Lookup!$K$9:$K$24,0))</f>
        <v>#N/A</v>
      </c>
      <c r="AB308" s="1098" t="e">
        <f>IF(E308="A",INDEX(Lookup!$L$9:$L$24,MATCH(Z308,Lookup!$K$9:$K$24,0)),IF(E308="B",INDEX(Lookup!$M$9:$M$24,MATCH(Z308,Lookup!$K$9:$K$24,0)),IF(E308="C",INDEX(Lookup!$N$9:$N$24,MATCH(Z308,Lookup!$K$9:$K$24,0)),"N/A")))</f>
        <v>#N/A</v>
      </c>
    </row>
    <row r="309" spans="1:28" ht="11.25" customHeight="1">
      <c r="A309" s="1006"/>
      <c r="B309" s="69"/>
      <c r="C309" s="323"/>
      <c r="D309" s="323"/>
      <c r="E309" s="324" t="e">
        <f>INDEX(Lookup!$I$9:$I$24,MATCH('Interior Lighting'!D309,Lookup!$C$9:$C$24,0))</f>
        <v>#N/A</v>
      </c>
      <c r="F309" s="69"/>
      <c r="G309" s="69"/>
      <c r="H309" s="69"/>
      <c r="I309" s="324" t="e">
        <f t="shared" si="60"/>
        <v>#N/A</v>
      </c>
      <c r="J309" s="170"/>
      <c r="K309" s="325">
        <f t="shared" si="61"/>
        <v>0</v>
      </c>
      <c r="L309" s="326" t="e">
        <f t="shared" si="62"/>
        <v>#DIV/0!</v>
      </c>
      <c r="M309" s="326" t="str">
        <f>IF(H309="Yes",IF(D309='Drop Down'!$W$4,0.9*L309,IF(D309='Drop Down'!$W$5,0.9*L309,IF(D309='Drop Down'!$W$10,0.9*L309,IF(D309='Drop Down'!$W$16,0.9*L309,"No credit allowed.")))),"N/A")</f>
        <v>N/A</v>
      </c>
      <c r="N309" s="327" t="e">
        <f>IF($D$20="Space-By-Space (90.1-2013)",INDEX(LPD2013SS,MATCH('Interior Lighting'!D309,LightingSpaceType,0)*W309),INDEX(LPD2013WB,MATCH('Interior Lighting'!D309,LightingSpaceType,0)))</f>
        <v>#N/A</v>
      </c>
      <c r="O309" s="327">
        <f t="shared" si="63"/>
        <v>0</v>
      </c>
      <c r="P309" s="407" t="e">
        <f t="shared" si="53"/>
        <v>#N/A</v>
      </c>
      <c r="Q309" s="407" t="e">
        <f t="shared" si="64"/>
        <v>#N/A</v>
      </c>
      <c r="R309" s="407" t="e">
        <f t="shared" si="54"/>
        <v>#N/A</v>
      </c>
      <c r="S309" s="324">
        <f t="shared" si="55"/>
        <v>0</v>
      </c>
      <c r="T309" s="924" t="str">
        <f t="shared" si="56"/>
        <v/>
      </c>
      <c r="U309" s="1221" t="str">
        <f t="shared" si="65"/>
        <v/>
      </c>
      <c r="W309" s="1098">
        <f t="shared" si="57"/>
        <v>1</v>
      </c>
      <c r="X309" s="1098" t="e">
        <f>INDEX(OSReq,MATCH('Interior Lighting'!D309,LightingSpaceType,0))</f>
        <v>#N/A</v>
      </c>
      <c r="Y309" s="1098" t="e">
        <f t="shared" si="58"/>
        <v>#N/A</v>
      </c>
      <c r="Z309" s="1098" t="e">
        <f t="shared" si="59"/>
        <v>#N/A</v>
      </c>
      <c r="AA309" s="1098" t="e">
        <f>INDEX(Lookup!$O$9:$O$24,MATCH('Interior Lighting'!Z309,Lookup!$K$9:$K$24,0))</f>
        <v>#N/A</v>
      </c>
      <c r="AB309" s="1098" t="e">
        <f>IF(E309="A",INDEX(Lookup!$L$9:$L$24,MATCH(Z309,Lookup!$K$9:$K$24,0)),IF(E309="B",INDEX(Lookup!$M$9:$M$24,MATCH(Z309,Lookup!$K$9:$K$24,0)),IF(E309="C",INDEX(Lookup!$N$9:$N$24,MATCH(Z309,Lookup!$K$9:$K$24,0)),"N/A")))</f>
        <v>#N/A</v>
      </c>
    </row>
    <row r="310" spans="1:28">
      <c r="A310" s="1006"/>
      <c r="B310" s="69"/>
      <c r="C310" s="323"/>
      <c r="D310" s="323"/>
      <c r="E310" s="324" t="e">
        <f>INDEX(Lookup!$I$9:$I$24,MATCH('Interior Lighting'!D310,Lookup!$C$9:$C$24,0))</f>
        <v>#N/A</v>
      </c>
      <c r="F310" s="69"/>
      <c r="G310" s="69"/>
      <c r="H310" s="69"/>
      <c r="I310" s="324" t="e">
        <f t="shared" si="60"/>
        <v>#N/A</v>
      </c>
      <c r="J310" s="170"/>
      <c r="K310" s="325">
        <f t="shared" si="61"/>
        <v>0</v>
      </c>
      <c r="L310" s="326" t="e">
        <f t="shared" si="62"/>
        <v>#DIV/0!</v>
      </c>
      <c r="M310" s="326" t="str">
        <f>IF(H310="Yes",IF(D310='Drop Down'!$W$4,0.9*L310,IF(D310='Drop Down'!$W$5,0.9*L310,IF(D310='Drop Down'!$W$10,0.9*L310,IF(D310='Drop Down'!$W$16,0.9*L310,"No credit allowed.")))),"N/A")</f>
        <v>N/A</v>
      </c>
      <c r="N310" s="327" t="e">
        <f>IF($D$20="Space-By-Space (90.1-2013)",INDEX(LPD2013SS,MATCH('Interior Lighting'!D310,LightingSpaceType,0)*W310),INDEX(LPD2013WB,MATCH('Interior Lighting'!D310,LightingSpaceType,0)))</f>
        <v>#N/A</v>
      </c>
      <c r="O310" s="327">
        <f t="shared" si="63"/>
        <v>0</v>
      </c>
      <c r="P310" s="407" t="e">
        <f t="shared" si="53"/>
        <v>#N/A</v>
      </c>
      <c r="Q310" s="407" t="e">
        <f t="shared" si="64"/>
        <v>#N/A</v>
      </c>
      <c r="R310" s="407" t="e">
        <f t="shared" si="54"/>
        <v>#N/A</v>
      </c>
      <c r="S310" s="324">
        <f t="shared" si="55"/>
        <v>0</v>
      </c>
      <c r="T310" s="924" t="str">
        <f t="shared" si="56"/>
        <v/>
      </c>
      <c r="U310" s="1221" t="str">
        <f t="shared" si="65"/>
        <v/>
      </c>
      <c r="W310" s="1098">
        <f t="shared" si="57"/>
        <v>1</v>
      </c>
      <c r="X310" s="1098" t="e">
        <f>INDEX(OSReq,MATCH('Interior Lighting'!D310,LightingSpaceType,0))</f>
        <v>#N/A</v>
      </c>
      <c r="Y310" s="1098" t="e">
        <f t="shared" si="58"/>
        <v>#N/A</v>
      </c>
      <c r="Z310" s="1098" t="e">
        <f t="shared" si="59"/>
        <v>#N/A</v>
      </c>
      <c r="AA310" s="1098" t="e">
        <f>INDEX(Lookup!$O$9:$O$24,MATCH('Interior Lighting'!Z310,Lookup!$K$9:$K$24,0))</f>
        <v>#N/A</v>
      </c>
      <c r="AB310" s="1098" t="e">
        <f>IF(E310="A",INDEX(Lookup!$L$9:$L$24,MATCH(Z310,Lookup!$K$9:$K$24,0)),IF(E310="B",INDEX(Lookup!$M$9:$M$24,MATCH(Z310,Lookup!$K$9:$K$24,0)),IF(E310="C",INDEX(Lookup!$N$9:$N$24,MATCH(Z310,Lookup!$K$9:$K$24,0)),"N/A")))</f>
        <v>#N/A</v>
      </c>
    </row>
    <row r="311" spans="1:28">
      <c r="A311" s="1006"/>
      <c r="B311" s="69"/>
      <c r="C311" s="323"/>
      <c r="D311" s="323"/>
      <c r="E311" s="324" t="e">
        <f>INDEX(Lookup!$I$9:$I$24,MATCH('Interior Lighting'!D311,Lookup!$C$9:$C$24,0))</f>
        <v>#N/A</v>
      </c>
      <c r="F311" s="69"/>
      <c r="G311" s="69"/>
      <c r="H311" s="69"/>
      <c r="I311" s="324" t="e">
        <f t="shared" si="60"/>
        <v>#N/A</v>
      </c>
      <c r="J311" s="170"/>
      <c r="K311" s="325">
        <f t="shared" si="61"/>
        <v>0</v>
      </c>
      <c r="L311" s="326" t="e">
        <f t="shared" si="62"/>
        <v>#DIV/0!</v>
      </c>
      <c r="M311" s="326" t="str">
        <f>IF(H311="Yes",IF(D311='Drop Down'!$W$4,0.9*L311,IF(D311='Drop Down'!$W$5,0.9*L311,IF(D311='Drop Down'!$W$10,0.9*L311,IF(D311='Drop Down'!$W$16,0.9*L311,"No credit allowed.")))),"N/A")</f>
        <v>N/A</v>
      </c>
      <c r="N311" s="327" t="e">
        <f>IF($D$20="Space-By-Space (90.1-2013)",INDEX(LPD2013SS,MATCH('Interior Lighting'!D311,LightingSpaceType,0)*W311),INDEX(LPD2013WB,MATCH('Interior Lighting'!D311,LightingSpaceType,0)))</f>
        <v>#N/A</v>
      </c>
      <c r="O311" s="327">
        <f t="shared" si="63"/>
        <v>0</v>
      </c>
      <c r="P311" s="407" t="e">
        <f t="shared" si="53"/>
        <v>#N/A</v>
      </c>
      <c r="Q311" s="407" t="e">
        <f t="shared" si="64"/>
        <v>#N/A</v>
      </c>
      <c r="R311" s="407" t="e">
        <f t="shared" si="54"/>
        <v>#N/A</v>
      </c>
      <c r="S311" s="324">
        <f t="shared" si="55"/>
        <v>0</v>
      </c>
      <c r="T311" s="924" t="str">
        <f t="shared" si="56"/>
        <v/>
      </c>
      <c r="U311" s="1221" t="str">
        <f t="shared" si="65"/>
        <v/>
      </c>
      <c r="W311" s="1098">
        <f t="shared" si="57"/>
        <v>1</v>
      </c>
      <c r="X311" s="1098" t="e">
        <f>INDEX(OSReq,MATCH('Interior Lighting'!D311,LightingSpaceType,0))</f>
        <v>#N/A</v>
      </c>
      <c r="Y311" s="1098" t="e">
        <f t="shared" si="58"/>
        <v>#N/A</v>
      </c>
      <c r="Z311" s="1098" t="e">
        <f t="shared" si="59"/>
        <v>#N/A</v>
      </c>
      <c r="AA311" s="1098" t="e">
        <f>INDEX(Lookup!$O$9:$O$24,MATCH('Interior Lighting'!Z311,Lookup!$K$9:$K$24,0))</f>
        <v>#N/A</v>
      </c>
      <c r="AB311" s="1098" t="e">
        <f>IF(E311="A",INDEX(Lookup!$L$9:$L$24,MATCH(Z311,Lookup!$K$9:$K$24,0)),IF(E311="B",INDEX(Lookup!$M$9:$M$24,MATCH(Z311,Lookup!$K$9:$K$24,0)),IF(E311="C",INDEX(Lookup!$N$9:$N$24,MATCH(Z311,Lookup!$K$9:$K$24,0)),"N/A")))</f>
        <v>#N/A</v>
      </c>
    </row>
    <row r="312" spans="1:28">
      <c r="A312" s="1006"/>
      <c r="B312" s="69"/>
      <c r="C312" s="323"/>
      <c r="D312" s="323"/>
      <c r="E312" s="324" t="e">
        <f>INDEX(Lookup!$I$9:$I$24,MATCH('Interior Lighting'!D312,Lookup!$C$9:$C$24,0))</f>
        <v>#N/A</v>
      </c>
      <c r="F312" s="69"/>
      <c r="G312" s="69"/>
      <c r="H312" s="69"/>
      <c r="I312" s="324" t="e">
        <f t="shared" si="60"/>
        <v>#N/A</v>
      </c>
      <c r="J312" s="170"/>
      <c r="K312" s="325">
        <f t="shared" si="61"/>
        <v>0</v>
      </c>
      <c r="L312" s="326" t="e">
        <f t="shared" si="62"/>
        <v>#DIV/0!</v>
      </c>
      <c r="M312" s="326" t="str">
        <f>IF(H312="Yes",IF(D312='Drop Down'!$W$4,0.9*L312,IF(D312='Drop Down'!$W$5,0.9*L312,IF(D312='Drop Down'!$W$10,0.9*L312,IF(D312='Drop Down'!$W$16,0.9*L312,"No credit allowed.")))),"N/A")</f>
        <v>N/A</v>
      </c>
      <c r="N312" s="327" t="e">
        <f>IF($D$20="Space-By-Space (90.1-2013)",INDEX(LPD2013SS,MATCH('Interior Lighting'!D312,LightingSpaceType,0)*W312),INDEX(LPD2013WB,MATCH('Interior Lighting'!D312,LightingSpaceType,0)))</f>
        <v>#N/A</v>
      </c>
      <c r="O312" s="327">
        <f t="shared" si="63"/>
        <v>0</v>
      </c>
      <c r="P312" s="407" t="e">
        <f t="shared" si="53"/>
        <v>#N/A</v>
      </c>
      <c r="Q312" s="407" t="e">
        <f t="shared" si="64"/>
        <v>#N/A</v>
      </c>
      <c r="R312" s="407" t="e">
        <f t="shared" si="54"/>
        <v>#N/A</v>
      </c>
      <c r="S312" s="324">
        <f t="shared" si="55"/>
        <v>0</v>
      </c>
      <c r="T312" s="924" t="str">
        <f t="shared" si="56"/>
        <v/>
      </c>
      <c r="U312" s="1221" t="str">
        <f t="shared" si="65"/>
        <v/>
      </c>
      <c r="W312" s="1098">
        <f t="shared" si="57"/>
        <v>1</v>
      </c>
      <c r="X312" s="1098" t="e">
        <f>INDEX(OSReq,MATCH('Interior Lighting'!D312,LightingSpaceType,0))</f>
        <v>#N/A</v>
      </c>
      <c r="Y312" s="1098" t="e">
        <f t="shared" si="58"/>
        <v>#N/A</v>
      </c>
      <c r="Z312" s="1098" t="e">
        <f t="shared" si="59"/>
        <v>#N/A</v>
      </c>
      <c r="AA312" s="1098" t="e">
        <f>INDEX(Lookup!$O$9:$O$24,MATCH('Interior Lighting'!Z312,Lookup!$K$9:$K$24,0))</f>
        <v>#N/A</v>
      </c>
      <c r="AB312" s="1098" t="e">
        <f>IF(E312="A",INDEX(Lookup!$L$9:$L$24,MATCH(Z312,Lookup!$K$9:$K$24,0)),IF(E312="B",INDEX(Lookup!$M$9:$M$24,MATCH(Z312,Lookup!$K$9:$K$24,0)),IF(E312="C",INDEX(Lookup!$N$9:$N$24,MATCH(Z312,Lookup!$K$9:$K$24,0)),"N/A")))</f>
        <v>#N/A</v>
      </c>
    </row>
    <row r="313" spans="1:28">
      <c r="A313" s="1006"/>
      <c r="B313" s="69"/>
      <c r="C313" s="323"/>
      <c r="D313" s="323"/>
      <c r="E313" s="324" t="e">
        <f>INDEX(Lookup!$I$9:$I$24,MATCH('Interior Lighting'!D313,Lookup!$C$9:$C$24,0))</f>
        <v>#N/A</v>
      </c>
      <c r="F313" s="69"/>
      <c r="G313" s="69"/>
      <c r="H313" s="69"/>
      <c r="I313" s="324" t="e">
        <f t="shared" si="60"/>
        <v>#N/A</v>
      </c>
      <c r="J313" s="170"/>
      <c r="K313" s="325">
        <f t="shared" si="61"/>
        <v>0</v>
      </c>
      <c r="L313" s="326" t="e">
        <f t="shared" si="62"/>
        <v>#DIV/0!</v>
      </c>
      <c r="M313" s="326" t="str">
        <f>IF(H313="Yes",IF(D313='Drop Down'!$W$4,0.9*L313,IF(D313='Drop Down'!$W$5,0.9*L313,IF(D313='Drop Down'!$W$10,0.9*L313,IF(D313='Drop Down'!$W$16,0.9*L313,"No credit allowed.")))),"N/A")</f>
        <v>N/A</v>
      </c>
      <c r="N313" s="327" t="e">
        <f>IF($D$20="Space-By-Space (90.1-2013)",INDEX(LPD2013SS,MATCH('Interior Lighting'!D313,LightingSpaceType,0)*W313),INDEX(LPD2013WB,MATCH('Interior Lighting'!D313,LightingSpaceType,0)))</f>
        <v>#N/A</v>
      </c>
      <c r="O313" s="327">
        <f t="shared" si="63"/>
        <v>0</v>
      </c>
      <c r="P313" s="407" t="e">
        <f t="shared" si="53"/>
        <v>#N/A</v>
      </c>
      <c r="Q313" s="407" t="e">
        <f t="shared" si="64"/>
        <v>#N/A</v>
      </c>
      <c r="R313" s="407" t="e">
        <f t="shared" si="54"/>
        <v>#N/A</v>
      </c>
      <c r="S313" s="324">
        <f t="shared" si="55"/>
        <v>0</v>
      </c>
      <c r="T313" s="924" t="str">
        <f t="shared" si="56"/>
        <v/>
      </c>
      <c r="U313" s="1221" t="str">
        <f t="shared" si="65"/>
        <v/>
      </c>
      <c r="W313" s="1098">
        <f t="shared" si="57"/>
        <v>1</v>
      </c>
      <c r="X313" s="1098" t="e">
        <f>INDEX(OSReq,MATCH('Interior Lighting'!D313,LightingSpaceType,0))</f>
        <v>#N/A</v>
      </c>
      <c r="Y313" s="1098" t="e">
        <f t="shared" si="58"/>
        <v>#N/A</v>
      </c>
      <c r="Z313" s="1098" t="e">
        <f t="shared" si="59"/>
        <v>#N/A</v>
      </c>
      <c r="AA313" s="1098" t="e">
        <f>INDEX(Lookup!$O$9:$O$24,MATCH('Interior Lighting'!Z313,Lookup!$K$9:$K$24,0))</f>
        <v>#N/A</v>
      </c>
      <c r="AB313" s="1098" t="e">
        <f>IF(E313="A",INDEX(Lookup!$L$9:$L$24,MATCH(Z313,Lookup!$K$9:$K$24,0)),IF(E313="B",INDEX(Lookup!$M$9:$M$24,MATCH(Z313,Lookup!$K$9:$K$24,0)),IF(E313="C",INDEX(Lookup!$N$9:$N$24,MATCH(Z313,Lookup!$K$9:$K$24,0)),"N/A")))</f>
        <v>#N/A</v>
      </c>
    </row>
    <row r="314" spans="1:28">
      <c r="A314" s="1006"/>
      <c r="B314" s="69"/>
      <c r="C314" s="330"/>
      <c r="D314" s="323"/>
      <c r="E314" s="324" t="e">
        <f>INDEX(Lookup!$I$9:$I$24,MATCH('Interior Lighting'!D314,Lookup!$C$9:$C$24,0))</f>
        <v>#N/A</v>
      </c>
      <c r="F314" s="69"/>
      <c r="G314" s="69"/>
      <c r="H314" s="69"/>
      <c r="I314" s="324" t="e">
        <f t="shared" si="60"/>
        <v>#N/A</v>
      </c>
      <c r="J314" s="170"/>
      <c r="K314" s="325">
        <f t="shared" si="61"/>
        <v>0</v>
      </c>
      <c r="L314" s="326" t="e">
        <f t="shared" si="62"/>
        <v>#DIV/0!</v>
      </c>
      <c r="M314" s="326" t="str">
        <f>IF(H314="Yes",IF(D314='Drop Down'!$W$4,0.9*L314,IF(D314='Drop Down'!$W$5,0.9*L314,IF(D314='Drop Down'!$W$10,0.9*L314,IF(D314='Drop Down'!$W$16,0.9*L314,"No credit allowed.")))),"N/A")</f>
        <v>N/A</v>
      </c>
      <c r="N314" s="327" t="e">
        <f>IF($D$20="Space-By-Space (90.1-2013)",INDEX(LPD2013SS,MATCH('Interior Lighting'!D314,LightingSpaceType,0)*W314),INDEX(LPD2013WB,MATCH('Interior Lighting'!D314,LightingSpaceType,0)))</f>
        <v>#N/A</v>
      </c>
      <c r="O314" s="327">
        <f t="shared" si="63"/>
        <v>0</v>
      </c>
      <c r="P314" s="407" t="e">
        <f t="shared" si="53"/>
        <v>#N/A</v>
      </c>
      <c r="Q314" s="407" t="e">
        <f t="shared" si="64"/>
        <v>#N/A</v>
      </c>
      <c r="R314" s="407" t="e">
        <f t="shared" si="54"/>
        <v>#N/A</v>
      </c>
      <c r="S314" s="324">
        <f t="shared" si="55"/>
        <v>0</v>
      </c>
      <c r="T314" s="924" t="str">
        <f t="shared" si="56"/>
        <v/>
      </c>
      <c r="U314" s="1221" t="str">
        <f t="shared" si="65"/>
        <v/>
      </c>
      <c r="W314" s="1098">
        <f t="shared" si="57"/>
        <v>1</v>
      </c>
      <c r="X314" s="1098" t="e">
        <f>INDEX(OSReq,MATCH('Interior Lighting'!D314,LightingSpaceType,0))</f>
        <v>#N/A</v>
      </c>
      <c r="Y314" s="1098" t="e">
        <f t="shared" si="58"/>
        <v>#N/A</v>
      </c>
      <c r="Z314" s="1098" t="e">
        <f t="shared" si="59"/>
        <v>#N/A</v>
      </c>
      <c r="AA314" s="1098" t="e">
        <f>INDEX(Lookup!$O$9:$O$24,MATCH('Interior Lighting'!Z314,Lookup!$K$9:$K$24,0))</f>
        <v>#N/A</v>
      </c>
      <c r="AB314" s="1098" t="e">
        <f>IF(E314="A",INDEX(Lookup!$L$9:$L$24,MATCH(Z314,Lookup!$K$9:$K$24,0)),IF(E314="B",INDEX(Lookup!$M$9:$M$24,MATCH(Z314,Lookup!$K$9:$K$24,0)),IF(E314="C",INDEX(Lookup!$N$9:$N$24,MATCH(Z314,Lookup!$K$9:$K$24,0)),"N/A")))</f>
        <v>#N/A</v>
      </c>
    </row>
    <row r="315" spans="1:28" ht="11.25" customHeight="1">
      <c r="A315" s="1006"/>
      <c r="B315" s="69"/>
      <c r="C315" s="323"/>
      <c r="D315" s="323"/>
      <c r="E315" s="324" t="e">
        <f>INDEX(Lookup!$I$9:$I$24,MATCH('Interior Lighting'!D315,Lookup!$C$9:$C$24,0))</f>
        <v>#N/A</v>
      </c>
      <c r="F315" s="69"/>
      <c r="G315" s="69"/>
      <c r="H315" s="69"/>
      <c r="I315" s="324" t="e">
        <f t="shared" si="60"/>
        <v>#N/A</v>
      </c>
      <c r="J315" s="170"/>
      <c r="K315" s="325">
        <f t="shared" si="61"/>
        <v>0</v>
      </c>
      <c r="L315" s="326" t="e">
        <f t="shared" si="62"/>
        <v>#DIV/0!</v>
      </c>
      <c r="M315" s="326" t="str">
        <f>IF(H315="Yes",IF(D315='Drop Down'!$W$4,0.9*L315,IF(D315='Drop Down'!$W$5,0.9*L315,IF(D315='Drop Down'!$W$10,0.9*L315,IF(D315='Drop Down'!$W$16,0.9*L315,"No credit allowed.")))),"N/A")</f>
        <v>N/A</v>
      </c>
      <c r="N315" s="327" t="e">
        <f>IF($D$20="Space-By-Space (90.1-2013)",INDEX(LPD2013SS,MATCH('Interior Lighting'!D315,LightingSpaceType,0)*W315),INDEX(LPD2013WB,MATCH('Interior Lighting'!D315,LightingSpaceType,0)))</f>
        <v>#N/A</v>
      </c>
      <c r="O315" s="327">
        <f t="shared" si="63"/>
        <v>0</v>
      </c>
      <c r="P315" s="407" t="e">
        <f t="shared" si="53"/>
        <v>#N/A</v>
      </c>
      <c r="Q315" s="407" t="e">
        <f t="shared" si="64"/>
        <v>#N/A</v>
      </c>
      <c r="R315" s="407" t="e">
        <f t="shared" si="54"/>
        <v>#N/A</v>
      </c>
      <c r="S315" s="324">
        <f t="shared" si="55"/>
        <v>0</v>
      </c>
      <c r="T315" s="924" t="str">
        <f t="shared" si="56"/>
        <v/>
      </c>
      <c r="U315" s="1221" t="str">
        <f t="shared" si="65"/>
        <v/>
      </c>
      <c r="W315" s="1098">
        <f t="shared" si="57"/>
        <v>1</v>
      </c>
      <c r="X315" s="1098" t="e">
        <f>INDEX(OSReq,MATCH('Interior Lighting'!D315,LightingSpaceType,0))</f>
        <v>#N/A</v>
      </c>
      <c r="Y315" s="1098" t="e">
        <f t="shared" si="58"/>
        <v>#N/A</v>
      </c>
      <c r="Z315" s="1098" t="e">
        <f t="shared" si="59"/>
        <v>#N/A</v>
      </c>
      <c r="AA315" s="1098" t="e">
        <f>INDEX(Lookup!$O$9:$O$24,MATCH('Interior Lighting'!Z315,Lookup!$K$9:$K$24,0))</f>
        <v>#N/A</v>
      </c>
      <c r="AB315" s="1098" t="e">
        <f>IF(E315="A",INDEX(Lookup!$L$9:$L$24,MATCH(Z315,Lookup!$K$9:$K$24,0)),IF(E315="B",INDEX(Lookup!$M$9:$M$24,MATCH(Z315,Lookup!$K$9:$K$24,0)),IF(E315="C",INDEX(Lookup!$N$9:$N$24,MATCH(Z315,Lookup!$K$9:$K$24,0)),"N/A")))</f>
        <v>#N/A</v>
      </c>
    </row>
    <row r="316" spans="1:28">
      <c r="A316" s="1006"/>
      <c r="B316" s="69"/>
      <c r="C316" s="323"/>
      <c r="D316" s="323"/>
      <c r="E316" s="324" t="e">
        <f>INDEX(Lookup!$I$9:$I$24,MATCH('Interior Lighting'!D316,Lookup!$C$9:$C$24,0))</f>
        <v>#N/A</v>
      </c>
      <c r="F316" s="69"/>
      <c r="G316" s="69"/>
      <c r="H316" s="69"/>
      <c r="I316" s="324" t="e">
        <f t="shared" si="60"/>
        <v>#N/A</v>
      </c>
      <c r="J316" s="170"/>
      <c r="K316" s="325">
        <f t="shared" si="61"/>
        <v>0</v>
      </c>
      <c r="L316" s="326" t="e">
        <f t="shared" si="62"/>
        <v>#DIV/0!</v>
      </c>
      <c r="M316" s="326" t="str">
        <f>IF(H316="Yes",IF(D316='Drop Down'!$W$4,0.9*L316,IF(D316='Drop Down'!$W$5,0.9*L316,IF(D316='Drop Down'!$W$10,0.9*L316,IF(D316='Drop Down'!$W$16,0.9*L316,"No credit allowed.")))),"N/A")</f>
        <v>N/A</v>
      </c>
      <c r="N316" s="327" t="e">
        <f>IF($D$20="Space-By-Space (90.1-2013)",INDEX(LPD2013SS,MATCH('Interior Lighting'!D316,LightingSpaceType,0)*W316),INDEX(LPD2013WB,MATCH('Interior Lighting'!D316,LightingSpaceType,0)))</f>
        <v>#N/A</v>
      </c>
      <c r="O316" s="327">
        <f t="shared" si="63"/>
        <v>0</v>
      </c>
      <c r="P316" s="407" t="e">
        <f t="shared" si="53"/>
        <v>#N/A</v>
      </c>
      <c r="Q316" s="407" t="e">
        <f t="shared" si="64"/>
        <v>#N/A</v>
      </c>
      <c r="R316" s="407" t="e">
        <f t="shared" si="54"/>
        <v>#N/A</v>
      </c>
      <c r="S316" s="324">
        <f t="shared" si="55"/>
        <v>0</v>
      </c>
      <c r="T316" s="924" t="str">
        <f t="shared" si="56"/>
        <v/>
      </c>
      <c r="U316" s="1221" t="str">
        <f t="shared" si="65"/>
        <v/>
      </c>
      <c r="W316" s="1098">
        <f t="shared" si="57"/>
        <v>1</v>
      </c>
      <c r="X316" s="1098" t="e">
        <f>INDEX(OSReq,MATCH('Interior Lighting'!D316,LightingSpaceType,0))</f>
        <v>#N/A</v>
      </c>
      <c r="Y316" s="1098" t="e">
        <f t="shared" si="58"/>
        <v>#N/A</v>
      </c>
      <c r="Z316" s="1098" t="e">
        <f t="shared" si="59"/>
        <v>#N/A</v>
      </c>
      <c r="AA316" s="1098" t="e">
        <f>INDEX(Lookup!$O$9:$O$24,MATCH('Interior Lighting'!Z316,Lookup!$K$9:$K$24,0))</f>
        <v>#N/A</v>
      </c>
      <c r="AB316" s="1098" t="e">
        <f>IF(E316="A",INDEX(Lookup!$L$9:$L$24,MATCH(Z316,Lookup!$K$9:$K$24,0)),IF(E316="B",INDEX(Lookup!$M$9:$M$24,MATCH(Z316,Lookup!$K$9:$K$24,0)),IF(E316="C",INDEX(Lookup!$N$9:$N$24,MATCH(Z316,Lookup!$K$9:$K$24,0)),"N/A")))</f>
        <v>#N/A</v>
      </c>
    </row>
    <row r="317" spans="1:28">
      <c r="A317" s="1006"/>
      <c r="B317" s="69"/>
      <c r="C317" s="323"/>
      <c r="D317" s="323"/>
      <c r="E317" s="324" t="e">
        <f>INDEX(Lookup!$I$9:$I$24,MATCH('Interior Lighting'!D317,Lookup!$C$9:$C$24,0))</f>
        <v>#N/A</v>
      </c>
      <c r="F317" s="69"/>
      <c r="G317" s="69"/>
      <c r="H317" s="69"/>
      <c r="I317" s="324" t="e">
        <f t="shared" si="60"/>
        <v>#N/A</v>
      </c>
      <c r="J317" s="170"/>
      <c r="K317" s="325">
        <f t="shared" si="61"/>
        <v>0</v>
      </c>
      <c r="L317" s="326" t="e">
        <f t="shared" si="62"/>
        <v>#DIV/0!</v>
      </c>
      <c r="M317" s="326" t="str">
        <f>IF(H317="Yes",IF(D317='Drop Down'!$W$4,0.9*L317,IF(D317='Drop Down'!$W$5,0.9*L317,IF(D317='Drop Down'!$W$10,0.9*L317,IF(D317='Drop Down'!$W$16,0.9*L317,"No credit allowed.")))),"N/A")</f>
        <v>N/A</v>
      </c>
      <c r="N317" s="327" t="e">
        <f>IF($D$20="Space-By-Space (90.1-2013)",INDEX(LPD2013SS,MATCH('Interior Lighting'!D317,LightingSpaceType,0)*W317),INDEX(LPD2013WB,MATCH('Interior Lighting'!D317,LightingSpaceType,0)))</f>
        <v>#N/A</v>
      </c>
      <c r="O317" s="327">
        <f t="shared" si="63"/>
        <v>0</v>
      </c>
      <c r="P317" s="407" t="e">
        <f t="shared" si="53"/>
        <v>#N/A</v>
      </c>
      <c r="Q317" s="407" t="e">
        <f t="shared" si="64"/>
        <v>#N/A</v>
      </c>
      <c r="R317" s="407" t="e">
        <f t="shared" si="54"/>
        <v>#N/A</v>
      </c>
      <c r="S317" s="324">
        <f t="shared" si="55"/>
        <v>0</v>
      </c>
      <c r="T317" s="924" t="str">
        <f t="shared" si="56"/>
        <v/>
      </c>
      <c r="U317" s="1221" t="str">
        <f t="shared" si="65"/>
        <v/>
      </c>
      <c r="W317" s="1098">
        <f t="shared" si="57"/>
        <v>1</v>
      </c>
      <c r="X317" s="1098" t="e">
        <f>INDEX(OSReq,MATCH('Interior Lighting'!D317,LightingSpaceType,0))</f>
        <v>#N/A</v>
      </c>
      <c r="Y317" s="1098" t="e">
        <f t="shared" si="58"/>
        <v>#N/A</v>
      </c>
      <c r="Z317" s="1098" t="e">
        <f t="shared" si="59"/>
        <v>#N/A</v>
      </c>
      <c r="AA317" s="1098" t="e">
        <f>INDEX(Lookup!$O$9:$O$24,MATCH('Interior Lighting'!Z317,Lookup!$K$9:$K$24,0))</f>
        <v>#N/A</v>
      </c>
      <c r="AB317" s="1098" t="e">
        <f>IF(E317="A",INDEX(Lookup!$L$9:$L$24,MATCH(Z317,Lookup!$K$9:$K$24,0)),IF(E317="B",INDEX(Lookup!$M$9:$M$24,MATCH(Z317,Lookup!$K$9:$K$24,0)),IF(E317="C",INDEX(Lookup!$N$9:$N$24,MATCH(Z317,Lookup!$K$9:$K$24,0)),"N/A")))</f>
        <v>#N/A</v>
      </c>
    </row>
    <row r="318" spans="1:28">
      <c r="A318" s="1006"/>
      <c r="B318" s="69"/>
      <c r="C318" s="323"/>
      <c r="D318" s="323"/>
      <c r="E318" s="324" t="e">
        <f>INDEX(Lookup!$I$9:$I$24,MATCH('Interior Lighting'!D318,Lookup!$C$9:$C$24,0))</f>
        <v>#N/A</v>
      </c>
      <c r="F318" s="69"/>
      <c r="G318" s="69"/>
      <c r="H318" s="69"/>
      <c r="I318" s="324" t="e">
        <f t="shared" si="60"/>
        <v>#N/A</v>
      </c>
      <c r="J318" s="170"/>
      <c r="K318" s="325">
        <f t="shared" si="61"/>
        <v>0</v>
      </c>
      <c r="L318" s="326" t="e">
        <f t="shared" si="62"/>
        <v>#DIV/0!</v>
      </c>
      <c r="M318" s="326" t="str">
        <f>IF(H318="Yes",IF(D318='Drop Down'!$W$4,0.9*L318,IF(D318='Drop Down'!$W$5,0.9*L318,IF(D318='Drop Down'!$W$10,0.9*L318,IF(D318='Drop Down'!$W$16,0.9*L318,"No credit allowed.")))),"N/A")</f>
        <v>N/A</v>
      </c>
      <c r="N318" s="327" t="e">
        <f>IF($D$20="Space-By-Space (90.1-2013)",INDEX(LPD2013SS,MATCH('Interior Lighting'!D318,LightingSpaceType,0)*W318),INDEX(LPD2013WB,MATCH('Interior Lighting'!D318,LightingSpaceType,0)))</f>
        <v>#N/A</v>
      </c>
      <c r="O318" s="327">
        <f t="shared" si="63"/>
        <v>0</v>
      </c>
      <c r="P318" s="407" t="e">
        <f t="shared" si="53"/>
        <v>#N/A</v>
      </c>
      <c r="Q318" s="407" t="e">
        <f t="shared" si="64"/>
        <v>#N/A</v>
      </c>
      <c r="R318" s="407" t="e">
        <f t="shared" si="54"/>
        <v>#N/A</v>
      </c>
      <c r="S318" s="324">
        <f t="shared" si="55"/>
        <v>0</v>
      </c>
      <c r="T318" s="924" t="str">
        <f t="shared" si="56"/>
        <v/>
      </c>
      <c r="U318" s="1221" t="str">
        <f t="shared" si="65"/>
        <v/>
      </c>
      <c r="W318" s="1098">
        <f t="shared" si="57"/>
        <v>1</v>
      </c>
      <c r="X318" s="1098" t="e">
        <f>INDEX(OSReq,MATCH('Interior Lighting'!D318,LightingSpaceType,0))</f>
        <v>#N/A</v>
      </c>
      <c r="Y318" s="1098" t="e">
        <f t="shared" si="58"/>
        <v>#N/A</v>
      </c>
      <c r="Z318" s="1098" t="e">
        <f t="shared" si="59"/>
        <v>#N/A</v>
      </c>
      <c r="AA318" s="1098" t="e">
        <f>INDEX(Lookup!$O$9:$O$24,MATCH('Interior Lighting'!Z318,Lookup!$K$9:$K$24,0))</f>
        <v>#N/A</v>
      </c>
      <c r="AB318" s="1098" t="e">
        <f>IF(E318="A",INDEX(Lookup!$L$9:$L$24,MATCH(Z318,Lookup!$K$9:$K$24,0)),IF(E318="B",INDEX(Lookup!$M$9:$M$24,MATCH(Z318,Lookup!$K$9:$K$24,0)),IF(E318="C",INDEX(Lookup!$N$9:$N$24,MATCH(Z318,Lookup!$K$9:$K$24,0)),"N/A")))</f>
        <v>#N/A</v>
      </c>
    </row>
    <row r="319" spans="1:28">
      <c r="A319" s="1006"/>
      <c r="B319" s="69"/>
      <c r="C319" s="323"/>
      <c r="D319" s="323"/>
      <c r="E319" s="324" t="e">
        <f>INDEX(Lookup!$I$9:$I$24,MATCH('Interior Lighting'!D319,Lookup!$C$9:$C$24,0))</f>
        <v>#N/A</v>
      </c>
      <c r="F319" s="69"/>
      <c r="G319" s="69"/>
      <c r="H319" s="69"/>
      <c r="I319" s="324" t="e">
        <f t="shared" si="60"/>
        <v>#N/A</v>
      </c>
      <c r="J319" s="170"/>
      <c r="K319" s="325">
        <f t="shared" si="61"/>
        <v>0</v>
      </c>
      <c r="L319" s="326" t="e">
        <f t="shared" si="62"/>
        <v>#DIV/0!</v>
      </c>
      <c r="M319" s="326" t="str">
        <f>IF(H319="Yes",IF(D319='Drop Down'!$W$4,0.9*L319,IF(D319='Drop Down'!$W$5,0.9*L319,IF(D319='Drop Down'!$W$10,0.9*L319,IF(D319='Drop Down'!$W$16,0.9*L319,"No credit allowed.")))),"N/A")</f>
        <v>N/A</v>
      </c>
      <c r="N319" s="327" t="e">
        <f>IF($D$20="Space-By-Space (90.1-2013)",INDEX(LPD2013SS,MATCH('Interior Lighting'!D319,LightingSpaceType,0)*W319),INDEX(LPD2013WB,MATCH('Interior Lighting'!D319,LightingSpaceType,0)))</f>
        <v>#N/A</v>
      </c>
      <c r="O319" s="327">
        <f t="shared" si="63"/>
        <v>0</v>
      </c>
      <c r="P319" s="407" t="e">
        <f t="shared" si="53"/>
        <v>#N/A</v>
      </c>
      <c r="Q319" s="407" t="e">
        <f t="shared" si="64"/>
        <v>#N/A</v>
      </c>
      <c r="R319" s="407" t="e">
        <f t="shared" si="54"/>
        <v>#N/A</v>
      </c>
      <c r="S319" s="324">
        <f t="shared" si="55"/>
        <v>0</v>
      </c>
      <c r="T319" s="924" t="str">
        <f t="shared" si="56"/>
        <v/>
      </c>
      <c r="U319" s="1221" t="str">
        <f t="shared" si="65"/>
        <v/>
      </c>
      <c r="W319" s="1098">
        <f t="shared" si="57"/>
        <v>1</v>
      </c>
      <c r="X319" s="1098" t="e">
        <f>INDEX(OSReq,MATCH('Interior Lighting'!D319,LightingSpaceType,0))</f>
        <v>#N/A</v>
      </c>
      <c r="Y319" s="1098" t="e">
        <f t="shared" si="58"/>
        <v>#N/A</v>
      </c>
      <c r="Z319" s="1098" t="e">
        <f t="shared" si="59"/>
        <v>#N/A</v>
      </c>
      <c r="AA319" s="1098" t="e">
        <f>INDEX(Lookup!$O$9:$O$24,MATCH('Interior Lighting'!Z319,Lookup!$K$9:$K$24,0))</f>
        <v>#N/A</v>
      </c>
      <c r="AB319" s="1098" t="e">
        <f>IF(E319="A",INDEX(Lookup!$L$9:$L$24,MATCH(Z319,Lookup!$K$9:$K$24,0)),IF(E319="B",INDEX(Lookup!$M$9:$M$24,MATCH(Z319,Lookup!$K$9:$K$24,0)),IF(E319="C",INDEX(Lookup!$N$9:$N$24,MATCH(Z319,Lookup!$K$9:$K$24,0)),"N/A")))</f>
        <v>#N/A</v>
      </c>
    </row>
    <row r="320" spans="1:28">
      <c r="A320" s="1006"/>
      <c r="B320" s="69"/>
      <c r="C320" s="330"/>
      <c r="D320" s="323"/>
      <c r="E320" s="324" t="e">
        <f>INDEX(Lookup!$I$9:$I$24,MATCH('Interior Lighting'!D320,Lookup!$C$9:$C$24,0))</f>
        <v>#N/A</v>
      </c>
      <c r="F320" s="69"/>
      <c r="G320" s="69"/>
      <c r="H320" s="69"/>
      <c r="I320" s="324" t="e">
        <f t="shared" si="60"/>
        <v>#N/A</v>
      </c>
      <c r="J320" s="170"/>
      <c r="K320" s="325">
        <f t="shared" si="61"/>
        <v>0</v>
      </c>
      <c r="L320" s="326" t="e">
        <f t="shared" si="62"/>
        <v>#DIV/0!</v>
      </c>
      <c r="M320" s="326" t="str">
        <f>IF(H320="Yes",IF(D320='Drop Down'!$W$4,0.9*L320,IF(D320='Drop Down'!$W$5,0.9*L320,IF(D320='Drop Down'!$W$10,0.9*L320,IF(D320='Drop Down'!$W$16,0.9*L320,"No credit allowed.")))),"N/A")</f>
        <v>N/A</v>
      </c>
      <c r="N320" s="327" t="e">
        <f>IF($D$20="Space-By-Space (90.1-2013)",INDEX(LPD2013SS,MATCH('Interior Lighting'!D320,LightingSpaceType,0)*W320),INDEX(LPD2013WB,MATCH('Interior Lighting'!D320,LightingSpaceType,0)))</f>
        <v>#N/A</v>
      </c>
      <c r="O320" s="327">
        <f t="shared" si="63"/>
        <v>0</v>
      </c>
      <c r="P320" s="407" t="e">
        <f t="shared" si="53"/>
        <v>#N/A</v>
      </c>
      <c r="Q320" s="407" t="e">
        <f t="shared" si="64"/>
        <v>#N/A</v>
      </c>
      <c r="R320" s="407" t="e">
        <f t="shared" si="54"/>
        <v>#N/A</v>
      </c>
      <c r="S320" s="324">
        <f t="shared" si="55"/>
        <v>0</v>
      </c>
      <c r="T320" s="924" t="str">
        <f t="shared" si="56"/>
        <v/>
      </c>
      <c r="U320" s="1221" t="str">
        <f t="shared" si="65"/>
        <v/>
      </c>
      <c r="W320" s="1098">
        <f t="shared" si="57"/>
        <v>1</v>
      </c>
      <c r="X320" s="1098" t="e">
        <f>INDEX(OSReq,MATCH('Interior Lighting'!D320,LightingSpaceType,0))</f>
        <v>#N/A</v>
      </c>
      <c r="Y320" s="1098" t="e">
        <f t="shared" si="58"/>
        <v>#N/A</v>
      </c>
      <c r="Z320" s="1098" t="e">
        <f t="shared" si="59"/>
        <v>#N/A</v>
      </c>
      <c r="AA320" s="1098" t="e">
        <f>INDEX(Lookup!$O$9:$O$24,MATCH('Interior Lighting'!Z320,Lookup!$K$9:$K$24,0))</f>
        <v>#N/A</v>
      </c>
      <c r="AB320" s="1098" t="e">
        <f>IF(E320="A",INDEX(Lookup!$L$9:$L$24,MATCH(Z320,Lookup!$K$9:$K$24,0)),IF(E320="B",INDEX(Lookup!$M$9:$M$24,MATCH(Z320,Lookup!$K$9:$K$24,0)),IF(E320="C",INDEX(Lookup!$N$9:$N$24,MATCH(Z320,Lookup!$K$9:$K$24,0)),"N/A")))</f>
        <v>#N/A</v>
      </c>
    </row>
    <row r="321" spans="1:28" ht="11.25" customHeight="1">
      <c r="A321" s="1006"/>
      <c r="B321" s="69"/>
      <c r="C321" s="323"/>
      <c r="D321" s="323"/>
      <c r="E321" s="324" t="e">
        <f>INDEX(Lookup!$I$9:$I$24,MATCH('Interior Lighting'!D321,Lookup!$C$9:$C$24,0))</f>
        <v>#N/A</v>
      </c>
      <c r="F321" s="69"/>
      <c r="G321" s="69"/>
      <c r="H321" s="69"/>
      <c r="I321" s="324" t="e">
        <f t="shared" si="60"/>
        <v>#N/A</v>
      </c>
      <c r="J321" s="170"/>
      <c r="K321" s="325">
        <f t="shared" si="61"/>
        <v>0</v>
      </c>
      <c r="L321" s="326" t="e">
        <f t="shared" si="62"/>
        <v>#DIV/0!</v>
      </c>
      <c r="M321" s="326" t="str">
        <f>IF(H321="Yes",IF(D321='Drop Down'!$W$4,0.9*L321,IF(D321='Drop Down'!$W$5,0.9*L321,IF(D321='Drop Down'!$W$10,0.9*L321,IF(D321='Drop Down'!$W$16,0.9*L321,"No credit allowed.")))),"N/A")</f>
        <v>N/A</v>
      </c>
      <c r="N321" s="327" t="e">
        <f>IF($D$20="Space-By-Space (90.1-2013)",INDEX(LPD2013SS,MATCH('Interior Lighting'!D321,LightingSpaceType,0)*W321),INDEX(LPD2013WB,MATCH('Interior Lighting'!D321,LightingSpaceType,0)))</f>
        <v>#N/A</v>
      </c>
      <c r="O321" s="327">
        <f t="shared" si="63"/>
        <v>0</v>
      </c>
      <c r="P321" s="407" t="e">
        <f t="shared" si="53"/>
        <v>#N/A</v>
      </c>
      <c r="Q321" s="407" t="e">
        <f t="shared" si="64"/>
        <v>#N/A</v>
      </c>
      <c r="R321" s="407" t="e">
        <f t="shared" si="54"/>
        <v>#N/A</v>
      </c>
      <c r="S321" s="324">
        <f t="shared" si="55"/>
        <v>0</v>
      </c>
      <c r="T321" s="924" t="str">
        <f t="shared" si="56"/>
        <v/>
      </c>
      <c r="U321" s="1221" t="str">
        <f t="shared" si="65"/>
        <v/>
      </c>
      <c r="W321" s="1098">
        <f t="shared" si="57"/>
        <v>1</v>
      </c>
      <c r="X321" s="1098" t="e">
        <f>INDEX(OSReq,MATCH('Interior Lighting'!D321,LightingSpaceType,0))</f>
        <v>#N/A</v>
      </c>
      <c r="Y321" s="1098" t="e">
        <f t="shared" si="58"/>
        <v>#N/A</v>
      </c>
      <c r="Z321" s="1098" t="e">
        <f t="shared" si="59"/>
        <v>#N/A</v>
      </c>
      <c r="AA321" s="1098" t="e">
        <f>INDEX(Lookup!$O$9:$O$24,MATCH('Interior Lighting'!Z321,Lookup!$K$9:$K$24,0))</f>
        <v>#N/A</v>
      </c>
      <c r="AB321" s="1098" t="e">
        <f>IF(E321="A",INDEX(Lookup!$L$9:$L$24,MATCH(Z321,Lookup!$K$9:$K$24,0)),IF(E321="B",INDEX(Lookup!$M$9:$M$24,MATCH(Z321,Lookup!$K$9:$K$24,0)),IF(E321="C",INDEX(Lookup!$N$9:$N$24,MATCH(Z321,Lookup!$K$9:$K$24,0)),"N/A")))</f>
        <v>#N/A</v>
      </c>
    </row>
    <row r="322" spans="1:28">
      <c r="A322" s="1006"/>
      <c r="B322" s="69"/>
      <c r="C322" s="323"/>
      <c r="D322" s="323"/>
      <c r="E322" s="324" t="e">
        <f>INDEX(Lookup!$I$9:$I$24,MATCH('Interior Lighting'!D322,Lookup!$C$9:$C$24,0))</f>
        <v>#N/A</v>
      </c>
      <c r="F322" s="69"/>
      <c r="G322" s="69"/>
      <c r="H322" s="69"/>
      <c r="I322" s="324" t="e">
        <f t="shared" si="60"/>
        <v>#N/A</v>
      </c>
      <c r="J322" s="170"/>
      <c r="K322" s="325">
        <f t="shared" si="61"/>
        <v>0</v>
      </c>
      <c r="L322" s="326" t="e">
        <f t="shared" si="62"/>
        <v>#DIV/0!</v>
      </c>
      <c r="M322" s="326" t="str">
        <f>IF(H322="Yes",IF(D322='Drop Down'!$W$4,0.9*L322,IF(D322='Drop Down'!$W$5,0.9*L322,IF(D322='Drop Down'!$W$10,0.9*L322,IF(D322='Drop Down'!$W$16,0.9*L322,"No credit allowed.")))),"N/A")</f>
        <v>N/A</v>
      </c>
      <c r="N322" s="327" t="e">
        <f>IF($D$20="Space-By-Space (90.1-2013)",INDEX(LPD2013SS,MATCH('Interior Lighting'!D322,LightingSpaceType,0)*W322),INDEX(LPD2013WB,MATCH('Interior Lighting'!D322,LightingSpaceType,0)))</f>
        <v>#N/A</v>
      </c>
      <c r="O322" s="327">
        <f t="shared" si="63"/>
        <v>0</v>
      </c>
      <c r="P322" s="407" t="e">
        <f t="shared" si="53"/>
        <v>#N/A</v>
      </c>
      <c r="Q322" s="407" t="e">
        <f t="shared" si="64"/>
        <v>#N/A</v>
      </c>
      <c r="R322" s="407" t="e">
        <f t="shared" si="54"/>
        <v>#N/A</v>
      </c>
      <c r="S322" s="324">
        <f t="shared" si="55"/>
        <v>0</v>
      </c>
      <c r="T322" s="924" t="str">
        <f t="shared" si="56"/>
        <v/>
      </c>
      <c r="U322" s="1221" t="str">
        <f t="shared" si="65"/>
        <v/>
      </c>
      <c r="W322" s="1098">
        <f t="shared" si="57"/>
        <v>1</v>
      </c>
      <c r="X322" s="1098" t="e">
        <f>INDEX(OSReq,MATCH('Interior Lighting'!D322,LightingSpaceType,0))</f>
        <v>#N/A</v>
      </c>
      <c r="Y322" s="1098" t="e">
        <f t="shared" si="58"/>
        <v>#N/A</v>
      </c>
      <c r="Z322" s="1098" t="e">
        <f t="shared" si="59"/>
        <v>#N/A</v>
      </c>
      <c r="AA322" s="1098" t="e">
        <f>INDEX(Lookup!$O$9:$O$24,MATCH('Interior Lighting'!Z322,Lookup!$K$9:$K$24,0))</f>
        <v>#N/A</v>
      </c>
      <c r="AB322" s="1098" t="e">
        <f>IF(E322="A",INDEX(Lookup!$L$9:$L$24,MATCH(Z322,Lookup!$K$9:$K$24,0)),IF(E322="B",INDEX(Lookup!$M$9:$M$24,MATCH(Z322,Lookup!$K$9:$K$24,0)),IF(E322="C",INDEX(Lookup!$N$9:$N$24,MATCH(Z322,Lookup!$K$9:$K$24,0)),"N/A")))</f>
        <v>#N/A</v>
      </c>
    </row>
    <row r="323" spans="1:28">
      <c r="A323" s="1006"/>
      <c r="B323" s="69"/>
      <c r="C323" s="323"/>
      <c r="D323" s="323"/>
      <c r="E323" s="324" t="e">
        <f>INDEX(Lookup!$I$9:$I$24,MATCH('Interior Lighting'!D323,Lookup!$C$9:$C$24,0))</f>
        <v>#N/A</v>
      </c>
      <c r="F323" s="69"/>
      <c r="G323" s="69"/>
      <c r="H323" s="69"/>
      <c r="I323" s="324" t="e">
        <f t="shared" si="60"/>
        <v>#N/A</v>
      </c>
      <c r="J323" s="170"/>
      <c r="K323" s="325">
        <f t="shared" si="61"/>
        <v>0</v>
      </c>
      <c r="L323" s="326" t="e">
        <f t="shared" si="62"/>
        <v>#DIV/0!</v>
      </c>
      <c r="M323" s="326" t="str">
        <f>IF(H323="Yes",IF(D323='Drop Down'!$W$4,0.9*L323,IF(D323='Drop Down'!$W$5,0.9*L323,IF(D323='Drop Down'!$W$10,0.9*L323,IF(D323='Drop Down'!$W$16,0.9*L323,"No credit allowed.")))),"N/A")</f>
        <v>N/A</v>
      </c>
      <c r="N323" s="327" t="e">
        <f>IF($D$20="Space-By-Space (90.1-2013)",INDEX(LPD2013SS,MATCH('Interior Lighting'!D323,LightingSpaceType,0)*W323),INDEX(LPD2013WB,MATCH('Interior Lighting'!D323,LightingSpaceType,0)))</f>
        <v>#N/A</v>
      </c>
      <c r="O323" s="327">
        <f t="shared" si="63"/>
        <v>0</v>
      </c>
      <c r="P323" s="407" t="e">
        <f t="shared" si="53"/>
        <v>#N/A</v>
      </c>
      <c r="Q323" s="407" t="e">
        <f t="shared" si="64"/>
        <v>#N/A</v>
      </c>
      <c r="R323" s="407" t="e">
        <f t="shared" si="54"/>
        <v>#N/A</v>
      </c>
      <c r="S323" s="324">
        <f t="shared" si="55"/>
        <v>0</v>
      </c>
      <c r="T323" s="924" t="str">
        <f t="shared" si="56"/>
        <v/>
      </c>
      <c r="U323" s="1221" t="str">
        <f t="shared" si="65"/>
        <v/>
      </c>
      <c r="W323" s="1098">
        <f t="shared" si="57"/>
        <v>1</v>
      </c>
      <c r="X323" s="1098" t="e">
        <f>INDEX(OSReq,MATCH('Interior Lighting'!D323,LightingSpaceType,0))</f>
        <v>#N/A</v>
      </c>
      <c r="Y323" s="1098" t="e">
        <f t="shared" si="58"/>
        <v>#N/A</v>
      </c>
      <c r="Z323" s="1098" t="e">
        <f t="shared" si="59"/>
        <v>#N/A</v>
      </c>
      <c r="AA323" s="1098" t="e">
        <f>INDEX(Lookup!$O$9:$O$24,MATCH('Interior Lighting'!Z323,Lookup!$K$9:$K$24,0))</f>
        <v>#N/A</v>
      </c>
      <c r="AB323" s="1098" t="e">
        <f>IF(E323="A",INDEX(Lookup!$L$9:$L$24,MATCH(Z323,Lookup!$K$9:$K$24,0)),IF(E323="B",INDEX(Lookup!$M$9:$M$24,MATCH(Z323,Lookup!$K$9:$K$24,0)),IF(E323="C",INDEX(Lookup!$N$9:$N$24,MATCH(Z323,Lookup!$K$9:$K$24,0)),"N/A")))</f>
        <v>#N/A</v>
      </c>
    </row>
    <row r="324" spans="1:28">
      <c r="A324" s="1006"/>
      <c r="B324" s="69"/>
      <c r="C324" s="323"/>
      <c r="D324" s="323"/>
      <c r="E324" s="324" t="e">
        <f>INDEX(Lookup!$I$9:$I$24,MATCH('Interior Lighting'!D324,Lookup!$C$9:$C$24,0))</f>
        <v>#N/A</v>
      </c>
      <c r="F324" s="69"/>
      <c r="G324" s="69"/>
      <c r="H324" s="69"/>
      <c r="I324" s="324" t="e">
        <f t="shared" si="60"/>
        <v>#N/A</v>
      </c>
      <c r="J324" s="170"/>
      <c r="K324" s="325">
        <f t="shared" si="61"/>
        <v>0</v>
      </c>
      <c r="L324" s="326" t="e">
        <f t="shared" si="62"/>
        <v>#DIV/0!</v>
      </c>
      <c r="M324" s="326" t="str">
        <f>IF(H324="Yes",IF(D324='Drop Down'!$W$4,0.9*L324,IF(D324='Drop Down'!$W$5,0.9*L324,IF(D324='Drop Down'!$W$10,0.9*L324,IF(D324='Drop Down'!$W$16,0.9*L324,"No credit allowed.")))),"N/A")</f>
        <v>N/A</v>
      </c>
      <c r="N324" s="327" t="e">
        <f>IF($D$20="Space-By-Space (90.1-2013)",INDEX(LPD2013SS,MATCH('Interior Lighting'!D324,LightingSpaceType,0)*W324),INDEX(LPD2013WB,MATCH('Interior Lighting'!D324,LightingSpaceType,0)))</f>
        <v>#N/A</v>
      </c>
      <c r="O324" s="327">
        <f t="shared" si="63"/>
        <v>0</v>
      </c>
      <c r="P324" s="407" t="e">
        <f t="shared" si="53"/>
        <v>#N/A</v>
      </c>
      <c r="Q324" s="407" t="e">
        <f t="shared" si="64"/>
        <v>#N/A</v>
      </c>
      <c r="R324" s="407" t="e">
        <f t="shared" si="54"/>
        <v>#N/A</v>
      </c>
      <c r="S324" s="324">
        <f t="shared" si="55"/>
        <v>0</v>
      </c>
      <c r="T324" s="924" t="str">
        <f t="shared" si="56"/>
        <v/>
      </c>
      <c r="U324" s="1221" t="str">
        <f t="shared" si="65"/>
        <v/>
      </c>
      <c r="W324" s="1098">
        <f t="shared" si="57"/>
        <v>1</v>
      </c>
      <c r="X324" s="1098" t="e">
        <f>INDEX(OSReq,MATCH('Interior Lighting'!D324,LightingSpaceType,0))</f>
        <v>#N/A</v>
      </c>
      <c r="Y324" s="1098" t="e">
        <f t="shared" si="58"/>
        <v>#N/A</v>
      </c>
      <c r="Z324" s="1098" t="e">
        <f t="shared" si="59"/>
        <v>#N/A</v>
      </c>
      <c r="AA324" s="1098" t="e">
        <f>INDEX(Lookup!$O$9:$O$24,MATCH('Interior Lighting'!Z324,Lookup!$K$9:$K$24,0))</f>
        <v>#N/A</v>
      </c>
      <c r="AB324" s="1098" t="e">
        <f>IF(E324="A",INDEX(Lookup!$L$9:$L$24,MATCH(Z324,Lookup!$K$9:$K$24,0)),IF(E324="B",INDEX(Lookup!$M$9:$M$24,MATCH(Z324,Lookup!$K$9:$K$24,0)),IF(E324="C",INDEX(Lookup!$N$9:$N$24,MATCH(Z324,Lookup!$K$9:$K$24,0)),"N/A")))</f>
        <v>#N/A</v>
      </c>
    </row>
    <row r="325" spans="1:28">
      <c r="A325" s="1006"/>
      <c r="B325" s="69"/>
      <c r="C325" s="323"/>
      <c r="D325" s="323"/>
      <c r="E325" s="324" t="e">
        <f>INDEX(Lookup!$I$9:$I$24,MATCH('Interior Lighting'!D325,Lookup!$C$9:$C$24,0))</f>
        <v>#N/A</v>
      </c>
      <c r="F325" s="69"/>
      <c r="G325" s="69"/>
      <c r="H325" s="69"/>
      <c r="I325" s="324" t="e">
        <f t="shared" si="60"/>
        <v>#N/A</v>
      </c>
      <c r="J325" s="170"/>
      <c r="K325" s="325">
        <f t="shared" si="61"/>
        <v>0</v>
      </c>
      <c r="L325" s="326" t="e">
        <f t="shared" si="62"/>
        <v>#DIV/0!</v>
      </c>
      <c r="M325" s="326" t="str">
        <f>IF(H325="Yes",IF(D325='Drop Down'!$W$4,0.9*L325,IF(D325='Drop Down'!$W$5,0.9*L325,IF(D325='Drop Down'!$W$10,0.9*L325,IF(D325='Drop Down'!$W$16,0.9*L325,"No credit allowed.")))),"N/A")</f>
        <v>N/A</v>
      </c>
      <c r="N325" s="327" t="e">
        <f>IF($D$20="Space-By-Space (90.1-2013)",INDEX(LPD2013SS,MATCH('Interior Lighting'!D325,LightingSpaceType,0)*W325),INDEX(LPD2013WB,MATCH('Interior Lighting'!D325,LightingSpaceType,0)))</f>
        <v>#N/A</v>
      </c>
      <c r="O325" s="327">
        <f t="shared" si="63"/>
        <v>0</v>
      </c>
      <c r="P325" s="407" t="e">
        <f t="shared" si="53"/>
        <v>#N/A</v>
      </c>
      <c r="Q325" s="407" t="e">
        <f t="shared" si="64"/>
        <v>#N/A</v>
      </c>
      <c r="R325" s="407" t="e">
        <f t="shared" si="54"/>
        <v>#N/A</v>
      </c>
      <c r="S325" s="324">
        <f t="shared" si="55"/>
        <v>0</v>
      </c>
      <c r="T325" s="924" t="str">
        <f t="shared" si="56"/>
        <v/>
      </c>
      <c r="U325" s="1221" t="str">
        <f t="shared" si="65"/>
        <v/>
      </c>
      <c r="W325" s="1098">
        <f t="shared" si="57"/>
        <v>1</v>
      </c>
      <c r="X325" s="1098" t="e">
        <f>INDEX(OSReq,MATCH('Interior Lighting'!D325,LightingSpaceType,0))</f>
        <v>#N/A</v>
      </c>
      <c r="Y325" s="1098" t="e">
        <f t="shared" si="58"/>
        <v>#N/A</v>
      </c>
      <c r="Z325" s="1098" t="e">
        <f t="shared" si="59"/>
        <v>#N/A</v>
      </c>
      <c r="AA325" s="1098" t="e">
        <f>INDEX(Lookup!$O$9:$O$24,MATCH('Interior Lighting'!Z325,Lookup!$K$9:$K$24,0))</f>
        <v>#N/A</v>
      </c>
      <c r="AB325" s="1098" t="e">
        <f>IF(E325="A",INDEX(Lookup!$L$9:$L$24,MATCH(Z325,Lookup!$K$9:$K$24,0)),IF(E325="B",INDEX(Lookup!$M$9:$M$24,MATCH(Z325,Lookup!$K$9:$K$24,0)),IF(E325="C",INDEX(Lookup!$N$9:$N$24,MATCH(Z325,Lookup!$K$9:$K$24,0)),"N/A")))</f>
        <v>#N/A</v>
      </c>
    </row>
    <row r="326" spans="1:28">
      <c r="A326" s="1006"/>
      <c r="B326" s="69"/>
      <c r="C326" s="330"/>
      <c r="D326" s="323"/>
      <c r="E326" s="324" t="e">
        <f>INDEX(Lookup!$I$9:$I$24,MATCH('Interior Lighting'!D326,Lookup!$C$9:$C$24,0))</f>
        <v>#N/A</v>
      </c>
      <c r="F326" s="69"/>
      <c r="G326" s="69"/>
      <c r="H326" s="69"/>
      <c r="I326" s="324" t="e">
        <f t="shared" si="60"/>
        <v>#N/A</v>
      </c>
      <c r="J326" s="170"/>
      <c r="K326" s="325">
        <f t="shared" si="61"/>
        <v>0</v>
      </c>
      <c r="L326" s="326" t="e">
        <f t="shared" si="62"/>
        <v>#DIV/0!</v>
      </c>
      <c r="M326" s="326" t="str">
        <f>IF(H326="Yes",IF(D326='Drop Down'!$W$4,0.9*L326,IF(D326='Drop Down'!$W$5,0.9*L326,IF(D326='Drop Down'!$W$10,0.9*L326,IF(D326='Drop Down'!$W$16,0.9*L326,"No credit allowed.")))),"N/A")</f>
        <v>N/A</v>
      </c>
      <c r="N326" s="327" t="e">
        <f>IF($D$20="Space-By-Space (90.1-2013)",INDEX(LPD2013SS,MATCH('Interior Lighting'!D326,LightingSpaceType,0)*W326),INDEX(LPD2013WB,MATCH('Interior Lighting'!D326,LightingSpaceType,0)))</f>
        <v>#N/A</v>
      </c>
      <c r="O326" s="327">
        <f t="shared" si="63"/>
        <v>0</v>
      </c>
      <c r="P326" s="407" t="e">
        <f t="shared" si="53"/>
        <v>#N/A</v>
      </c>
      <c r="Q326" s="407" t="e">
        <f t="shared" si="64"/>
        <v>#N/A</v>
      </c>
      <c r="R326" s="407" t="e">
        <f t="shared" si="54"/>
        <v>#N/A</v>
      </c>
      <c r="S326" s="324">
        <f t="shared" si="55"/>
        <v>0</v>
      </c>
      <c r="T326" s="924" t="str">
        <f t="shared" si="56"/>
        <v/>
      </c>
      <c r="U326" s="1221" t="str">
        <f t="shared" si="65"/>
        <v/>
      </c>
      <c r="W326" s="1098">
        <f t="shared" si="57"/>
        <v>1</v>
      </c>
      <c r="X326" s="1098" t="e">
        <f>INDEX(OSReq,MATCH('Interior Lighting'!D326,LightingSpaceType,0))</f>
        <v>#N/A</v>
      </c>
      <c r="Y326" s="1098" t="e">
        <f t="shared" si="58"/>
        <v>#N/A</v>
      </c>
      <c r="Z326" s="1098" t="e">
        <f t="shared" si="59"/>
        <v>#N/A</v>
      </c>
      <c r="AA326" s="1098" t="e">
        <f>INDEX(Lookup!$O$9:$O$24,MATCH('Interior Lighting'!Z326,Lookup!$K$9:$K$24,0))</f>
        <v>#N/A</v>
      </c>
      <c r="AB326" s="1098" t="e">
        <f>IF(E326="A",INDEX(Lookup!$L$9:$L$24,MATCH(Z326,Lookup!$K$9:$K$24,0)),IF(E326="B",INDEX(Lookup!$M$9:$M$24,MATCH(Z326,Lookup!$K$9:$K$24,0)),IF(E326="C",INDEX(Lookup!$N$9:$N$24,MATCH(Z326,Lookup!$K$9:$K$24,0)),"N/A")))</f>
        <v>#N/A</v>
      </c>
    </row>
    <row r="327" spans="1:28" ht="11.25" customHeight="1">
      <c r="A327" s="1006"/>
      <c r="B327" s="69"/>
      <c r="C327" s="323"/>
      <c r="D327" s="323"/>
      <c r="E327" s="324" t="e">
        <f>INDEX(Lookup!$I$9:$I$24,MATCH('Interior Lighting'!D327,Lookup!$C$9:$C$24,0))</f>
        <v>#N/A</v>
      </c>
      <c r="F327" s="69"/>
      <c r="G327" s="69"/>
      <c r="H327" s="69"/>
      <c r="I327" s="324" t="e">
        <f t="shared" si="60"/>
        <v>#N/A</v>
      </c>
      <c r="J327" s="170"/>
      <c r="K327" s="325">
        <f t="shared" si="61"/>
        <v>0</v>
      </c>
      <c r="L327" s="326" t="e">
        <f t="shared" si="62"/>
        <v>#DIV/0!</v>
      </c>
      <c r="M327" s="326" t="str">
        <f>IF(H327="Yes",IF(D327='Drop Down'!$W$4,0.9*L327,IF(D327='Drop Down'!$W$5,0.9*L327,IF(D327='Drop Down'!$W$10,0.9*L327,IF(D327='Drop Down'!$W$16,0.9*L327,"No credit allowed.")))),"N/A")</f>
        <v>N/A</v>
      </c>
      <c r="N327" s="327" t="e">
        <f>IF($D$20="Space-By-Space (90.1-2013)",INDEX(LPD2013SS,MATCH('Interior Lighting'!D327,LightingSpaceType,0)*W327),INDEX(LPD2013WB,MATCH('Interior Lighting'!D327,LightingSpaceType,0)))</f>
        <v>#N/A</v>
      </c>
      <c r="O327" s="327">
        <f t="shared" si="63"/>
        <v>0</v>
      </c>
      <c r="P327" s="407" t="e">
        <f t="shared" si="53"/>
        <v>#N/A</v>
      </c>
      <c r="Q327" s="407" t="e">
        <f t="shared" si="64"/>
        <v>#N/A</v>
      </c>
      <c r="R327" s="407" t="e">
        <f t="shared" si="54"/>
        <v>#N/A</v>
      </c>
      <c r="S327" s="324">
        <f t="shared" si="55"/>
        <v>0</v>
      </c>
      <c r="T327" s="924" t="str">
        <f t="shared" si="56"/>
        <v/>
      </c>
      <c r="U327" s="1221" t="str">
        <f t="shared" si="65"/>
        <v/>
      </c>
      <c r="W327" s="1098">
        <f t="shared" si="57"/>
        <v>1</v>
      </c>
      <c r="X327" s="1098" t="e">
        <f>INDEX(OSReq,MATCH('Interior Lighting'!D327,LightingSpaceType,0))</f>
        <v>#N/A</v>
      </c>
      <c r="Y327" s="1098" t="e">
        <f t="shared" si="58"/>
        <v>#N/A</v>
      </c>
      <c r="Z327" s="1098" t="e">
        <f t="shared" si="59"/>
        <v>#N/A</v>
      </c>
      <c r="AA327" s="1098" t="e">
        <f>INDEX(Lookup!$O$9:$O$24,MATCH('Interior Lighting'!Z327,Lookup!$K$9:$K$24,0))</f>
        <v>#N/A</v>
      </c>
      <c r="AB327" s="1098" t="e">
        <f>IF(E327="A",INDEX(Lookup!$L$9:$L$24,MATCH(Z327,Lookup!$K$9:$K$24,0)),IF(E327="B",INDEX(Lookup!$M$9:$M$24,MATCH(Z327,Lookup!$K$9:$K$24,0)),IF(E327="C",INDEX(Lookup!$N$9:$N$24,MATCH(Z327,Lookup!$K$9:$K$24,0)),"N/A")))</f>
        <v>#N/A</v>
      </c>
    </row>
    <row r="328" spans="1:28">
      <c r="A328" s="1006"/>
      <c r="B328" s="69"/>
      <c r="C328" s="323"/>
      <c r="D328" s="323"/>
      <c r="E328" s="324" t="e">
        <f>INDEX(Lookup!$I$9:$I$24,MATCH('Interior Lighting'!D328,Lookup!$C$9:$C$24,0))</f>
        <v>#N/A</v>
      </c>
      <c r="F328" s="69"/>
      <c r="G328" s="69"/>
      <c r="H328" s="69"/>
      <c r="I328" s="324" t="e">
        <f t="shared" si="60"/>
        <v>#N/A</v>
      </c>
      <c r="J328" s="170"/>
      <c r="K328" s="325">
        <f t="shared" si="61"/>
        <v>0</v>
      </c>
      <c r="L328" s="326" t="e">
        <f t="shared" si="62"/>
        <v>#DIV/0!</v>
      </c>
      <c r="M328" s="326" t="str">
        <f>IF(H328="Yes",IF(D328='Drop Down'!$W$4,0.9*L328,IF(D328='Drop Down'!$W$5,0.9*L328,IF(D328='Drop Down'!$W$10,0.9*L328,IF(D328='Drop Down'!$W$16,0.9*L328,"No credit allowed.")))),"N/A")</f>
        <v>N/A</v>
      </c>
      <c r="N328" s="327" t="e">
        <f>IF($D$20="Space-By-Space (90.1-2013)",INDEX(LPD2013SS,MATCH('Interior Lighting'!D328,LightingSpaceType,0)*W328),INDEX(LPD2013WB,MATCH('Interior Lighting'!D328,LightingSpaceType,0)))</f>
        <v>#N/A</v>
      </c>
      <c r="O328" s="327">
        <f t="shared" si="63"/>
        <v>0</v>
      </c>
      <c r="P328" s="407" t="e">
        <f t="shared" si="53"/>
        <v>#N/A</v>
      </c>
      <c r="Q328" s="407" t="e">
        <f t="shared" si="64"/>
        <v>#N/A</v>
      </c>
      <c r="R328" s="407" t="e">
        <f t="shared" si="54"/>
        <v>#N/A</v>
      </c>
      <c r="S328" s="324">
        <f t="shared" si="55"/>
        <v>0</v>
      </c>
      <c r="T328" s="924" t="str">
        <f t="shared" si="56"/>
        <v/>
      </c>
      <c r="U328" s="1221" t="str">
        <f t="shared" si="65"/>
        <v/>
      </c>
      <c r="W328" s="1098">
        <f t="shared" si="57"/>
        <v>1</v>
      </c>
      <c r="X328" s="1098" t="e">
        <f>INDEX(OSReq,MATCH('Interior Lighting'!D328,LightingSpaceType,0))</f>
        <v>#N/A</v>
      </c>
      <c r="Y328" s="1098" t="e">
        <f t="shared" si="58"/>
        <v>#N/A</v>
      </c>
      <c r="Z328" s="1098" t="e">
        <f t="shared" si="59"/>
        <v>#N/A</v>
      </c>
      <c r="AA328" s="1098" t="e">
        <f>INDEX(Lookup!$O$9:$O$24,MATCH('Interior Lighting'!Z328,Lookup!$K$9:$K$24,0))</f>
        <v>#N/A</v>
      </c>
      <c r="AB328" s="1098" t="e">
        <f>IF(E328="A",INDEX(Lookup!$L$9:$L$24,MATCH(Z328,Lookup!$K$9:$K$24,0)),IF(E328="B",INDEX(Lookup!$M$9:$M$24,MATCH(Z328,Lookup!$K$9:$K$24,0)),IF(E328="C",INDEX(Lookup!$N$9:$N$24,MATCH(Z328,Lookup!$K$9:$K$24,0)),"N/A")))</f>
        <v>#N/A</v>
      </c>
    </row>
    <row r="329" spans="1:28">
      <c r="A329" s="1006"/>
      <c r="B329" s="69"/>
      <c r="C329" s="323"/>
      <c r="D329" s="323"/>
      <c r="E329" s="324" t="e">
        <f>INDEX(Lookup!$I$9:$I$24,MATCH('Interior Lighting'!D329,Lookup!$C$9:$C$24,0))</f>
        <v>#N/A</v>
      </c>
      <c r="F329" s="69"/>
      <c r="G329" s="69"/>
      <c r="H329" s="69"/>
      <c r="I329" s="324" t="e">
        <f t="shared" si="60"/>
        <v>#N/A</v>
      </c>
      <c r="J329" s="170"/>
      <c r="K329" s="325">
        <f t="shared" si="61"/>
        <v>0</v>
      </c>
      <c r="L329" s="326" t="e">
        <f t="shared" si="62"/>
        <v>#DIV/0!</v>
      </c>
      <c r="M329" s="326" t="str">
        <f>IF(H329="Yes",IF(D329='Drop Down'!$W$4,0.9*L329,IF(D329='Drop Down'!$W$5,0.9*L329,IF(D329='Drop Down'!$W$10,0.9*L329,IF(D329='Drop Down'!$W$16,0.9*L329,"No credit allowed.")))),"N/A")</f>
        <v>N/A</v>
      </c>
      <c r="N329" s="327" t="e">
        <f>IF($D$20="Space-By-Space (90.1-2013)",INDEX(LPD2013SS,MATCH('Interior Lighting'!D329,LightingSpaceType,0)*W329),INDEX(LPD2013WB,MATCH('Interior Lighting'!D329,LightingSpaceType,0)))</f>
        <v>#N/A</v>
      </c>
      <c r="O329" s="327">
        <f t="shared" si="63"/>
        <v>0</v>
      </c>
      <c r="P329" s="407" t="e">
        <f t="shared" si="53"/>
        <v>#N/A</v>
      </c>
      <c r="Q329" s="407" t="e">
        <f t="shared" si="64"/>
        <v>#N/A</v>
      </c>
      <c r="R329" s="407" t="e">
        <f t="shared" si="54"/>
        <v>#N/A</v>
      </c>
      <c r="S329" s="324">
        <f t="shared" si="55"/>
        <v>0</v>
      </c>
      <c r="T329" s="924" t="str">
        <f t="shared" si="56"/>
        <v/>
      </c>
      <c r="U329" s="1221" t="str">
        <f t="shared" si="65"/>
        <v/>
      </c>
      <c r="W329" s="1098">
        <f t="shared" si="57"/>
        <v>1</v>
      </c>
      <c r="X329" s="1098" t="e">
        <f>INDEX(OSReq,MATCH('Interior Lighting'!D329,LightingSpaceType,0))</f>
        <v>#N/A</v>
      </c>
      <c r="Y329" s="1098" t="e">
        <f t="shared" si="58"/>
        <v>#N/A</v>
      </c>
      <c r="Z329" s="1098" t="e">
        <f t="shared" si="59"/>
        <v>#N/A</v>
      </c>
      <c r="AA329" s="1098" t="e">
        <f>INDEX(Lookup!$O$9:$O$24,MATCH('Interior Lighting'!Z329,Lookup!$K$9:$K$24,0))</f>
        <v>#N/A</v>
      </c>
      <c r="AB329" s="1098" t="e">
        <f>IF(E329="A",INDEX(Lookup!$L$9:$L$24,MATCH(Z329,Lookup!$K$9:$K$24,0)),IF(E329="B",INDEX(Lookup!$M$9:$M$24,MATCH(Z329,Lookup!$K$9:$K$24,0)),IF(E329="C",INDEX(Lookup!$N$9:$N$24,MATCH(Z329,Lookup!$K$9:$K$24,0)),"N/A")))</f>
        <v>#N/A</v>
      </c>
    </row>
    <row r="330" spans="1:28">
      <c r="A330" s="1006"/>
      <c r="B330" s="69"/>
      <c r="C330" s="323"/>
      <c r="D330" s="323"/>
      <c r="E330" s="324" t="e">
        <f>INDEX(Lookup!$I$9:$I$24,MATCH('Interior Lighting'!D330,Lookup!$C$9:$C$24,0))</f>
        <v>#N/A</v>
      </c>
      <c r="F330" s="69"/>
      <c r="G330" s="69"/>
      <c r="H330" s="69"/>
      <c r="I330" s="324" t="e">
        <f t="shared" si="60"/>
        <v>#N/A</v>
      </c>
      <c r="J330" s="170"/>
      <c r="K330" s="325">
        <f t="shared" si="61"/>
        <v>0</v>
      </c>
      <c r="L330" s="326" t="e">
        <f t="shared" si="62"/>
        <v>#DIV/0!</v>
      </c>
      <c r="M330" s="326" t="str">
        <f>IF(H330="Yes",IF(D330='Drop Down'!$W$4,0.9*L330,IF(D330='Drop Down'!$W$5,0.9*L330,IF(D330='Drop Down'!$W$10,0.9*L330,IF(D330='Drop Down'!$W$16,0.9*L330,"No credit allowed.")))),"N/A")</f>
        <v>N/A</v>
      </c>
      <c r="N330" s="327" t="e">
        <f>IF($D$20="Space-By-Space (90.1-2013)",INDEX(LPD2013SS,MATCH('Interior Lighting'!D330,LightingSpaceType,0)*W330),INDEX(LPD2013WB,MATCH('Interior Lighting'!D330,LightingSpaceType,0)))</f>
        <v>#N/A</v>
      </c>
      <c r="O330" s="327">
        <f t="shared" si="63"/>
        <v>0</v>
      </c>
      <c r="P330" s="407" t="e">
        <f t="shared" si="53"/>
        <v>#N/A</v>
      </c>
      <c r="Q330" s="407" t="e">
        <f t="shared" si="64"/>
        <v>#N/A</v>
      </c>
      <c r="R330" s="407" t="e">
        <f t="shared" si="54"/>
        <v>#N/A</v>
      </c>
      <c r="S330" s="324">
        <f t="shared" si="55"/>
        <v>0</v>
      </c>
      <c r="T330" s="924" t="str">
        <f t="shared" si="56"/>
        <v/>
      </c>
      <c r="U330" s="1221" t="str">
        <f t="shared" si="65"/>
        <v/>
      </c>
      <c r="W330" s="1098">
        <f t="shared" si="57"/>
        <v>1</v>
      </c>
      <c r="X330" s="1098" t="e">
        <f>INDEX(OSReq,MATCH('Interior Lighting'!D330,LightingSpaceType,0))</f>
        <v>#N/A</v>
      </c>
      <c r="Y330" s="1098" t="e">
        <f t="shared" si="58"/>
        <v>#N/A</v>
      </c>
      <c r="Z330" s="1098" t="e">
        <f t="shared" si="59"/>
        <v>#N/A</v>
      </c>
      <c r="AA330" s="1098" t="e">
        <f>INDEX(Lookup!$O$9:$O$24,MATCH('Interior Lighting'!Z330,Lookup!$K$9:$K$24,0))</f>
        <v>#N/A</v>
      </c>
      <c r="AB330" s="1098" t="e">
        <f>IF(E330="A",INDEX(Lookup!$L$9:$L$24,MATCH(Z330,Lookup!$K$9:$K$24,0)),IF(E330="B",INDEX(Lookup!$M$9:$M$24,MATCH(Z330,Lookup!$K$9:$K$24,0)),IF(E330="C",INDEX(Lookup!$N$9:$N$24,MATCH(Z330,Lookup!$K$9:$K$24,0)),"N/A")))</f>
        <v>#N/A</v>
      </c>
    </row>
    <row r="331" spans="1:28">
      <c r="A331" s="1006"/>
      <c r="B331" s="69"/>
      <c r="C331" s="323"/>
      <c r="D331" s="323"/>
      <c r="E331" s="324" t="e">
        <f>INDEX(Lookup!$I$9:$I$24,MATCH('Interior Lighting'!D331,Lookup!$C$9:$C$24,0))</f>
        <v>#N/A</v>
      </c>
      <c r="F331" s="69"/>
      <c r="G331" s="69"/>
      <c r="H331" s="69"/>
      <c r="I331" s="324" t="e">
        <f t="shared" si="60"/>
        <v>#N/A</v>
      </c>
      <c r="J331" s="170"/>
      <c r="K331" s="325">
        <f t="shared" si="61"/>
        <v>0</v>
      </c>
      <c r="L331" s="326" t="e">
        <f t="shared" si="62"/>
        <v>#DIV/0!</v>
      </c>
      <c r="M331" s="326" t="str">
        <f>IF(H331="Yes",IF(D331='Drop Down'!$W$4,0.9*L331,IF(D331='Drop Down'!$W$5,0.9*L331,IF(D331='Drop Down'!$W$10,0.9*L331,IF(D331='Drop Down'!$W$16,0.9*L331,"No credit allowed.")))),"N/A")</f>
        <v>N/A</v>
      </c>
      <c r="N331" s="327" t="e">
        <f>IF($D$20="Space-By-Space (90.1-2013)",INDEX(LPD2013SS,MATCH('Interior Lighting'!D331,LightingSpaceType,0)*W331),INDEX(LPD2013WB,MATCH('Interior Lighting'!D331,LightingSpaceType,0)))</f>
        <v>#N/A</v>
      </c>
      <c r="O331" s="327">
        <f t="shared" si="63"/>
        <v>0</v>
      </c>
      <c r="P331" s="407" t="e">
        <f t="shared" si="53"/>
        <v>#N/A</v>
      </c>
      <c r="Q331" s="407" t="e">
        <f t="shared" si="64"/>
        <v>#N/A</v>
      </c>
      <c r="R331" s="407" t="e">
        <f t="shared" si="54"/>
        <v>#N/A</v>
      </c>
      <c r="S331" s="324">
        <f t="shared" si="55"/>
        <v>0</v>
      </c>
      <c r="T331" s="924" t="str">
        <f t="shared" si="56"/>
        <v/>
      </c>
      <c r="U331" s="1221" t="str">
        <f t="shared" si="65"/>
        <v/>
      </c>
      <c r="W331" s="1098">
        <f t="shared" si="57"/>
        <v>1</v>
      </c>
      <c r="X331" s="1098" t="e">
        <f>INDEX(OSReq,MATCH('Interior Lighting'!D331,LightingSpaceType,0))</f>
        <v>#N/A</v>
      </c>
      <c r="Y331" s="1098" t="e">
        <f t="shared" si="58"/>
        <v>#N/A</v>
      </c>
      <c r="Z331" s="1098" t="e">
        <f t="shared" si="59"/>
        <v>#N/A</v>
      </c>
      <c r="AA331" s="1098" t="e">
        <f>INDEX(Lookup!$O$9:$O$24,MATCH('Interior Lighting'!Z331,Lookup!$K$9:$K$24,0))</f>
        <v>#N/A</v>
      </c>
      <c r="AB331" s="1098" t="e">
        <f>IF(E331="A",INDEX(Lookup!$L$9:$L$24,MATCH(Z331,Lookup!$K$9:$K$24,0)),IF(E331="B",INDEX(Lookup!$M$9:$M$24,MATCH(Z331,Lookup!$K$9:$K$24,0)),IF(E331="C",INDEX(Lookup!$N$9:$N$24,MATCH(Z331,Lookup!$K$9:$K$24,0)),"N/A")))</f>
        <v>#N/A</v>
      </c>
    </row>
    <row r="332" spans="1:28">
      <c r="A332" s="1006"/>
      <c r="B332" s="69"/>
      <c r="C332" s="330"/>
      <c r="D332" s="323"/>
      <c r="E332" s="324" t="e">
        <f>INDEX(Lookup!$I$9:$I$24,MATCH('Interior Lighting'!D332,Lookup!$C$9:$C$24,0))</f>
        <v>#N/A</v>
      </c>
      <c r="F332" s="69"/>
      <c r="G332" s="69"/>
      <c r="H332" s="69"/>
      <c r="I332" s="324" t="e">
        <f t="shared" si="60"/>
        <v>#N/A</v>
      </c>
      <c r="J332" s="170"/>
      <c r="K332" s="325">
        <f t="shared" si="61"/>
        <v>0</v>
      </c>
      <c r="L332" s="326" t="e">
        <f t="shared" si="62"/>
        <v>#DIV/0!</v>
      </c>
      <c r="M332" s="326" t="str">
        <f>IF(H332="Yes",IF(D332='Drop Down'!$W$4,0.9*L332,IF(D332='Drop Down'!$W$5,0.9*L332,IF(D332='Drop Down'!$W$10,0.9*L332,IF(D332='Drop Down'!$W$16,0.9*L332,"No credit allowed.")))),"N/A")</f>
        <v>N/A</v>
      </c>
      <c r="N332" s="327" t="e">
        <f>IF($D$20="Space-By-Space (90.1-2013)",INDEX(LPD2013SS,MATCH('Interior Lighting'!D332,LightingSpaceType,0)*W332),INDEX(LPD2013WB,MATCH('Interior Lighting'!D332,LightingSpaceType,0)))</f>
        <v>#N/A</v>
      </c>
      <c r="O332" s="327">
        <f t="shared" si="63"/>
        <v>0</v>
      </c>
      <c r="P332" s="407" t="e">
        <f t="shared" si="53"/>
        <v>#N/A</v>
      </c>
      <c r="Q332" s="407" t="e">
        <f t="shared" si="64"/>
        <v>#N/A</v>
      </c>
      <c r="R332" s="407" t="e">
        <f t="shared" si="54"/>
        <v>#N/A</v>
      </c>
      <c r="S332" s="324">
        <f t="shared" si="55"/>
        <v>0</v>
      </c>
      <c r="T332" s="924" t="str">
        <f t="shared" si="56"/>
        <v/>
      </c>
      <c r="U332" s="1221" t="str">
        <f t="shared" si="65"/>
        <v/>
      </c>
      <c r="W332" s="1098">
        <f t="shared" si="57"/>
        <v>1</v>
      </c>
      <c r="X332" s="1098" t="e">
        <f>INDEX(OSReq,MATCH('Interior Lighting'!D332,LightingSpaceType,0))</f>
        <v>#N/A</v>
      </c>
      <c r="Y332" s="1098" t="e">
        <f t="shared" si="58"/>
        <v>#N/A</v>
      </c>
      <c r="Z332" s="1098" t="e">
        <f t="shared" si="59"/>
        <v>#N/A</v>
      </c>
      <c r="AA332" s="1098" t="e">
        <f>INDEX(Lookup!$O$9:$O$24,MATCH('Interior Lighting'!Z332,Lookup!$K$9:$K$24,0))</f>
        <v>#N/A</v>
      </c>
      <c r="AB332" s="1098" t="e">
        <f>IF(E332="A",INDEX(Lookup!$L$9:$L$24,MATCH(Z332,Lookup!$K$9:$K$24,0)),IF(E332="B",INDEX(Lookup!$M$9:$M$24,MATCH(Z332,Lookup!$K$9:$K$24,0)),IF(E332="C",INDEX(Lookup!$N$9:$N$24,MATCH(Z332,Lookup!$K$9:$K$24,0)),"N/A")))</f>
        <v>#N/A</v>
      </c>
    </row>
    <row r="333" spans="1:28" ht="11.25" customHeight="1">
      <c r="A333" s="1006"/>
      <c r="B333" s="69"/>
      <c r="C333" s="323"/>
      <c r="D333" s="323"/>
      <c r="E333" s="324" t="e">
        <f>INDEX(Lookup!$I$9:$I$24,MATCH('Interior Lighting'!D333,Lookup!$C$9:$C$24,0))</f>
        <v>#N/A</v>
      </c>
      <c r="F333" s="69"/>
      <c r="G333" s="69"/>
      <c r="H333" s="69"/>
      <c r="I333" s="324" t="e">
        <f t="shared" si="60"/>
        <v>#N/A</v>
      </c>
      <c r="J333" s="170"/>
      <c r="K333" s="325">
        <f t="shared" si="61"/>
        <v>0</v>
      </c>
      <c r="L333" s="326" t="e">
        <f t="shared" si="62"/>
        <v>#DIV/0!</v>
      </c>
      <c r="M333" s="326" t="str">
        <f>IF(H333="Yes",IF(D333='Drop Down'!$W$4,0.9*L333,IF(D333='Drop Down'!$W$5,0.9*L333,IF(D333='Drop Down'!$W$10,0.9*L333,IF(D333='Drop Down'!$W$16,0.9*L333,"No credit allowed.")))),"N/A")</f>
        <v>N/A</v>
      </c>
      <c r="N333" s="327" t="e">
        <f>IF($D$20="Space-By-Space (90.1-2013)",INDEX(LPD2013SS,MATCH('Interior Lighting'!D333,LightingSpaceType,0)*W333),INDEX(LPD2013WB,MATCH('Interior Lighting'!D333,LightingSpaceType,0)))</f>
        <v>#N/A</v>
      </c>
      <c r="O333" s="327">
        <f t="shared" si="63"/>
        <v>0</v>
      </c>
      <c r="P333" s="407" t="e">
        <f t="shared" si="53"/>
        <v>#N/A</v>
      </c>
      <c r="Q333" s="407" t="e">
        <f t="shared" si="64"/>
        <v>#N/A</v>
      </c>
      <c r="R333" s="407" t="e">
        <f t="shared" si="54"/>
        <v>#N/A</v>
      </c>
      <c r="S333" s="324">
        <f t="shared" si="55"/>
        <v>0</v>
      </c>
      <c r="T333" s="924" t="str">
        <f t="shared" si="56"/>
        <v/>
      </c>
      <c r="U333" s="1221" t="str">
        <f t="shared" si="65"/>
        <v/>
      </c>
      <c r="W333" s="1098">
        <f t="shared" si="57"/>
        <v>1</v>
      </c>
      <c r="X333" s="1098" t="e">
        <f>INDEX(OSReq,MATCH('Interior Lighting'!D333,LightingSpaceType,0))</f>
        <v>#N/A</v>
      </c>
      <c r="Y333" s="1098" t="e">
        <f t="shared" si="58"/>
        <v>#N/A</v>
      </c>
      <c r="Z333" s="1098" t="e">
        <f t="shared" si="59"/>
        <v>#N/A</v>
      </c>
      <c r="AA333" s="1098" t="e">
        <f>INDEX(Lookup!$O$9:$O$24,MATCH('Interior Lighting'!Z333,Lookup!$K$9:$K$24,0))</f>
        <v>#N/A</v>
      </c>
      <c r="AB333" s="1098" t="e">
        <f>IF(E333="A",INDEX(Lookup!$L$9:$L$24,MATCH(Z333,Lookup!$K$9:$K$24,0)),IF(E333="B",INDEX(Lookup!$M$9:$M$24,MATCH(Z333,Lookup!$K$9:$K$24,0)),IF(E333="C",INDEX(Lookup!$N$9:$N$24,MATCH(Z333,Lookup!$K$9:$K$24,0)),"N/A")))</f>
        <v>#N/A</v>
      </c>
    </row>
    <row r="334" spans="1:28">
      <c r="A334" s="1006"/>
      <c r="B334" s="69"/>
      <c r="C334" s="323"/>
      <c r="D334" s="323"/>
      <c r="E334" s="324" t="e">
        <f>INDEX(Lookup!$I$9:$I$24,MATCH('Interior Lighting'!D334,Lookup!$C$9:$C$24,0))</f>
        <v>#N/A</v>
      </c>
      <c r="F334" s="69"/>
      <c r="G334" s="69"/>
      <c r="H334" s="69"/>
      <c r="I334" s="324" t="e">
        <f t="shared" si="60"/>
        <v>#N/A</v>
      </c>
      <c r="J334" s="170"/>
      <c r="K334" s="325">
        <f t="shared" si="61"/>
        <v>0</v>
      </c>
      <c r="L334" s="326" t="e">
        <f t="shared" si="62"/>
        <v>#DIV/0!</v>
      </c>
      <c r="M334" s="326" t="str">
        <f>IF(H334="Yes",IF(D334='Drop Down'!$W$4,0.9*L334,IF(D334='Drop Down'!$W$5,0.9*L334,IF(D334='Drop Down'!$W$10,0.9*L334,IF(D334='Drop Down'!$W$16,0.9*L334,"No credit allowed.")))),"N/A")</f>
        <v>N/A</v>
      </c>
      <c r="N334" s="327" t="e">
        <f>IF($D$20="Space-By-Space (90.1-2013)",INDEX(LPD2013SS,MATCH('Interior Lighting'!D334,LightingSpaceType,0)*W334),INDEX(LPD2013WB,MATCH('Interior Lighting'!D334,LightingSpaceType,0)))</f>
        <v>#N/A</v>
      </c>
      <c r="O334" s="327">
        <f t="shared" si="63"/>
        <v>0</v>
      </c>
      <c r="P334" s="407" t="e">
        <f t="shared" si="53"/>
        <v>#N/A</v>
      </c>
      <c r="Q334" s="407" t="e">
        <f t="shared" si="64"/>
        <v>#N/A</v>
      </c>
      <c r="R334" s="407" t="e">
        <f t="shared" si="54"/>
        <v>#N/A</v>
      </c>
      <c r="S334" s="324">
        <f t="shared" si="55"/>
        <v>0</v>
      </c>
      <c r="T334" s="924" t="str">
        <f t="shared" si="56"/>
        <v/>
      </c>
      <c r="U334" s="1221" t="str">
        <f t="shared" si="65"/>
        <v/>
      </c>
      <c r="W334" s="1098">
        <f t="shared" si="57"/>
        <v>1</v>
      </c>
      <c r="X334" s="1098" t="e">
        <f>INDEX(OSReq,MATCH('Interior Lighting'!D334,LightingSpaceType,0))</f>
        <v>#N/A</v>
      </c>
      <c r="Y334" s="1098" t="e">
        <f t="shared" si="58"/>
        <v>#N/A</v>
      </c>
      <c r="Z334" s="1098" t="e">
        <f t="shared" si="59"/>
        <v>#N/A</v>
      </c>
      <c r="AA334" s="1098" t="e">
        <f>INDEX(Lookup!$O$9:$O$24,MATCH('Interior Lighting'!Z334,Lookup!$K$9:$K$24,0))</f>
        <v>#N/A</v>
      </c>
      <c r="AB334" s="1098" t="e">
        <f>IF(E334="A",INDEX(Lookup!$L$9:$L$24,MATCH(Z334,Lookup!$K$9:$K$24,0)),IF(E334="B",INDEX(Lookup!$M$9:$M$24,MATCH(Z334,Lookup!$K$9:$K$24,0)),IF(E334="C",INDEX(Lookup!$N$9:$N$24,MATCH(Z334,Lookup!$K$9:$K$24,0)),"N/A")))</f>
        <v>#N/A</v>
      </c>
    </row>
    <row r="335" spans="1:28">
      <c r="A335" s="1006"/>
      <c r="B335" s="69"/>
      <c r="C335" s="323"/>
      <c r="D335" s="323"/>
      <c r="E335" s="324" t="e">
        <f>INDEX(Lookup!$I$9:$I$24,MATCH('Interior Lighting'!D335,Lookup!$C$9:$C$24,0))</f>
        <v>#N/A</v>
      </c>
      <c r="F335" s="69"/>
      <c r="G335" s="69"/>
      <c r="H335" s="69"/>
      <c r="I335" s="324" t="e">
        <f t="shared" si="60"/>
        <v>#N/A</v>
      </c>
      <c r="J335" s="170"/>
      <c r="K335" s="325">
        <f t="shared" si="61"/>
        <v>0</v>
      </c>
      <c r="L335" s="326" t="e">
        <f t="shared" si="62"/>
        <v>#DIV/0!</v>
      </c>
      <c r="M335" s="326" t="str">
        <f>IF(H335="Yes",IF(D335='Drop Down'!$W$4,0.9*L335,IF(D335='Drop Down'!$W$5,0.9*L335,IF(D335='Drop Down'!$W$10,0.9*L335,IF(D335='Drop Down'!$W$16,0.9*L335,"No credit allowed.")))),"N/A")</f>
        <v>N/A</v>
      </c>
      <c r="N335" s="327" t="e">
        <f>IF($D$20="Space-By-Space (90.1-2013)",INDEX(LPD2013SS,MATCH('Interior Lighting'!D335,LightingSpaceType,0)*W335),INDEX(LPD2013WB,MATCH('Interior Lighting'!D335,LightingSpaceType,0)))</f>
        <v>#N/A</v>
      </c>
      <c r="O335" s="327">
        <f t="shared" si="63"/>
        <v>0</v>
      </c>
      <c r="P335" s="407" t="e">
        <f t="shared" si="53"/>
        <v>#N/A</v>
      </c>
      <c r="Q335" s="407" t="e">
        <f t="shared" si="64"/>
        <v>#N/A</v>
      </c>
      <c r="R335" s="407" t="e">
        <f t="shared" si="54"/>
        <v>#N/A</v>
      </c>
      <c r="S335" s="324">
        <f t="shared" si="55"/>
        <v>0</v>
      </c>
      <c r="T335" s="924" t="str">
        <f t="shared" si="56"/>
        <v/>
      </c>
      <c r="U335" s="1221" t="str">
        <f t="shared" si="65"/>
        <v/>
      </c>
      <c r="W335" s="1098">
        <f t="shared" si="57"/>
        <v>1</v>
      </c>
      <c r="X335" s="1098" t="e">
        <f>INDEX(OSReq,MATCH('Interior Lighting'!D335,LightingSpaceType,0))</f>
        <v>#N/A</v>
      </c>
      <c r="Y335" s="1098" t="e">
        <f t="shared" si="58"/>
        <v>#N/A</v>
      </c>
      <c r="Z335" s="1098" t="e">
        <f t="shared" si="59"/>
        <v>#N/A</v>
      </c>
      <c r="AA335" s="1098" t="e">
        <f>INDEX(Lookup!$O$9:$O$24,MATCH('Interior Lighting'!Z335,Lookup!$K$9:$K$24,0))</f>
        <v>#N/A</v>
      </c>
      <c r="AB335" s="1098" t="e">
        <f>IF(E335="A",INDEX(Lookup!$L$9:$L$24,MATCH(Z335,Lookup!$K$9:$K$24,0)),IF(E335="B",INDEX(Lookup!$M$9:$M$24,MATCH(Z335,Lookup!$K$9:$K$24,0)),IF(E335="C",INDEX(Lookup!$N$9:$N$24,MATCH(Z335,Lookup!$K$9:$K$24,0)),"N/A")))</f>
        <v>#N/A</v>
      </c>
    </row>
    <row r="336" spans="1:28">
      <c r="A336" s="1006"/>
      <c r="B336" s="69"/>
      <c r="C336" s="323"/>
      <c r="D336" s="323"/>
      <c r="E336" s="324" t="e">
        <f>INDEX(Lookup!$I$9:$I$24,MATCH('Interior Lighting'!D336,Lookup!$C$9:$C$24,0))</f>
        <v>#N/A</v>
      </c>
      <c r="F336" s="69"/>
      <c r="G336" s="69"/>
      <c r="H336" s="69"/>
      <c r="I336" s="324" t="e">
        <f t="shared" si="60"/>
        <v>#N/A</v>
      </c>
      <c r="J336" s="170"/>
      <c r="K336" s="325">
        <f t="shared" si="61"/>
        <v>0</v>
      </c>
      <c r="L336" s="326" t="e">
        <f t="shared" si="62"/>
        <v>#DIV/0!</v>
      </c>
      <c r="M336" s="326" t="str">
        <f>IF(H336="Yes",IF(D336='Drop Down'!$W$4,0.9*L336,IF(D336='Drop Down'!$W$5,0.9*L336,IF(D336='Drop Down'!$W$10,0.9*L336,IF(D336='Drop Down'!$W$16,0.9*L336,"No credit allowed.")))),"N/A")</f>
        <v>N/A</v>
      </c>
      <c r="N336" s="327" t="e">
        <f>IF($D$20="Space-By-Space (90.1-2013)",INDEX(LPD2013SS,MATCH('Interior Lighting'!D336,LightingSpaceType,0)*W336),INDEX(LPD2013WB,MATCH('Interior Lighting'!D336,LightingSpaceType,0)))</f>
        <v>#N/A</v>
      </c>
      <c r="O336" s="327">
        <f t="shared" si="63"/>
        <v>0</v>
      </c>
      <c r="P336" s="407" t="e">
        <f t="shared" si="53"/>
        <v>#N/A</v>
      </c>
      <c r="Q336" s="407" t="e">
        <f t="shared" si="64"/>
        <v>#N/A</v>
      </c>
      <c r="R336" s="407" t="e">
        <f t="shared" si="54"/>
        <v>#N/A</v>
      </c>
      <c r="S336" s="324">
        <f t="shared" si="55"/>
        <v>0</v>
      </c>
      <c r="T336" s="924" t="str">
        <f t="shared" si="56"/>
        <v/>
      </c>
      <c r="U336" s="1221" t="str">
        <f t="shared" si="65"/>
        <v/>
      </c>
      <c r="W336" s="1098">
        <f t="shared" si="57"/>
        <v>1</v>
      </c>
      <c r="X336" s="1098" t="e">
        <f>INDEX(OSReq,MATCH('Interior Lighting'!D336,LightingSpaceType,0))</f>
        <v>#N/A</v>
      </c>
      <c r="Y336" s="1098" t="e">
        <f t="shared" si="58"/>
        <v>#N/A</v>
      </c>
      <c r="Z336" s="1098" t="e">
        <f t="shared" si="59"/>
        <v>#N/A</v>
      </c>
      <c r="AA336" s="1098" t="e">
        <f>INDEX(Lookup!$O$9:$O$24,MATCH('Interior Lighting'!Z336,Lookup!$K$9:$K$24,0))</f>
        <v>#N/A</v>
      </c>
      <c r="AB336" s="1098" t="e">
        <f>IF(E336="A",INDEX(Lookup!$L$9:$L$24,MATCH(Z336,Lookup!$K$9:$K$24,0)),IF(E336="B",INDEX(Lookup!$M$9:$M$24,MATCH(Z336,Lookup!$K$9:$K$24,0)),IF(E336="C",INDEX(Lookup!$N$9:$N$24,MATCH(Z336,Lookup!$K$9:$K$24,0)),"N/A")))</f>
        <v>#N/A</v>
      </c>
    </row>
    <row r="337" spans="1:28">
      <c r="A337" s="1006"/>
      <c r="B337" s="69"/>
      <c r="C337" s="323"/>
      <c r="D337" s="323"/>
      <c r="E337" s="324" t="e">
        <f>INDEX(Lookup!$I$9:$I$24,MATCH('Interior Lighting'!D337,Lookup!$C$9:$C$24,0))</f>
        <v>#N/A</v>
      </c>
      <c r="F337" s="69"/>
      <c r="G337" s="69"/>
      <c r="H337" s="69"/>
      <c r="I337" s="324" t="e">
        <f t="shared" si="60"/>
        <v>#N/A</v>
      </c>
      <c r="J337" s="170"/>
      <c r="K337" s="325">
        <f t="shared" si="61"/>
        <v>0</v>
      </c>
      <c r="L337" s="326" t="e">
        <f t="shared" si="62"/>
        <v>#DIV/0!</v>
      </c>
      <c r="M337" s="326" t="str">
        <f>IF(H337="Yes",IF(D337='Drop Down'!$W$4,0.9*L337,IF(D337='Drop Down'!$W$5,0.9*L337,IF(D337='Drop Down'!$W$10,0.9*L337,IF(D337='Drop Down'!$W$16,0.9*L337,"No credit allowed.")))),"N/A")</f>
        <v>N/A</v>
      </c>
      <c r="N337" s="327" t="e">
        <f>IF($D$20="Space-By-Space (90.1-2013)",INDEX(LPD2013SS,MATCH('Interior Lighting'!D337,LightingSpaceType,0)*W337),INDEX(LPD2013WB,MATCH('Interior Lighting'!D337,LightingSpaceType,0)))</f>
        <v>#N/A</v>
      </c>
      <c r="O337" s="327">
        <f t="shared" si="63"/>
        <v>0</v>
      </c>
      <c r="P337" s="407" t="e">
        <f t="shared" si="53"/>
        <v>#N/A</v>
      </c>
      <c r="Q337" s="407" t="e">
        <f t="shared" si="64"/>
        <v>#N/A</v>
      </c>
      <c r="R337" s="407" t="e">
        <f t="shared" si="54"/>
        <v>#N/A</v>
      </c>
      <c r="S337" s="324">
        <f t="shared" si="55"/>
        <v>0</v>
      </c>
      <c r="T337" s="924" t="str">
        <f t="shared" si="56"/>
        <v/>
      </c>
      <c r="U337" s="1221" t="str">
        <f t="shared" si="65"/>
        <v/>
      </c>
      <c r="W337" s="1098">
        <f t="shared" si="57"/>
        <v>1</v>
      </c>
      <c r="X337" s="1098" t="e">
        <f>INDEX(OSReq,MATCH('Interior Lighting'!D337,LightingSpaceType,0))</f>
        <v>#N/A</v>
      </c>
      <c r="Y337" s="1098" t="e">
        <f t="shared" si="58"/>
        <v>#N/A</v>
      </c>
      <c r="Z337" s="1098" t="e">
        <f t="shared" si="59"/>
        <v>#N/A</v>
      </c>
      <c r="AA337" s="1098" t="e">
        <f>INDEX(Lookup!$O$9:$O$24,MATCH('Interior Lighting'!Z337,Lookup!$K$9:$K$24,0))</f>
        <v>#N/A</v>
      </c>
      <c r="AB337" s="1098" t="e">
        <f>IF(E337="A",INDEX(Lookup!$L$9:$L$24,MATCH(Z337,Lookup!$K$9:$K$24,0)),IF(E337="B",INDEX(Lookup!$M$9:$M$24,MATCH(Z337,Lookup!$K$9:$K$24,0)),IF(E337="C",INDEX(Lookup!$N$9:$N$24,MATCH(Z337,Lookup!$K$9:$K$24,0)),"N/A")))</f>
        <v>#N/A</v>
      </c>
    </row>
    <row r="338" spans="1:28">
      <c r="A338" s="1006"/>
      <c r="B338" s="69"/>
      <c r="C338" s="330"/>
      <c r="D338" s="323"/>
      <c r="E338" s="324" t="e">
        <f>INDEX(Lookup!$I$9:$I$24,MATCH('Interior Lighting'!D338,Lookup!$C$9:$C$24,0))</f>
        <v>#N/A</v>
      </c>
      <c r="F338" s="69"/>
      <c r="G338" s="69"/>
      <c r="H338" s="69"/>
      <c r="I338" s="324" t="e">
        <f t="shared" si="60"/>
        <v>#N/A</v>
      </c>
      <c r="J338" s="170"/>
      <c r="K338" s="325">
        <f t="shared" si="61"/>
        <v>0</v>
      </c>
      <c r="L338" s="326" t="e">
        <f t="shared" si="62"/>
        <v>#DIV/0!</v>
      </c>
      <c r="M338" s="326" t="str">
        <f>IF(H338="Yes",IF(D338='Drop Down'!$W$4,0.9*L338,IF(D338='Drop Down'!$W$5,0.9*L338,IF(D338='Drop Down'!$W$10,0.9*L338,IF(D338='Drop Down'!$W$16,0.9*L338,"No credit allowed.")))),"N/A")</f>
        <v>N/A</v>
      </c>
      <c r="N338" s="327" t="e">
        <f>IF($D$20="Space-By-Space (90.1-2013)",INDEX(LPD2013SS,MATCH('Interior Lighting'!D338,LightingSpaceType,0)*W338),INDEX(LPD2013WB,MATCH('Interior Lighting'!D338,LightingSpaceType,0)))</f>
        <v>#N/A</v>
      </c>
      <c r="O338" s="327">
        <f t="shared" si="63"/>
        <v>0</v>
      </c>
      <c r="P338" s="407" t="e">
        <f t="shared" si="53"/>
        <v>#N/A</v>
      </c>
      <c r="Q338" s="407" t="e">
        <f t="shared" si="64"/>
        <v>#N/A</v>
      </c>
      <c r="R338" s="407" t="e">
        <f t="shared" si="54"/>
        <v>#N/A</v>
      </c>
      <c r="S338" s="324">
        <f t="shared" si="55"/>
        <v>0</v>
      </c>
      <c r="T338" s="924" t="str">
        <f t="shared" si="56"/>
        <v/>
      </c>
      <c r="U338" s="1221" t="str">
        <f t="shared" si="65"/>
        <v/>
      </c>
      <c r="W338" s="1098">
        <f t="shared" si="57"/>
        <v>1</v>
      </c>
      <c r="X338" s="1098" t="e">
        <f>INDEX(OSReq,MATCH('Interior Lighting'!D338,LightingSpaceType,0))</f>
        <v>#N/A</v>
      </c>
      <c r="Y338" s="1098" t="e">
        <f t="shared" si="58"/>
        <v>#N/A</v>
      </c>
      <c r="Z338" s="1098" t="e">
        <f t="shared" si="59"/>
        <v>#N/A</v>
      </c>
      <c r="AA338" s="1098" t="e">
        <f>INDEX(Lookup!$O$9:$O$24,MATCH('Interior Lighting'!Z338,Lookup!$K$9:$K$24,0))</f>
        <v>#N/A</v>
      </c>
      <c r="AB338" s="1098" t="e">
        <f>IF(E338="A",INDEX(Lookup!$L$9:$L$24,MATCH(Z338,Lookup!$K$9:$K$24,0)),IF(E338="B",INDEX(Lookup!$M$9:$M$24,MATCH(Z338,Lookup!$K$9:$K$24,0)),IF(E338="C",INDEX(Lookup!$N$9:$N$24,MATCH(Z338,Lookup!$K$9:$K$24,0)),"N/A")))</f>
        <v>#N/A</v>
      </c>
    </row>
    <row r="339" spans="1:28">
      <c r="A339" s="1006"/>
      <c r="B339" s="69"/>
      <c r="C339" s="323"/>
      <c r="D339" s="323"/>
      <c r="E339" s="324" t="e">
        <f>INDEX(Lookup!$I$9:$I$24,MATCH('Interior Lighting'!D339,Lookup!$C$9:$C$24,0))</f>
        <v>#N/A</v>
      </c>
      <c r="F339" s="69"/>
      <c r="G339" s="69"/>
      <c r="H339" s="69"/>
      <c r="I339" s="324" t="e">
        <f t="shared" si="60"/>
        <v>#N/A</v>
      </c>
      <c r="J339" s="170"/>
      <c r="K339" s="325">
        <f t="shared" si="61"/>
        <v>0</v>
      </c>
      <c r="L339" s="326" t="e">
        <f t="shared" si="62"/>
        <v>#DIV/0!</v>
      </c>
      <c r="M339" s="326" t="str">
        <f>IF(H339="Yes",IF(D339='Drop Down'!$W$4,0.9*L339,IF(D339='Drop Down'!$W$5,0.9*L339,IF(D339='Drop Down'!$W$10,0.9*L339,IF(D339='Drop Down'!$W$16,0.9*L339,"No credit allowed.")))),"N/A")</f>
        <v>N/A</v>
      </c>
      <c r="N339" s="327" t="e">
        <f>IF($D$20="Space-By-Space (90.1-2013)",INDEX(LPD2013SS,MATCH('Interior Lighting'!D339,LightingSpaceType,0)*W339),INDEX(LPD2013WB,MATCH('Interior Lighting'!D339,LightingSpaceType,0)))</f>
        <v>#N/A</v>
      </c>
      <c r="O339" s="327">
        <f t="shared" si="63"/>
        <v>0</v>
      </c>
      <c r="P339" s="407" t="e">
        <f t="shared" si="53"/>
        <v>#N/A</v>
      </c>
      <c r="Q339" s="407" t="e">
        <f t="shared" si="64"/>
        <v>#N/A</v>
      </c>
      <c r="R339" s="407" t="e">
        <f t="shared" si="54"/>
        <v>#N/A</v>
      </c>
      <c r="S339" s="324">
        <f t="shared" si="55"/>
        <v>0</v>
      </c>
      <c r="T339" s="924" t="str">
        <f t="shared" si="56"/>
        <v/>
      </c>
      <c r="U339" s="1221" t="str">
        <f t="shared" si="65"/>
        <v/>
      </c>
      <c r="W339" s="1098">
        <f t="shared" si="57"/>
        <v>1</v>
      </c>
      <c r="X339" s="1098" t="e">
        <f>INDEX(OSReq,MATCH('Interior Lighting'!D339,LightingSpaceType,0))</f>
        <v>#N/A</v>
      </c>
      <c r="Y339" s="1098" t="e">
        <f t="shared" si="58"/>
        <v>#N/A</v>
      </c>
      <c r="Z339" s="1098" t="e">
        <f t="shared" si="59"/>
        <v>#N/A</v>
      </c>
      <c r="AA339" s="1098" t="e">
        <f>INDEX(Lookup!$O$9:$O$24,MATCH('Interior Lighting'!Z339,Lookup!$K$9:$K$24,0))</f>
        <v>#N/A</v>
      </c>
      <c r="AB339" s="1098" t="e">
        <f>IF(E339="A",INDEX(Lookup!$L$9:$L$24,MATCH(Z339,Lookup!$K$9:$K$24,0)),IF(E339="B",INDEX(Lookup!$M$9:$M$24,MATCH(Z339,Lookup!$K$9:$K$24,0)),IF(E339="C",INDEX(Lookup!$N$9:$N$24,MATCH(Z339,Lookup!$K$9:$K$24,0)),"N/A")))</f>
        <v>#N/A</v>
      </c>
    </row>
    <row r="340" spans="1:28">
      <c r="A340" s="1006"/>
      <c r="B340" s="69"/>
      <c r="C340" s="323"/>
      <c r="D340" s="323"/>
      <c r="E340" s="324" t="e">
        <f>INDEX(Lookup!$I$9:$I$24,MATCH('Interior Lighting'!D340,Lookup!$C$9:$C$24,0))</f>
        <v>#N/A</v>
      </c>
      <c r="F340" s="69"/>
      <c r="G340" s="69"/>
      <c r="H340" s="69"/>
      <c r="I340" s="324" t="e">
        <f t="shared" si="60"/>
        <v>#N/A</v>
      </c>
      <c r="J340" s="170"/>
      <c r="K340" s="325">
        <f t="shared" si="61"/>
        <v>0</v>
      </c>
      <c r="L340" s="326" t="e">
        <f t="shared" si="62"/>
        <v>#DIV/0!</v>
      </c>
      <c r="M340" s="326" t="str">
        <f>IF(H340="Yes",IF(D340='Drop Down'!$W$4,0.9*L340,IF(D340='Drop Down'!$W$5,0.9*L340,IF(D340='Drop Down'!$W$10,0.9*L340,IF(D340='Drop Down'!$W$16,0.9*L340,"No credit allowed.")))),"N/A")</f>
        <v>N/A</v>
      </c>
      <c r="N340" s="327" t="e">
        <f>IF($D$20="Space-By-Space (90.1-2013)",INDEX(LPD2013SS,MATCH('Interior Lighting'!D340,LightingSpaceType,0)*W340),INDEX(LPD2013WB,MATCH('Interior Lighting'!D340,LightingSpaceType,0)))</f>
        <v>#N/A</v>
      </c>
      <c r="O340" s="327">
        <f t="shared" si="63"/>
        <v>0</v>
      </c>
      <c r="P340" s="407" t="e">
        <f t="shared" si="53"/>
        <v>#N/A</v>
      </c>
      <c r="Q340" s="407" t="e">
        <f t="shared" si="64"/>
        <v>#N/A</v>
      </c>
      <c r="R340" s="407" t="e">
        <f t="shared" si="54"/>
        <v>#N/A</v>
      </c>
      <c r="S340" s="324">
        <f t="shared" si="55"/>
        <v>0</v>
      </c>
      <c r="T340" s="924" t="str">
        <f t="shared" si="56"/>
        <v/>
      </c>
      <c r="U340" s="1221" t="str">
        <f t="shared" si="65"/>
        <v/>
      </c>
      <c r="W340" s="1098">
        <f t="shared" si="57"/>
        <v>1</v>
      </c>
      <c r="X340" s="1098" t="e">
        <f>INDEX(OSReq,MATCH('Interior Lighting'!D340,LightingSpaceType,0))</f>
        <v>#N/A</v>
      </c>
      <c r="Y340" s="1098" t="e">
        <f t="shared" si="58"/>
        <v>#N/A</v>
      </c>
      <c r="Z340" s="1098" t="e">
        <f t="shared" si="59"/>
        <v>#N/A</v>
      </c>
      <c r="AA340" s="1098" t="e">
        <f>INDEX(Lookup!$O$9:$O$24,MATCH('Interior Lighting'!Z340,Lookup!$K$9:$K$24,0))</f>
        <v>#N/A</v>
      </c>
      <c r="AB340" s="1098" t="e">
        <f>IF(E340="A",INDEX(Lookup!$L$9:$L$24,MATCH(Z340,Lookup!$K$9:$K$24,0)),IF(E340="B",INDEX(Lookup!$M$9:$M$24,MATCH(Z340,Lookup!$K$9:$K$24,0)),IF(E340="C",INDEX(Lookup!$N$9:$N$24,MATCH(Z340,Lookup!$K$9:$K$24,0)),"N/A")))</f>
        <v>#N/A</v>
      </c>
    </row>
    <row r="341" spans="1:28">
      <c r="A341" s="1006"/>
      <c r="B341" s="69"/>
      <c r="C341" s="323"/>
      <c r="D341" s="323"/>
      <c r="E341" s="324" t="e">
        <f>INDEX(Lookup!$I$9:$I$24,MATCH('Interior Lighting'!D341,Lookup!$C$9:$C$24,0))</f>
        <v>#N/A</v>
      </c>
      <c r="F341" s="69"/>
      <c r="G341" s="69"/>
      <c r="H341" s="69"/>
      <c r="I341" s="324" t="e">
        <f t="shared" si="60"/>
        <v>#N/A</v>
      </c>
      <c r="J341" s="170"/>
      <c r="K341" s="325">
        <f t="shared" si="61"/>
        <v>0</v>
      </c>
      <c r="L341" s="326" t="e">
        <f t="shared" si="62"/>
        <v>#DIV/0!</v>
      </c>
      <c r="M341" s="326" t="str">
        <f>IF(H341="Yes",IF(D341='Drop Down'!$W$4,0.9*L341,IF(D341='Drop Down'!$W$5,0.9*L341,IF(D341='Drop Down'!$W$10,0.9*L341,IF(D341='Drop Down'!$W$16,0.9*L341,"No credit allowed.")))),"N/A")</f>
        <v>N/A</v>
      </c>
      <c r="N341" s="327" t="e">
        <f>IF($D$20="Space-By-Space (90.1-2013)",INDEX(LPD2013SS,MATCH('Interior Lighting'!D341,LightingSpaceType,0)*W341),INDEX(LPD2013WB,MATCH('Interior Lighting'!D341,LightingSpaceType,0)))</f>
        <v>#N/A</v>
      </c>
      <c r="O341" s="327">
        <f t="shared" si="63"/>
        <v>0</v>
      </c>
      <c r="P341" s="407" t="e">
        <f t="shared" si="53"/>
        <v>#N/A</v>
      </c>
      <c r="Q341" s="407" t="e">
        <f t="shared" si="64"/>
        <v>#N/A</v>
      </c>
      <c r="R341" s="407" t="e">
        <f t="shared" si="54"/>
        <v>#N/A</v>
      </c>
      <c r="S341" s="324">
        <f t="shared" si="55"/>
        <v>0</v>
      </c>
      <c r="T341" s="924" t="str">
        <f t="shared" si="56"/>
        <v/>
      </c>
      <c r="U341" s="1221" t="str">
        <f t="shared" si="65"/>
        <v/>
      </c>
      <c r="W341" s="1098">
        <f t="shared" si="57"/>
        <v>1</v>
      </c>
      <c r="X341" s="1098" t="e">
        <f>INDEX(OSReq,MATCH('Interior Lighting'!D341,LightingSpaceType,0))</f>
        <v>#N/A</v>
      </c>
      <c r="Y341" s="1098" t="e">
        <f t="shared" si="58"/>
        <v>#N/A</v>
      </c>
      <c r="Z341" s="1098" t="e">
        <f t="shared" si="59"/>
        <v>#N/A</v>
      </c>
      <c r="AA341" s="1098" t="e">
        <f>INDEX(Lookup!$O$9:$O$24,MATCH('Interior Lighting'!Z341,Lookup!$K$9:$K$24,0))</f>
        <v>#N/A</v>
      </c>
      <c r="AB341" s="1098" t="e">
        <f>IF(E341="A",INDEX(Lookup!$L$9:$L$24,MATCH(Z341,Lookup!$K$9:$K$24,0)),IF(E341="B",INDEX(Lookup!$M$9:$M$24,MATCH(Z341,Lookup!$K$9:$K$24,0)),IF(E341="C",INDEX(Lookup!$N$9:$N$24,MATCH(Z341,Lookup!$K$9:$K$24,0)),"N/A")))</f>
        <v>#N/A</v>
      </c>
    </row>
    <row r="342" spans="1:28">
      <c r="A342" s="1006"/>
      <c r="B342" s="69"/>
      <c r="C342" s="323"/>
      <c r="D342" s="323"/>
      <c r="E342" s="324" t="e">
        <f>INDEX(Lookup!$I$9:$I$24,MATCH('Interior Lighting'!D342,Lookup!$C$9:$C$24,0))</f>
        <v>#N/A</v>
      </c>
      <c r="F342" s="69"/>
      <c r="G342" s="69"/>
      <c r="H342" s="69"/>
      <c r="I342" s="324" t="e">
        <f t="shared" si="60"/>
        <v>#N/A</v>
      </c>
      <c r="J342" s="170"/>
      <c r="K342" s="325">
        <f t="shared" si="61"/>
        <v>0</v>
      </c>
      <c r="L342" s="326" t="e">
        <f t="shared" si="62"/>
        <v>#DIV/0!</v>
      </c>
      <c r="M342" s="326" t="str">
        <f>IF(H342="Yes",IF(D342='Drop Down'!$W$4,0.9*L342,IF(D342='Drop Down'!$W$5,0.9*L342,IF(D342='Drop Down'!$W$10,0.9*L342,IF(D342='Drop Down'!$W$16,0.9*L342,"No credit allowed.")))),"N/A")</f>
        <v>N/A</v>
      </c>
      <c r="N342" s="327" t="e">
        <f>IF($D$20="Space-By-Space (90.1-2013)",INDEX(LPD2013SS,MATCH('Interior Lighting'!D342,LightingSpaceType,0)*W342),INDEX(LPD2013WB,MATCH('Interior Lighting'!D342,LightingSpaceType,0)))</f>
        <v>#N/A</v>
      </c>
      <c r="O342" s="327">
        <f t="shared" si="63"/>
        <v>0</v>
      </c>
      <c r="P342" s="407" t="e">
        <f t="shared" si="53"/>
        <v>#N/A</v>
      </c>
      <c r="Q342" s="407" t="e">
        <f t="shared" si="64"/>
        <v>#N/A</v>
      </c>
      <c r="R342" s="407" t="e">
        <f t="shared" si="54"/>
        <v>#N/A</v>
      </c>
      <c r="S342" s="324">
        <f t="shared" si="55"/>
        <v>0</v>
      </c>
      <c r="T342" s="924" t="str">
        <f t="shared" si="56"/>
        <v/>
      </c>
      <c r="U342" s="1221" t="str">
        <f t="shared" si="65"/>
        <v/>
      </c>
      <c r="W342" s="1098">
        <f t="shared" si="57"/>
        <v>1</v>
      </c>
      <c r="X342" s="1098" t="e">
        <f>INDEX(OSReq,MATCH('Interior Lighting'!D342,LightingSpaceType,0))</f>
        <v>#N/A</v>
      </c>
      <c r="Y342" s="1098" t="e">
        <f t="shared" si="58"/>
        <v>#N/A</v>
      </c>
      <c r="Z342" s="1098" t="e">
        <f t="shared" si="59"/>
        <v>#N/A</v>
      </c>
      <c r="AA342" s="1098" t="e">
        <f>INDEX(Lookup!$O$9:$O$24,MATCH('Interior Lighting'!Z342,Lookup!$K$9:$K$24,0))</f>
        <v>#N/A</v>
      </c>
      <c r="AB342" s="1098" t="e">
        <f>IF(E342="A",INDEX(Lookup!$L$9:$L$24,MATCH(Z342,Lookup!$K$9:$K$24,0)),IF(E342="B",INDEX(Lookup!$M$9:$M$24,MATCH(Z342,Lookup!$K$9:$K$24,0)),IF(E342="C",INDEX(Lookup!$N$9:$N$24,MATCH(Z342,Lookup!$K$9:$K$24,0)),"N/A")))</f>
        <v>#N/A</v>
      </c>
    </row>
    <row r="343" spans="1:28">
      <c r="A343" s="1006"/>
      <c r="B343" s="69"/>
      <c r="C343" s="323"/>
      <c r="D343" s="323"/>
      <c r="E343" s="324" t="e">
        <f>INDEX(Lookup!$I$9:$I$24,MATCH('Interior Lighting'!D343,Lookup!$C$9:$C$24,0))</f>
        <v>#N/A</v>
      </c>
      <c r="F343" s="69"/>
      <c r="G343" s="69"/>
      <c r="H343" s="69"/>
      <c r="I343" s="324" t="e">
        <f t="shared" si="60"/>
        <v>#N/A</v>
      </c>
      <c r="J343" s="170"/>
      <c r="K343" s="325">
        <f t="shared" si="61"/>
        <v>0</v>
      </c>
      <c r="L343" s="326" t="e">
        <f t="shared" si="62"/>
        <v>#DIV/0!</v>
      </c>
      <c r="M343" s="326" t="str">
        <f>IF(H343="Yes",IF(D343='Drop Down'!$W$4,0.9*L343,IF(D343='Drop Down'!$W$5,0.9*L343,IF(D343='Drop Down'!$W$10,0.9*L343,IF(D343='Drop Down'!$W$16,0.9*L343,"No credit allowed.")))),"N/A")</f>
        <v>N/A</v>
      </c>
      <c r="N343" s="327" t="e">
        <f>IF($D$20="Space-By-Space (90.1-2013)",INDEX(LPD2013SS,MATCH('Interior Lighting'!D343,LightingSpaceType,0)*W343),INDEX(LPD2013WB,MATCH('Interior Lighting'!D343,LightingSpaceType,0)))</f>
        <v>#N/A</v>
      </c>
      <c r="O343" s="327">
        <f t="shared" si="63"/>
        <v>0</v>
      </c>
      <c r="P343" s="407" t="e">
        <f t="shared" si="53"/>
        <v>#N/A</v>
      </c>
      <c r="Q343" s="407" t="e">
        <f t="shared" si="64"/>
        <v>#N/A</v>
      </c>
      <c r="R343" s="407" t="e">
        <f t="shared" si="54"/>
        <v>#N/A</v>
      </c>
      <c r="S343" s="324">
        <f t="shared" si="55"/>
        <v>0</v>
      </c>
      <c r="T343" s="924" t="str">
        <f t="shared" si="56"/>
        <v/>
      </c>
      <c r="U343" s="1221" t="str">
        <f t="shared" si="65"/>
        <v/>
      </c>
      <c r="W343" s="1098">
        <f t="shared" si="57"/>
        <v>1</v>
      </c>
      <c r="X343" s="1098" t="e">
        <f>INDEX(OSReq,MATCH('Interior Lighting'!D343,LightingSpaceType,0))</f>
        <v>#N/A</v>
      </c>
      <c r="Y343" s="1098" t="e">
        <f t="shared" si="58"/>
        <v>#N/A</v>
      </c>
      <c r="Z343" s="1098" t="e">
        <f t="shared" si="59"/>
        <v>#N/A</v>
      </c>
      <c r="AA343" s="1098" t="e">
        <f>INDEX(Lookup!$O$9:$O$24,MATCH('Interior Lighting'!Z343,Lookup!$K$9:$K$24,0))</f>
        <v>#N/A</v>
      </c>
      <c r="AB343" s="1098" t="e">
        <f>IF(E343="A",INDEX(Lookup!$L$9:$L$24,MATCH(Z343,Lookup!$K$9:$K$24,0)),IF(E343="B",INDEX(Lookup!$M$9:$M$24,MATCH(Z343,Lookup!$K$9:$K$24,0)),IF(E343="C",INDEX(Lookup!$N$9:$N$24,MATCH(Z343,Lookup!$K$9:$K$24,0)),"N/A")))</f>
        <v>#N/A</v>
      </c>
    </row>
    <row r="344" spans="1:28">
      <c r="A344" s="1006"/>
      <c r="B344" s="69"/>
      <c r="C344" s="330"/>
      <c r="D344" s="323"/>
      <c r="E344" s="324" t="e">
        <f>INDEX(Lookup!$I$9:$I$24,MATCH('Interior Lighting'!D344,Lookup!$C$9:$C$24,0))</f>
        <v>#N/A</v>
      </c>
      <c r="F344" s="69"/>
      <c r="G344" s="69"/>
      <c r="H344" s="69"/>
      <c r="I344" s="324" t="e">
        <f t="shared" si="60"/>
        <v>#N/A</v>
      </c>
      <c r="J344" s="170"/>
      <c r="K344" s="325">
        <f t="shared" si="61"/>
        <v>0</v>
      </c>
      <c r="L344" s="326" t="e">
        <f t="shared" si="62"/>
        <v>#DIV/0!</v>
      </c>
      <c r="M344" s="326" t="str">
        <f>IF(H344="Yes",IF(D344='Drop Down'!$W$4,0.9*L344,IF(D344='Drop Down'!$W$5,0.9*L344,IF(D344='Drop Down'!$W$10,0.9*L344,IF(D344='Drop Down'!$W$16,0.9*L344,"No credit allowed.")))),"N/A")</f>
        <v>N/A</v>
      </c>
      <c r="N344" s="327" t="e">
        <f>IF($D$20="Space-By-Space (90.1-2013)",INDEX(LPD2013SS,MATCH('Interior Lighting'!D344,LightingSpaceType,0)*W344),INDEX(LPD2013WB,MATCH('Interior Lighting'!D344,LightingSpaceType,0)))</f>
        <v>#N/A</v>
      </c>
      <c r="O344" s="327">
        <f t="shared" si="63"/>
        <v>0</v>
      </c>
      <c r="P344" s="407" t="e">
        <f t="shared" si="53"/>
        <v>#N/A</v>
      </c>
      <c r="Q344" s="407" t="e">
        <f t="shared" si="64"/>
        <v>#N/A</v>
      </c>
      <c r="R344" s="407" t="e">
        <f t="shared" si="54"/>
        <v>#N/A</v>
      </c>
      <c r="S344" s="324">
        <f t="shared" si="55"/>
        <v>0</v>
      </c>
      <c r="T344" s="924" t="str">
        <f t="shared" si="56"/>
        <v/>
      </c>
      <c r="U344" s="1221" t="str">
        <f t="shared" si="65"/>
        <v/>
      </c>
      <c r="W344" s="1098">
        <f t="shared" si="57"/>
        <v>1</v>
      </c>
      <c r="X344" s="1098" t="e">
        <f>INDEX(OSReq,MATCH('Interior Lighting'!D344,LightingSpaceType,0))</f>
        <v>#N/A</v>
      </c>
      <c r="Y344" s="1098" t="e">
        <f t="shared" si="58"/>
        <v>#N/A</v>
      </c>
      <c r="Z344" s="1098" t="e">
        <f t="shared" si="59"/>
        <v>#N/A</v>
      </c>
      <c r="AA344" s="1098" t="e">
        <f>INDEX(Lookup!$O$9:$O$24,MATCH('Interior Lighting'!Z344,Lookup!$K$9:$K$24,0))</f>
        <v>#N/A</v>
      </c>
      <c r="AB344" s="1098" t="e">
        <f>IF(E344="A",INDEX(Lookup!$L$9:$L$24,MATCH(Z344,Lookup!$K$9:$K$24,0)),IF(E344="B",INDEX(Lookup!$M$9:$M$24,MATCH(Z344,Lookup!$K$9:$K$24,0)),IF(E344="C",INDEX(Lookup!$N$9:$N$24,MATCH(Z344,Lookup!$K$9:$K$24,0)),"N/A")))</f>
        <v>#N/A</v>
      </c>
    </row>
    <row r="345" spans="1:28">
      <c r="A345" s="1006"/>
      <c r="B345" s="69"/>
      <c r="C345" s="323"/>
      <c r="D345" s="323"/>
      <c r="E345" s="324" t="e">
        <f>INDEX(Lookup!$I$9:$I$24,MATCH('Interior Lighting'!D345,Lookup!$C$9:$C$24,0))</f>
        <v>#N/A</v>
      </c>
      <c r="F345" s="69"/>
      <c r="G345" s="69"/>
      <c r="H345" s="69"/>
      <c r="I345" s="324" t="e">
        <f t="shared" si="60"/>
        <v>#N/A</v>
      </c>
      <c r="J345" s="170"/>
      <c r="K345" s="325">
        <f t="shared" si="61"/>
        <v>0</v>
      </c>
      <c r="L345" s="326" t="e">
        <f t="shared" si="62"/>
        <v>#DIV/0!</v>
      </c>
      <c r="M345" s="326" t="str">
        <f>IF(H345="Yes",IF(D345='Drop Down'!$W$4,0.9*L345,IF(D345='Drop Down'!$W$5,0.9*L345,IF(D345='Drop Down'!$W$10,0.9*L345,IF(D345='Drop Down'!$W$16,0.9*L345,"No credit allowed.")))),"N/A")</f>
        <v>N/A</v>
      </c>
      <c r="N345" s="327" t="e">
        <f>IF($D$20="Space-By-Space (90.1-2013)",INDEX(LPD2013SS,MATCH('Interior Lighting'!D345,LightingSpaceType,0)*W345),INDEX(LPD2013WB,MATCH('Interior Lighting'!D345,LightingSpaceType,0)))</f>
        <v>#N/A</v>
      </c>
      <c r="O345" s="327">
        <f t="shared" si="63"/>
        <v>0</v>
      </c>
      <c r="P345" s="407" t="e">
        <f t="shared" si="53"/>
        <v>#N/A</v>
      </c>
      <c r="Q345" s="407" t="e">
        <f t="shared" si="64"/>
        <v>#N/A</v>
      </c>
      <c r="R345" s="407" t="e">
        <f t="shared" si="54"/>
        <v>#N/A</v>
      </c>
      <c r="S345" s="324">
        <f t="shared" si="55"/>
        <v>0</v>
      </c>
      <c r="T345" s="924" t="str">
        <f t="shared" si="56"/>
        <v/>
      </c>
      <c r="U345" s="1221" t="str">
        <f t="shared" si="65"/>
        <v/>
      </c>
      <c r="W345" s="1098">
        <f t="shared" si="57"/>
        <v>1</v>
      </c>
      <c r="X345" s="1098" t="e">
        <f>INDEX(OSReq,MATCH('Interior Lighting'!D345,LightingSpaceType,0))</f>
        <v>#N/A</v>
      </c>
      <c r="Y345" s="1098" t="e">
        <f t="shared" si="58"/>
        <v>#N/A</v>
      </c>
      <c r="Z345" s="1098" t="e">
        <f t="shared" si="59"/>
        <v>#N/A</v>
      </c>
      <c r="AA345" s="1098" t="e">
        <f>INDEX(Lookup!$O$9:$O$24,MATCH('Interior Lighting'!Z345,Lookup!$K$9:$K$24,0))</f>
        <v>#N/A</v>
      </c>
      <c r="AB345" s="1098" t="e">
        <f>IF(E345="A",INDEX(Lookup!$L$9:$L$24,MATCH(Z345,Lookup!$K$9:$K$24,0)),IF(E345="B",INDEX(Lookup!$M$9:$M$24,MATCH(Z345,Lookup!$K$9:$K$24,0)),IF(E345="C",INDEX(Lookup!$N$9:$N$24,MATCH(Z345,Lookup!$K$9:$K$24,0)),"N/A")))</f>
        <v>#N/A</v>
      </c>
    </row>
    <row r="346" spans="1:28">
      <c r="A346" s="1006"/>
      <c r="B346" s="69"/>
      <c r="C346" s="323"/>
      <c r="D346" s="323"/>
      <c r="E346" s="324" t="e">
        <f>INDEX(Lookup!$I$9:$I$24,MATCH('Interior Lighting'!D346,Lookup!$C$9:$C$24,0))</f>
        <v>#N/A</v>
      </c>
      <c r="F346" s="69"/>
      <c r="G346" s="69"/>
      <c r="H346" s="69"/>
      <c r="I346" s="324" t="e">
        <f t="shared" si="60"/>
        <v>#N/A</v>
      </c>
      <c r="J346" s="170"/>
      <c r="K346" s="325">
        <f t="shared" si="61"/>
        <v>0</v>
      </c>
      <c r="L346" s="326" t="e">
        <f t="shared" si="62"/>
        <v>#DIV/0!</v>
      </c>
      <c r="M346" s="326" t="str">
        <f>IF(H346="Yes",IF(D346='Drop Down'!$W$4,0.9*L346,IF(D346='Drop Down'!$W$5,0.9*L346,IF(D346='Drop Down'!$W$10,0.9*L346,IF(D346='Drop Down'!$W$16,0.9*L346,"No credit allowed.")))),"N/A")</f>
        <v>N/A</v>
      </c>
      <c r="N346" s="327" t="e">
        <f>IF($D$20="Space-By-Space (90.1-2013)",INDEX(LPD2013SS,MATCH('Interior Lighting'!D346,LightingSpaceType,0)*W346),INDEX(LPD2013WB,MATCH('Interior Lighting'!D346,LightingSpaceType,0)))</f>
        <v>#N/A</v>
      </c>
      <c r="O346" s="327">
        <f t="shared" si="63"/>
        <v>0</v>
      </c>
      <c r="P346" s="407" t="e">
        <f t="shared" si="53"/>
        <v>#N/A</v>
      </c>
      <c r="Q346" s="407" t="e">
        <f t="shared" si="64"/>
        <v>#N/A</v>
      </c>
      <c r="R346" s="407" t="e">
        <f t="shared" si="54"/>
        <v>#N/A</v>
      </c>
      <c r="S346" s="324">
        <f t="shared" si="55"/>
        <v>0</v>
      </c>
      <c r="T346" s="924" t="str">
        <f t="shared" si="56"/>
        <v/>
      </c>
      <c r="U346" s="1221" t="str">
        <f t="shared" si="65"/>
        <v/>
      </c>
      <c r="W346" s="1098">
        <f t="shared" si="57"/>
        <v>1</v>
      </c>
      <c r="X346" s="1098" t="e">
        <f>INDEX(OSReq,MATCH('Interior Lighting'!D346,LightingSpaceType,0))</f>
        <v>#N/A</v>
      </c>
      <c r="Y346" s="1098" t="e">
        <f t="shared" si="58"/>
        <v>#N/A</v>
      </c>
      <c r="Z346" s="1098" t="e">
        <f t="shared" si="59"/>
        <v>#N/A</v>
      </c>
      <c r="AA346" s="1098" t="e">
        <f>INDEX(Lookup!$O$9:$O$24,MATCH('Interior Lighting'!Z346,Lookup!$K$9:$K$24,0))</f>
        <v>#N/A</v>
      </c>
      <c r="AB346" s="1098" t="e">
        <f>IF(E346="A",INDEX(Lookup!$L$9:$L$24,MATCH(Z346,Lookup!$K$9:$K$24,0)),IF(E346="B",INDEX(Lookup!$M$9:$M$24,MATCH(Z346,Lookup!$K$9:$K$24,0)),IF(E346="C",INDEX(Lookup!$N$9:$N$24,MATCH(Z346,Lookup!$K$9:$K$24,0)),"N/A")))</f>
        <v>#N/A</v>
      </c>
    </row>
    <row r="347" spans="1:28">
      <c r="A347" s="1006"/>
      <c r="B347" s="69"/>
      <c r="C347" s="323"/>
      <c r="D347" s="323"/>
      <c r="E347" s="324" t="e">
        <f>INDEX(Lookup!$I$9:$I$24,MATCH('Interior Lighting'!D347,Lookup!$C$9:$C$24,0))</f>
        <v>#N/A</v>
      </c>
      <c r="F347" s="69"/>
      <c r="G347" s="69"/>
      <c r="H347" s="69"/>
      <c r="I347" s="324" t="e">
        <f t="shared" si="60"/>
        <v>#N/A</v>
      </c>
      <c r="J347" s="170"/>
      <c r="K347" s="325">
        <f t="shared" si="61"/>
        <v>0</v>
      </c>
      <c r="L347" s="326" t="e">
        <f t="shared" si="62"/>
        <v>#DIV/0!</v>
      </c>
      <c r="M347" s="326" t="str">
        <f>IF(H347="Yes",IF(D347='Drop Down'!$W$4,0.9*L347,IF(D347='Drop Down'!$W$5,0.9*L347,IF(D347='Drop Down'!$W$10,0.9*L347,IF(D347='Drop Down'!$W$16,0.9*L347,"No credit allowed.")))),"N/A")</f>
        <v>N/A</v>
      </c>
      <c r="N347" s="327" t="e">
        <f>IF($D$20="Space-By-Space (90.1-2013)",INDEX(LPD2013SS,MATCH('Interior Lighting'!D347,LightingSpaceType,0)*W347),INDEX(LPD2013WB,MATCH('Interior Lighting'!D347,LightingSpaceType,0)))</f>
        <v>#N/A</v>
      </c>
      <c r="O347" s="327">
        <f t="shared" si="63"/>
        <v>0</v>
      </c>
      <c r="P347" s="407" t="e">
        <f t="shared" si="53"/>
        <v>#N/A</v>
      </c>
      <c r="Q347" s="407" t="e">
        <f t="shared" si="64"/>
        <v>#N/A</v>
      </c>
      <c r="R347" s="407" t="e">
        <f t="shared" si="54"/>
        <v>#N/A</v>
      </c>
      <c r="S347" s="324">
        <f t="shared" si="55"/>
        <v>0</v>
      </c>
      <c r="T347" s="924" t="str">
        <f t="shared" si="56"/>
        <v/>
      </c>
      <c r="U347" s="1221" t="str">
        <f t="shared" si="65"/>
        <v/>
      </c>
      <c r="W347" s="1098">
        <f t="shared" si="57"/>
        <v>1</v>
      </c>
      <c r="X347" s="1098" t="e">
        <f>INDEX(OSReq,MATCH('Interior Lighting'!D347,LightingSpaceType,0))</f>
        <v>#N/A</v>
      </c>
      <c r="Y347" s="1098" t="e">
        <f t="shared" si="58"/>
        <v>#N/A</v>
      </c>
      <c r="Z347" s="1098" t="e">
        <f t="shared" si="59"/>
        <v>#N/A</v>
      </c>
      <c r="AA347" s="1098" t="e">
        <f>INDEX(Lookup!$O$9:$O$24,MATCH('Interior Lighting'!Z347,Lookup!$K$9:$K$24,0))</f>
        <v>#N/A</v>
      </c>
      <c r="AB347" s="1098" t="e">
        <f>IF(E347="A",INDEX(Lookup!$L$9:$L$24,MATCH(Z347,Lookup!$K$9:$K$24,0)),IF(E347="B",INDEX(Lookup!$M$9:$M$24,MATCH(Z347,Lookup!$K$9:$K$24,0)),IF(E347="C",INDEX(Lookup!$N$9:$N$24,MATCH(Z347,Lookup!$K$9:$K$24,0)),"N/A")))</f>
        <v>#N/A</v>
      </c>
    </row>
    <row r="348" spans="1:28">
      <c r="A348" s="1006"/>
      <c r="B348" s="69"/>
      <c r="C348" s="323"/>
      <c r="D348" s="323"/>
      <c r="E348" s="324" t="e">
        <f>INDEX(Lookup!$I$9:$I$24,MATCH('Interior Lighting'!D348,Lookup!$C$9:$C$24,0))</f>
        <v>#N/A</v>
      </c>
      <c r="F348" s="69"/>
      <c r="G348" s="69"/>
      <c r="H348" s="69"/>
      <c r="I348" s="324" t="e">
        <f t="shared" si="60"/>
        <v>#N/A</v>
      </c>
      <c r="J348" s="170"/>
      <c r="K348" s="325">
        <f t="shared" si="61"/>
        <v>0</v>
      </c>
      <c r="L348" s="326" t="e">
        <f t="shared" si="62"/>
        <v>#DIV/0!</v>
      </c>
      <c r="M348" s="326" t="str">
        <f>IF(H348="Yes",IF(D348='Drop Down'!$W$4,0.9*L348,IF(D348='Drop Down'!$W$5,0.9*L348,IF(D348='Drop Down'!$W$10,0.9*L348,IF(D348='Drop Down'!$W$16,0.9*L348,"No credit allowed.")))),"N/A")</f>
        <v>N/A</v>
      </c>
      <c r="N348" s="327" t="e">
        <f>IF($D$20="Space-By-Space (90.1-2013)",INDEX(LPD2013SS,MATCH('Interior Lighting'!D348,LightingSpaceType,0)*W348),INDEX(LPD2013WB,MATCH('Interior Lighting'!D348,LightingSpaceType,0)))</f>
        <v>#N/A</v>
      </c>
      <c r="O348" s="327">
        <f t="shared" si="63"/>
        <v>0</v>
      </c>
      <c r="P348" s="407" t="e">
        <f t="shared" si="53"/>
        <v>#N/A</v>
      </c>
      <c r="Q348" s="407" t="e">
        <f t="shared" si="64"/>
        <v>#N/A</v>
      </c>
      <c r="R348" s="407" t="e">
        <f t="shared" si="54"/>
        <v>#N/A</v>
      </c>
      <c r="S348" s="324">
        <f t="shared" si="55"/>
        <v>0</v>
      </c>
      <c r="T348" s="924" t="str">
        <f t="shared" si="56"/>
        <v/>
      </c>
      <c r="U348" s="1221" t="str">
        <f t="shared" si="65"/>
        <v/>
      </c>
      <c r="W348" s="1098">
        <f t="shared" si="57"/>
        <v>1</v>
      </c>
      <c r="X348" s="1098" t="e">
        <f>INDEX(OSReq,MATCH('Interior Lighting'!D348,LightingSpaceType,0))</f>
        <v>#N/A</v>
      </c>
      <c r="Y348" s="1098" t="e">
        <f t="shared" si="58"/>
        <v>#N/A</v>
      </c>
      <c r="Z348" s="1098" t="e">
        <f t="shared" si="59"/>
        <v>#N/A</v>
      </c>
      <c r="AA348" s="1098" t="e">
        <f>INDEX(Lookup!$O$9:$O$24,MATCH('Interior Lighting'!Z348,Lookup!$K$9:$K$24,0))</f>
        <v>#N/A</v>
      </c>
      <c r="AB348" s="1098" t="e">
        <f>IF(E348="A",INDEX(Lookup!$L$9:$L$24,MATCH(Z348,Lookup!$K$9:$K$24,0)),IF(E348="B",INDEX(Lookup!$M$9:$M$24,MATCH(Z348,Lookup!$K$9:$K$24,0)),IF(E348="C",INDEX(Lookup!$N$9:$N$24,MATCH(Z348,Lookup!$K$9:$K$24,0)),"N/A")))</f>
        <v>#N/A</v>
      </c>
    </row>
    <row r="349" spans="1:28">
      <c r="A349" s="1006"/>
      <c r="B349" s="69"/>
      <c r="C349" s="323"/>
      <c r="D349" s="323"/>
      <c r="E349" s="324" t="e">
        <f>INDEX(Lookup!$I$9:$I$24,MATCH('Interior Lighting'!D349,Lookup!$C$9:$C$24,0))</f>
        <v>#N/A</v>
      </c>
      <c r="F349" s="69"/>
      <c r="G349" s="69"/>
      <c r="H349" s="69"/>
      <c r="I349" s="324" t="e">
        <f t="shared" si="60"/>
        <v>#N/A</v>
      </c>
      <c r="J349" s="170"/>
      <c r="K349" s="325">
        <f t="shared" si="61"/>
        <v>0</v>
      </c>
      <c r="L349" s="326" t="e">
        <f t="shared" si="62"/>
        <v>#DIV/0!</v>
      </c>
      <c r="M349" s="326" t="str">
        <f>IF(H349="Yes",IF(D349='Drop Down'!$W$4,0.9*L349,IF(D349='Drop Down'!$W$5,0.9*L349,IF(D349='Drop Down'!$W$10,0.9*L349,IF(D349='Drop Down'!$W$16,0.9*L349,"No credit allowed.")))),"N/A")</f>
        <v>N/A</v>
      </c>
      <c r="N349" s="327" t="e">
        <f>IF($D$20="Space-By-Space (90.1-2013)",INDEX(LPD2013SS,MATCH('Interior Lighting'!D349,LightingSpaceType,0)*W349),INDEX(LPD2013WB,MATCH('Interior Lighting'!D349,LightingSpaceType,0)))</f>
        <v>#N/A</v>
      </c>
      <c r="O349" s="327">
        <f t="shared" si="63"/>
        <v>0</v>
      </c>
      <c r="P349" s="407" t="e">
        <f t="shared" si="53"/>
        <v>#N/A</v>
      </c>
      <c r="Q349" s="407" t="e">
        <f t="shared" si="64"/>
        <v>#N/A</v>
      </c>
      <c r="R349" s="407" t="e">
        <f t="shared" si="54"/>
        <v>#N/A</v>
      </c>
      <c r="S349" s="324">
        <f t="shared" si="55"/>
        <v>0</v>
      </c>
      <c r="T349" s="924" t="str">
        <f t="shared" si="56"/>
        <v/>
      </c>
      <c r="U349" s="1221" t="str">
        <f t="shared" si="65"/>
        <v/>
      </c>
      <c r="W349" s="1098">
        <f t="shared" si="57"/>
        <v>1</v>
      </c>
      <c r="X349" s="1098" t="e">
        <f>INDEX(OSReq,MATCH('Interior Lighting'!D349,LightingSpaceType,0))</f>
        <v>#N/A</v>
      </c>
      <c r="Y349" s="1098" t="e">
        <f t="shared" si="58"/>
        <v>#N/A</v>
      </c>
      <c r="Z349" s="1098" t="e">
        <f t="shared" si="59"/>
        <v>#N/A</v>
      </c>
      <c r="AA349" s="1098" t="e">
        <f>INDEX(Lookup!$O$9:$O$24,MATCH('Interior Lighting'!Z349,Lookup!$K$9:$K$24,0))</f>
        <v>#N/A</v>
      </c>
      <c r="AB349" s="1098" t="e">
        <f>IF(E349="A",INDEX(Lookup!$L$9:$L$24,MATCH(Z349,Lookup!$K$9:$K$24,0)),IF(E349="B",INDEX(Lookup!$M$9:$M$24,MATCH(Z349,Lookup!$K$9:$K$24,0)),IF(E349="C",INDEX(Lookup!$N$9:$N$24,MATCH(Z349,Lookup!$K$9:$K$24,0)),"N/A")))</f>
        <v>#N/A</v>
      </c>
    </row>
    <row r="350" spans="1:28">
      <c r="A350" s="1006"/>
      <c r="B350" s="69"/>
      <c r="C350" s="330"/>
      <c r="D350" s="323"/>
      <c r="E350" s="324" t="e">
        <f>INDEX(Lookup!$I$9:$I$24,MATCH('Interior Lighting'!D350,Lookup!$C$9:$C$24,0))</f>
        <v>#N/A</v>
      </c>
      <c r="F350" s="69"/>
      <c r="G350" s="69"/>
      <c r="H350" s="69"/>
      <c r="I350" s="324" t="e">
        <f t="shared" si="60"/>
        <v>#N/A</v>
      </c>
      <c r="J350" s="170"/>
      <c r="K350" s="325">
        <f t="shared" si="61"/>
        <v>0</v>
      </c>
      <c r="L350" s="326" t="e">
        <f t="shared" si="62"/>
        <v>#DIV/0!</v>
      </c>
      <c r="M350" s="326" t="str">
        <f>IF(H350="Yes",IF(D350='Drop Down'!$W$4,0.9*L350,IF(D350='Drop Down'!$W$5,0.9*L350,IF(D350='Drop Down'!$W$10,0.9*L350,IF(D350='Drop Down'!$W$16,0.9*L350,"No credit allowed.")))),"N/A")</f>
        <v>N/A</v>
      </c>
      <c r="N350" s="327" t="e">
        <f>IF($D$20="Space-By-Space (90.1-2013)",INDEX(LPD2013SS,MATCH('Interior Lighting'!D350,LightingSpaceType,0)*W350),INDEX(LPD2013WB,MATCH('Interior Lighting'!D350,LightingSpaceType,0)))</f>
        <v>#N/A</v>
      </c>
      <c r="O350" s="327">
        <f t="shared" si="63"/>
        <v>0</v>
      </c>
      <c r="P350" s="407" t="e">
        <f t="shared" ref="P350:P361" si="66">Y350*AA350*AB350</f>
        <v>#N/A</v>
      </c>
      <c r="Q350" s="407" t="e">
        <f t="shared" si="64"/>
        <v>#N/A</v>
      </c>
      <c r="R350" s="407" t="e">
        <f t="shared" ref="R350:R361" si="67">INDEX(Footcandles,MATCH(D350,LightingSpaceType,0))</f>
        <v>#N/A</v>
      </c>
      <c r="S350" s="324">
        <f t="shared" si="55"/>
        <v>0</v>
      </c>
      <c r="T350" s="924" t="str">
        <f t="shared" ref="T350:T361" si="68">IF(F350&gt;0, IF(Q350&lt;R350, "Insufficient lighting to meet IESNA footcandle recommendations.", ""), "")</f>
        <v/>
      </c>
      <c r="U350" s="1221" t="str">
        <f t="shared" si="65"/>
        <v/>
      </c>
      <c r="W350" s="1098">
        <f t="shared" si="57"/>
        <v>1</v>
      </c>
      <c r="X350" s="1098" t="e">
        <f>INDEX(OSReq,MATCH('Interior Lighting'!D350,LightingSpaceType,0))</f>
        <v>#N/A</v>
      </c>
      <c r="Y350" s="1098" t="e">
        <f t="shared" ref="Y350:Y361" si="69">INDEX($M$4:$M$27,MATCH(G350,$J$4:$J$27,0))</f>
        <v>#N/A</v>
      </c>
      <c r="Z350" s="1098" t="e">
        <f t="shared" ref="Z350:Z361" si="70">INDEX($K$4:$K$27,MATCH(G350,$J$4:$J$27,0))</f>
        <v>#N/A</v>
      </c>
      <c r="AA350" s="1098" t="e">
        <f>INDEX(Lookup!$O$9:$O$24,MATCH('Interior Lighting'!Z350,Lookup!$K$9:$K$24,0))</f>
        <v>#N/A</v>
      </c>
      <c r="AB350" s="1098" t="e">
        <f>IF(E350="A",INDEX(Lookup!$L$9:$L$24,MATCH(Z350,Lookup!$K$9:$K$24,0)),IF(E350="B",INDEX(Lookup!$M$9:$M$24,MATCH(Z350,Lookup!$K$9:$K$24,0)),IF(E350="C",INDEX(Lookup!$N$9:$N$24,MATCH(Z350,Lookup!$K$9:$K$24,0)),"N/A")))</f>
        <v>#N/A</v>
      </c>
    </row>
    <row r="351" spans="1:28">
      <c r="A351" s="1006"/>
      <c r="B351" s="69"/>
      <c r="C351" s="323"/>
      <c r="D351" s="323"/>
      <c r="E351" s="324" t="e">
        <f>INDEX(Lookup!$I$9:$I$24,MATCH('Interior Lighting'!D351,Lookup!$C$9:$C$24,0))</f>
        <v>#N/A</v>
      </c>
      <c r="F351" s="69"/>
      <c r="G351" s="69"/>
      <c r="H351" s="69"/>
      <c r="I351" s="324" t="e">
        <f t="shared" ref="I351:I361" si="71">INDEX($L$4:$L$27,MATCH(G351,$J$4:$J$27,0))</f>
        <v>#N/A</v>
      </c>
      <c r="J351" s="170"/>
      <c r="K351" s="325">
        <f t="shared" ref="K351:K361" si="72">IF(F351&gt;0, F351*I351*J351, 0)</f>
        <v>0</v>
      </c>
      <c r="L351" s="326" t="e">
        <f t="shared" ref="L351:L361" si="73">IF(D351="Exit Signs","convert to kW", K351/S351)</f>
        <v>#DIV/0!</v>
      </c>
      <c r="M351" s="326" t="str">
        <f>IF(H351="Yes",IF(D351='Drop Down'!$W$4,0.9*L351,IF(D351='Drop Down'!$W$5,0.9*L351,IF(D351='Drop Down'!$W$10,0.9*L351,IF(D351='Drop Down'!$W$16,0.9*L351,"No credit allowed.")))),"N/A")</f>
        <v>N/A</v>
      </c>
      <c r="N351" s="327" t="e">
        <f>IF($D$20="Space-By-Space (90.1-2013)",INDEX(LPD2013SS,MATCH('Interior Lighting'!D351,LightingSpaceType,0)*W351),INDEX(LPD2013WB,MATCH('Interior Lighting'!D351,LightingSpaceType,0)))</f>
        <v>#N/A</v>
      </c>
      <c r="O351" s="327">
        <f t="shared" ref="O351:O361" si="74">IF(D351="Exit Signs", 5*F351*J351, IF(B351&gt;0, N351*S351, 0))</f>
        <v>0</v>
      </c>
      <c r="P351" s="407" t="e">
        <f t="shared" si="66"/>
        <v>#N/A</v>
      </c>
      <c r="Q351" s="407" t="e">
        <f t="shared" ref="Q351:Q361" si="75">IF(D351="Exit Signs","NA", K351*P351/S351)</f>
        <v>#N/A</v>
      </c>
      <c r="R351" s="407" t="e">
        <f t="shared" si="67"/>
        <v>#N/A</v>
      </c>
      <c r="S351" s="324">
        <f t="shared" ref="S351:S361" si="76">J351*B351</f>
        <v>0</v>
      </c>
      <c r="T351" s="924" t="str">
        <f t="shared" si="68"/>
        <v/>
      </c>
      <c r="U351" s="1221" t="str">
        <f t="shared" si="65"/>
        <v/>
      </c>
      <c r="W351" s="1098">
        <f t="shared" ref="W351:W361" si="77">IF(A351="Yes",1.2,1)</f>
        <v>1</v>
      </c>
      <c r="X351" s="1098" t="e">
        <f>INDEX(OSReq,MATCH('Interior Lighting'!D351,LightingSpaceType,0))</f>
        <v>#N/A</v>
      </c>
      <c r="Y351" s="1098" t="e">
        <f t="shared" si="69"/>
        <v>#N/A</v>
      </c>
      <c r="Z351" s="1098" t="e">
        <f t="shared" si="70"/>
        <v>#N/A</v>
      </c>
      <c r="AA351" s="1098" t="e">
        <f>INDEX(Lookup!$O$9:$O$24,MATCH('Interior Lighting'!Z351,Lookup!$K$9:$K$24,0))</f>
        <v>#N/A</v>
      </c>
      <c r="AB351" s="1098" t="e">
        <f>IF(E351="A",INDEX(Lookup!$L$9:$L$24,MATCH(Z351,Lookup!$K$9:$K$24,0)),IF(E351="B",INDEX(Lookup!$M$9:$M$24,MATCH(Z351,Lookup!$K$9:$K$24,0)),IF(E351="C",INDEX(Lookup!$N$9:$N$24,MATCH(Z351,Lookup!$K$9:$K$24,0)),"N/A")))</f>
        <v>#N/A</v>
      </c>
    </row>
    <row r="352" spans="1:28">
      <c r="A352" s="1006"/>
      <c r="B352" s="69"/>
      <c r="C352" s="323"/>
      <c r="D352" s="323"/>
      <c r="E352" s="324" t="e">
        <f>INDEX(Lookup!$I$9:$I$24,MATCH('Interior Lighting'!D352,Lookup!$C$9:$C$24,0))</f>
        <v>#N/A</v>
      </c>
      <c r="F352" s="69"/>
      <c r="G352" s="69"/>
      <c r="H352" s="69"/>
      <c r="I352" s="324" t="e">
        <f t="shared" si="71"/>
        <v>#N/A</v>
      </c>
      <c r="J352" s="170"/>
      <c r="K352" s="325">
        <f t="shared" si="72"/>
        <v>0</v>
      </c>
      <c r="L352" s="326" t="e">
        <f t="shared" si="73"/>
        <v>#DIV/0!</v>
      </c>
      <c r="M352" s="326" t="str">
        <f>IF(H352="Yes",IF(D352='Drop Down'!$W$4,0.9*L352,IF(D352='Drop Down'!$W$5,0.9*L352,IF(D352='Drop Down'!$W$10,0.9*L352,IF(D352='Drop Down'!$W$16,0.9*L352,"No credit allowed.")))),"N/A")</f>
        <v>N/A</v>
      </c>
      <c r="N352" s="327" t="e">
        <f>IF($D$20="Space-By-Space (90.1-2013)",INDEX(LPD2013SS,MATCH('Interior Lighting'!D352,LightingSpaceType,0)*W352),INDEX(LPD2013WB,MATCH('Interior Lighting'!D352,LightingSpaceType,0)))</f>
        <v>#N/A</v>
      </c>
      <c r="O352" s="327">
        <f t="shared" si="74"/>
        <v>0</v>
      </c>
      <c r="P352" s="407" t="e">
        <f t="shared" si="66"/>
        <v>#N/A</v>
      </c>
      <c r="Q352" s="407" t="e">
        <f t="shared" si="75"/>
        <v>#N/A</v>
      </c>
      <c r="R352" s="407" t="e">
        <f t="shared" si="67"/>
        <v>#N/A</v>
      </c>
      <c r="S352" s="324">
        <f t="shared" si="76"/>
        <v>0</v>
      </c>
      <c r="T352" s="924" t="str">
        <f t="shared" si="68"/>
        <v/>
      </c>
      <c r="U352" s="1221" t="str">
        <f t="shared" ref="U352:U361" si="78">IF(H352="","",IF(AND(H352="No",X352="Y"),"Please check ASHRAE Table 9.6.1 to ensure compliance with lighting control requirements for this space type.",""))</f>
        <v/>
      </c>
      <c r="W352" s="1098">
        <f t="shared" si="77"/>
        <v>1</v>
      </c>
      <c r="X352" s="1098" t="e">
        <f>INDEX(OSReq,MATCH('Interior Lighting'!D352,LightingSpaceType,0))</f>
        <v>#N/A</v>
      </c>
      <c r="Y352" s="1098" t="e">
        <f t="shared" si="69"/>
        <v>#N/A</v>
      </c>
      <c r="Z352" s="1098" t="e">
        <f t="shared" si="70"/>
        <v>#N/A</v>
      </c>
      <c r="AA352" s="1098" t="e">
        <f>INDEX(Lookup!$O$9:$O$24,MATCH('Interior Lighting'!Z352,Lookup!$K$9:$K$24,0))</f>
        <v>#N/A</v>
      </c>
      <c r="AB352" s="1098" t="e">
        <f>IF(E352="A",INDEX(Lookup!$L$9:$L$24,MATCH(Z352,Lookup!$K$9:$K$24,0)),IF(E352="B",INDEX(Lookup!$M$9:$M$24,MATCH(Z352,Lookup!$K$9:$K$24,0)),IF(E352="C",INDEX(Lookup!$N$9:$N$24,MATCH(Z352,Lookup!$K$9:$K$24,0)),"N/A")))</f>
        <v>#N/A</v>
      </c>
    </row>
    <row r="353" spans="1:28">
      <c r="A353" s="1006"/>
      <c r="B353" s="69"/>
      <c r="C353" s="323"/>
      <c r="D353" s="323"/>
      <c r="E353" s="324" t="e">
        <f>INDEX(Lookup!$I$9:$I$24,MATCH('Interior Lighting'!D353,Lookup!$C$9:$C$24,0))</f>
        <v>#N/A</v>
      </c>
      <c r="F353" s="69"/>
      <c r="G353" s="69"/>
      <c r="H353" s="69"/>
      <c r="I353" s="324" t="e">
        <f t="shared" si="71"/>
        <v>#N/A</v>
      </c>
      <c r="J353" s="170"/>
      <c r="K353" s="325">
        <f t="shared" si="72"/>
        <v>0</v>
      </c>
      <c r="L353" s="326" t="e">
        <f t="shared" si="73"/>
        <v>#DIV/0!</v>
      </c>
      <c r="M353" s="326" t="str">
        <f>IF(H353="Yes",IF(D353='Drop Down'!$W$4,0.9*L353,IF(D353='Drop Down'!$W$5,0.9*L353,IF(D353='Drop Down'!$W$10,0.9*L353,IF(D353='Drop Down'!$W$16,0.9*L353,"No credit allowed.")))),"N/A")</f>
        <v>N/A</v>
      </c>
      <c r="N353" s="327" t="e">
        <f>IF($D$20="Space-By-Space (90.1-2013)",INDEX(LPD2013SS,MATCH('Interior Lighting'!D353,LightingSpaceType,0)*W353),INDEX(LPD2013WB,MATCH('Interior Lighting'!D353,LightingSpaceType,0)))</f>
        <v>#N/A</v>
      </c>
      <c r="O353" s="327">
        <f t="shared" si="74"/>
        <v>0</v>
      </c>
      <c r="P353" s="407" t="e">
        <f t="shared" si="66"/>
        <v>#N/A</v>
      </c>
      <c r="Q353" s="407" t="e">
        <f t="shared" si="75"/>
        <v>#N/A</v>
      </c>
      <c r="R353" s="407" t="e">
        <f t="shared" si="67"/>
        <v>#N/A</v>
      </c>
      <c r="S353" s="324">
        <f t="shared" si="76"/>
        <v>0</v>
      </c>
      <c r="T353" s="924" t="str">
        <f t="shared" si="68"/>
        <v/>
      </c>
      <c r="U353" s="1221" t="str">
        <f t="shared" si="78"/>
        <v/>
      </c>
      <c r="W353" s="1098">
        <f t="shared" si="77"/>
        <v>1</v>
      </c>
      <c r="X353" s="1098" t="e">
        <f>INDEX(OSReq,MATCH('Interior Lighting'!D353,LightingSpaceType,0))</f>
        <v>#N/A</v>
      </c>
      <c r="Y353" s="1098" t="e">
        <f t="shared" si="69"/>
        <v>#N/A</v>
      </c>
      <c r="Z353" s="1098" t="e">
        <f t="shared" si="70"/>
        <v>#N/A</v>
      </c>
      <c r="AA353" s="1098" t="e">
        <f>INDEX(Lookup!$O$9:$O$24,MATCH('Interior Lighting'!Z353,Lookup!$K$9:$K$24,0))</f>
        <v>#N/A</v>
      </c>
      <c r="AB353" s="1098" t="e">
        <f>IF(E353="A",INDEX(Lookup!$L$9:$L$24,MATCH(Z353,Lookup!$K$9:$K$24,0)),IF(E353="B",INDEX(Lookup!$M$9:$M$24,MATCH(Z353,Lookup!$K$9:$K$24,0)),IF(E353="C",INDEX(Lookup!$N$9:$N$24,MATCH(Z353,Lookup!$K$9:$K$24,0)),"N/A")))</f>
        <v>#N/A</v>
      </c>
    </row>
    <row r="354" spans="1:28">
      <c r="A354" s="1006"/>
      <c r="B354" s="69"/>
      <c r="C354" s="323"/>
      <c r="D354" s="323"/>
      <c r="E354" s="324" t="e">
        <f>INDEX(Lookup!$I$9:$I$24,MATCH('Interior Lighting'!D354,Lookup!$C$9:$C$24,0))</f>
        <v>#N/A</v>
      </c>
      <c r="F354" s="69"/>
      <c r="G354" s="69"/>
      <c r="H354" s="69"/>
      <c r="I354" s="324" t="e">
        <f t="shared" si="71"/>
        <v>#N/A</v>
      </c>
      <c r="J354" s="170"/>
      <c r="K354" s="325">
        <f t="shared" si="72"/>
        <v>0</v>
      </c>
      <c r="L354" s="326" t="e">
        <f t="shared" si="73"/>
        <v>#DIV/0!</v>
      </c>
      <c r="M354" s="326" t="str">
        <f>IF(H354="Yes",IF(D354='Drop Down'!$W$4,0.9*L354,IF(D354='Drop Down'!$W$5,0.9*L354,IF(D354='Drop Down'!$W$10,0.9*L354,IF(D354='Drop Down'!$W$16,0.9*L354,"No credit allowed.")))),"N/A")</f>
        <v>N/A</v>
      </c>
      <c r="N354" s="327" t="e">
        <f>IF($D$20="Space-By-Space (90.1-2013)",INDEX(LPD2013SS,MATCH('Interior Lighting'!D354,LightingSpaceType,0)*W354),INDEX(LPD2013WB,MATCH('Interior Lighting'!D354,LightingSpaceType,0)))</f>
        <v>#N/A</v>
      </c>
      <c r="O354" s="327">
        <f t="shared" si="74"/>
        <v>0</v>
      </c>
      <c r="P354" s="407" t="e">
        <f t="shared" si="66"/>
        <v>#N/A</v>
      </c>
      <c r="Q354" s="407" t="e">
        <f t="shared" si="75"/>
        <v>#N/A</v>
      </c>
      <c r="R354" s="407" t="e">
        <f t="shared" si="67"/>
        <v>#N/A</v>
      </c>
      <c r="S354" s="324">
        <f t="shared" si="76"/>
        <v>0</v>
      </c>
      <c r="T354" s="924" t="str">
        <f t="shared" si="68"/>
        <v/>
      </c>
      <c r="U354" s="1221" t="str">
        <f t="shared" si="78"/>
        <v/>
      </c>
      <c r="W354" s="1098">
        <f t="shared" si="77"/>
        <v>1</v>
      </c>
      <c r="X354" s="1098" t="e">
        <f>INDEX(OSReq,MATCH('Interior Lighting'!D354,LightingSpaceType,0))</f>
        <v>#N/A</v>
      </c>
      <c r="Y354" s="1098" t="e">
        <f t="shared" si="69"/>
        <v>#N/A</v>
      </c>
      <c r="Z354" s="1098" t="e">
        <f t="shared" si="70"/>
        <v>#N/A</v>
      </c>
      <c r="AA354" s="1098" t="e">
        <f>INDEX(Lookup!$O$9:$O$24,MATCH('Interior Lighting'!Z354,Lookup!$K$9:$K$24,0))</f>
        <v>#N/A</v>
      </c>
      <c r="AB354" s="1098" t="e">
        <f>IF(E354="A",INDEX(Lookup!$L$9:$L$24,MATCH(Z354,Lookup!$K$9:$K$24,0)),IF(E354="B",INDEX(Lookup!$M$9:$M$24,MATCH(Z354,Lookup!$K$9:$K$24,0)),IF(E354="C",INDEX(Lookup!$N$9:$N$24,MATCH(Z354,Lookup!$K$9:$K$24,0)),"N/A")))</f>
        <v>#N/A</v>
      </c>
    </row>
    <row r="355" spans="1:28">
      <c r="A355" s="1103"/>
      <c r="B355" s="69"/>
      <c r="C355" s="330"/>
      <c r="D355" s="323"/>
      <c r="E355" s="324" t="e">
        <f>INDEX(Lookup!$I$9:$I$24,MATCH('Interior Lighting'!D355,Lookup!$C$9:$C$24,0))</f>
        <v>#N/A</v>
      </c>
      <c r="F355" s="69"/>
      <c r="G355" s="69"/>
      <c r="H355" s="69"/>
      <c r="I355" s="324" t="e">
        <f t="shared" si="71"/>
        <v>#N/A</v>
      </c>
      <c r="J355" s="170"/>
      <c r="K355" s="325">
        <f t="shared" si="72"/>
        <v>0</v>
      </c>
      <c r="L355" s="326" t="e">
        <f t="shared" si="73"/>
        <v>#DIV/0!</v>
      </c>
      <c r="M355" s="326" t="str">
        <f>IF(H355="Yes",IF(D355='Drop Down'!$W$4,0.9*L355,IF(D355='Drop Down'!$W$5,0.9*L355,IF(D355='Drop Down'!$W$10,0.9*L355,IF(D355='Drop Down'!$W$16,0.9*L355,"No credit allowed.")))),"N/A")</f>
        <v>N/A</v>
      </c>
      <c r="N355" s="327" t="e">
        <f>IF($D$20="Space-By-Space (90.1-2013)",INDEX(LPD2013SS,MATCH('Interior Lighting'!D355,LightingSpaceType,0)*W355),INDEX(LPD2013WB,MATCH('Interior Lighting'!D355,LightingSpaceType,0)))</f>
        <v>#N/A</v>
      </c>
      <c r="O355" s="327">
        <f t="shared" si="74"/>
        <v>0</v>
      </c>
      <c r="P355" s="407" t="e">
        <f t="shared" si="66"/>
        <v>#N/A</v>
      </c>
      <c r="Q355" s="407" t="e">
        <f t="shared" si="75"/>
        <v>#N/A</v>
      </c>
      <c r="R355" s="407" t="e">
        <f t="shared" si="67"/>
        <v>#N/A</v>
      </c>
      <c r="S355" s="324">
        <f t="shared" si="76"/>
        <v>0</v>
      </c>
      <c r="T355" s="924" t="str">
        <f t="shared" si="68"/>
        <v/>
      </c>
      <c r="U355" s="1221" t="str">
        <f t="shared" si="78"/>
        <v/>
      </c>
      <c r="W355" s="1098">
        <f t="shared" si="77"/>
        <v>1</v>
      </c>
      <c r="X355" s="1098" t="e">
        <f>INDEX(OSReq,MATCH('Interior Lighting'!D355,LightingSpaceType,0))</f>
        <v>#N/A</v>
      </c>
      <c r="Y355" s="1098" t="e">
        <f t="shared" si="69"/>
        <v>#N/A</v>
      </c>
      <c r="Z355" s="1098" t="e">
        <f t="shared" si="70"/>
        <v>#N/A</v>
      </c>
      <c r="AA355" s="1098" t="e">
        <f>INDEX(Lookup!$O$9:$O$24,MATCH('Interior Lighting'!Z355,Lookup!$K$9:$K$24,0))</f>
        <v>#N/A</v>
      </c>
      <c r="AB355" s="1098" t="e">
        <f>IF(E355="A",INDEX(Lookup!$L$9:$L$24,MATCH(Z355,Lookup!$K$9:$K$24,0)),IF(E355="B",INDEX(Lookup!$M$9:$M$24,MATCH(Z355,Lookup!$K$9:$K$24,0)),IF(E355="C",INDEX(Lookup!$N$9:$N$24,MATCH(Z355,Lookup!$K$9:$K$24,0)),"N/A")))</f>
        <v>#N/A</v>
      </c>
    </row>
    <row r="356" spans="1:28">
      <c r="A356" s="1103"/>
      <c r="B356" s="69"/>
      <c r="C356" s="323"/>
      <c r="D356" s="323"/>
      <c r="E356" s="324" t="e">
        <f>INDEX(Lookup!$I$9:$I$24,MATCH('Interior Lighting'!D356,Lookup!$C$9:$C$24,0))</f>
        <v>#N/A</v>
      </c>
      <c r="F356" s="69"/>
      <c r="G356" s="69"/>
      <c r="H356" s="69"/>
      <c r="I356" s="324" t="e">
        <f t="shared" si="71"/>
        <v>#N/A</v>
      </c>
      <c r="J356" s="170"/>
      <c r="K356" s="325">
        <f t="shared" si="72"/>
        <v>0</v>
      </c>
      <c r="L356" s="326" t="e">
        <f t="shared" si="73"/>
        <v>#DIV/0!</v>
      </c>
      <c r="M356" s="326" t="str">
        <f>IF(H356="Yes",IF(D356='Drop Down'!$W$4,0.9*L356,IF(D356='Drop Down'!$W$5,0.9*L356,IF(D356='Drop Down'!$W$10,0.9*L356,IF(D356='Drop Down'!$W$16,0.9*L356,"No credit allowed.")))),"N/A")</f>
        <v>N/A</v>
      </c>
      <c r="N356" s="327" t="e">
        <f>IF($D$20="Space-By-Space (90.1-2013)",INDEX(LPD2013SS,MATCH('Interior Lighting'!D356,LightingSpaceType,0)*W356),INDEX(LPD2013WB,MATCH('Interior Lighting'!D356,LightingSpaceType,0)))</f>
        <v>#N/A</v>
      </c>
      <c r="O356" s="327">
        <f t="shared" si="74"/>
        <v>0</v>
      </c>
      <c r="P356" s="407" t="e">
        <f t="shared" si="66"/>
        <v>#N/A</v>
      </c>
      <c r="Q356" s="407" t="e">
        <f t="shared" si="75"/>
        <v>#N/A</v>
      </c>
      <c r="R356" s="407" t="e">
        <f t="shared" si="67"/>
        <v>#N/A</v>
      </c>
      <c r="S356" s="324">
        <f t="shared" si="76"/>
        <v>0</v>
      </c>
      <c r="T356" s="924" t="str">
        <f t="shared" si="68"/>
        <v/>
      </c>
      <c r="U356" s="1221" t="str">
        <f t="shared" si="78"/>
        <v/>
      </c>
      <c r="W356" s="1098">
        <f t="shared" si="77"/>
        <v>1</v>
      </c>
      <c r="X356" s="1098" t="e">
        <f>INDEX(OSReq,MATCH('Interior Lighting'!D356,LightingSpaceType,0))</f>
        <v>#N/A</v>
      </c>
      <c r="Y356" s="1098" t="e">
        <f t="shared" si="69"/>
        <v>#N/A</v>
      </c>
      <c r="Z356" s="1098" t="e">
        <f t="shared" si="70"/>
        <v>#N/A</v>
      </c>
      <c r="AA356" s="1098" t="e">
        <f>INDEX(Lookup!$O$9:$O$24,MATCH('Interior Lighting'!Z356,Lookup!$K$9:$K$24,0))</f>
        <v>#N/A</v>
      </c>
      <c r="AB356" s="1098" t="e">
        <f>IF(E356="A",INDEX(Lookup!$L$9:$L$24,MATCH(Z356,Lookup!$K$9:$K$24,0)),IF(E356="B",INDEX(Lookup!$M$9:$M$24,MATCH(Z356,Lookup!$K$9:$K$24,0)),IF(E356="C",INDEX(Lookup!$N$9:$N$24,MATCH(Z356,Lookup!$K$9:$K$24,0)),"N/A")))</f>
        <v>#N/A</v>
      </c>
    </row>
    <row r="357" spans="1:28">
      <c r="A357" s="338"/>
      <c r="B357" s="69"/>
      <c r="C357" s="323"/>
      <c r="D357" s="323"/>
      <c r="E357" s="324" t="e">
        <f>INDEX(Lookup!$I$9:$I$24,MATCH('Interior Lighting'!D357,Lookup!$C$9:$C$24,0))</f>
        <v>#N/A</v>
      </c>
      <c r="F357" s="69"/>
      <c r="G357" s="69"/>
      <c r="H357" s="69"/>
      <c r="I357" s="324" t="e">
        <f t="shared" si="71"/>
        <v>#N/A</v>
      </c>
      <c r="J357" s="170"/>
      <c r="K357" s="325">
        <f t="shared" si="72"/>
        <v>0</v>
      </c>
      <c r="L357" s="326" t="e">
        <f t="shared" si="73"/>
        <v>#DIV/0!</v>
      </c>
      <c r="M357" s="326" t="str">
        <f>IF(H357="Yes",IF(D357='Drop Down'!$W$4,0.9*L357,IF(D357='Drop Down'!$W$5,0.9*L357,IF(D357='Drop Down'!$W$10,0.9*L357,IF(D357='Drop Down'!$W$16,0.9*L357,"No credit allowed.")))),"N/A")</f>
        <v>N/A</v>
      </c>
      <c r="N357" s="327" t="e">
        <f>IF($D$20="Space-By-Space (90.1-2013)",INDEX(LPD2013SS,MATCH('Interior Lighting'!D357,LightingSpaceType,0)*W357),INDEX(LPD2013WB,MATCH('Interior Lighting'!D357,LightingSpaceType,0)))</f>
        <v>#N/A</v>
      </c>
      <c r="O357" s="327">
        <f t="shared" si="74"/>
        <v>0</v>
      </c>
      <c r="P357" s="407" t="e">
        <f t="shared" si="66"/>
        <v>#N/A</v>
      </c>
      <c r="Q357" s="407" t="e">
        <f t="shared" si="75"/>
        <v>#N/A</v>
      </c>
      <c r="R357" s="407" t="e">
        <f t="shared" si="67"/>
        <v>#N/A</v>
      </c>
      <c r="S357" s="324">
        <f t="shared" si="76"/>
        <v>0</v>
      </c>
      <c r="T357" s="924" t="str">
        <f t="shared" si="68"/>
        <v/>
      </c>
      <c r="U357" s="1221" t="str">
        <f t="shared" si="78"/>
        <v/>
      </c>
      <c r="W357" s="1098">
        <f t="shared" si="77"/>
        <v>1</v>
      </c>
      <c r="X357" s="1098" t="e">
        <f>INDEX(OSReq,MATCH('Interior Lighting'!D357,LightingSpaceType,0))</f>
        <v>#N/A</v>
      </c>
      <c r="Y357" s="1098" t="e">
        <f t="shared" si="69"/>
        <v>#N/A</v>
      </c>
      <c r="Z357" s="1098" t="e">
        <f t="shared" si="70"/>
        <v>#N/A</v>
      </c>
      <c r="AA357" s="1098" t="e">
        <f>INDEX(Lookup!$O$9:$O$24,MATCH('Interior Lighting'!Z357,Lookup!$K$9:$K$24,0))</f>
        <v>#N/A</v>
      </c>
      <c r="AB357" s="1098" t="e">
        <f>IF(E357="A",INDEX(Lookup!$L$9:$L$24,MATCH(Z357,Lookup!$K$9:$K$24,0)),IF(E357="B",INDEX(Lookup!$M$9:$M$24,MATCH(Z357,Lookup!$K$9:$K$24,0)),IF(E357="C",INDEX(Lookup!$N$9:$N$24,MATCH(Z357,Lookup!$K$9:$K$24,0)),"N/A")))</f>
        <v>#N/A</v>
      </c>
    </row>
    <row r="358" spans="1:28">
      <c r="A358" s="338"/>
      <c r="B358" s="69"/>
      <c r="C358" s="323"/>
      <c r="D358" s="323"/>
      <c r="E358" s="324" t="e">
        <f>INDEX(Lookup!$I$9:$I$24,MATCH('Interior Lighting'!D358,Lookup!$C$9:$C$24,0))</f>
        <v>#N/A</v>
      </c>
      <c r="F358" s="69"/>
      <c r="G358" s="69"/>
      <c r="H358" s="69"/>
      <c r="I358" s="324" t="e">
        <f t="shared" si="71"/>
        <v>#N/A</v>
      </c>
      <c r="J358" s="170"/>
      <c r="K358" s="325">
        <f t="shared" si="72"/>
        <v>0</v>
      </c>
      <c r="L358" s="326" t="e">
        <f t="shared" si="73"/>
        <v>#DIV/0!</v>
      </c>
      <c r="M358" s="326" t="str">
        <f>IF(H358="Yes",IF(D358='Drop Down'!$W$4,0.9*L358,IF(D358='Drop Down'!$W$5,0.9*L358,IF(D358='Drop Down'!$W$10,0.9*L358,IF(D358='Drop Down'!$W$16,0.9*L358,"No credit allowed.")))),"N/A")</f>
        <v>N/A</v>
      </c>
      <c r="N358" s="327" t="e">
        <f>IF($D$20="Space-By-Space (90.1-2013)",INDEX(LPD2013SS,MATCH('Interior Lighting'!D358,LightingSpaceType,0)*W358),INDEX(LPD2013WB,MATCH('Interior Lighting'!D358,LightingSpaceType,0)))</f>
        <v>#N/A</v>
      </c>
      <c r="O358" s="327">
        <f t="shared" si="74"/>
        <v>0</v>
      </c>
      <c r="P358" s="407" t="e">
        <f t="shared" si="66"/>
        <v>#N/A</v>
      </c>
      <c r="Q358" s="407" t="e">
        <f t="shared" si="75"/>
        <v>#N/A</v>
      </c>
      <c r="R358" s="407" t="e">
        <f t="shared" si="67"/>
        <v>#N/A</v>
      </c>
      <c r="S358" s="324">
        <f t="shared" si="76"/>
        <v>0</v>
      </c>
      <c r="T358" s="924" t="str">
        <f t="shared" si="68"/>
        <v/>
      </c>
      <c r="U358" s="1221" t="str">
        <f t="shared" si="78"/>
        <v/>
      </c>
      <c r="W358" s="1098">
        <f t="shared" si="77"/>
        <v>1</v>
      </c>
      <c r="X358" s="1098" t="e">
        <f>INDEX(OSReq,MATCH('Interior Lighting'!D358,LightingSpaceType,0))</f>
        <v>#N/A</v>
      </c>
      <c r="Y358" s="1098" t="e">
        <f t="shared" si="69"/>
        <v>#N/A</v>
      </c>
      <c r="Z358" s="1098" t="e">
        <f t="shared" si="70"/>
        <v>#N/A</v>
      </c>
      <c r="AA358" s="1098" t="e">
        <f>INDEX(Lookup!$O$9:$O$24,MATCH('Interior Lighting'!Z358,Lookup!$K$9:$K$24,0))</f>
        <v>#N/A</v>
      </c>
      <c r="AB358" s="1098" t="e">
        <f>IF(E358="A",INDEX(Lookup!$L$9:$L$24,MATCH(Z358,Lookup!$K$9:$K$24,0)),IF(E358="B",INDEX(Lookup!$M$9:$M$24,MATCH(Z358,Lookup!$K$9:$K$24,0)),IF(E358="C",INDEX(Lookup!$N$9:$N$24,MATCH(Z358,Lookup!$K$9:$K$24,0)),"N/A")))</f>
        <v>#N/A</v>
      </c>
    </row>
    <row r="359" spans="1:28">
      <c r="A359" s="1103"/>
      <c r="B359" s="69"/>
      <c r="C359" s="323"/>
      <c r="D359" s="323"/>
      <c r="E359" s="324" t="e">
        <f>INDEX(Lookup!$I$9:$I$24,MATCH('Interior Lighting'!D359,Lookup!$C$9:$C$24,0))</f>
        <v>#N/A</v>
      </c>
      <c r="F359" s="69"/>
      <c r="G359" s="69"/>
      <c r="H359" s="69"/>
      <c r="I359" s="324" t="e">
        <f t="shared" si="71"/>
        <v>#N/A</v>
      </c>
      <c r="J359" s="170"/>
      <c r="K359" s="325">
        <f t="shared" si="72"/>
        <v>0</v>
      </c>
      <c r="L359" s="326" t="e">
        <f t="shared" si="73"/>
        <v>#DIV/0!</v>
      </c>
      <c r="M359" s="326" t="str">
        <f>IF(H359="Yes",IF(D359='Drop Down'!$W$4,0.9*L359,IF(D359='Drop Down'!$W$5,0.9*L359,IF(D359='Drop Down'!$W$10,0.9*L359,IF(D359='Drop Down'!$W$16,0.9*L359,"No credit allowed.")))),"N/A")</f>
        <v>N/A</v>
      </c>
      <c r="N359" s="327" t="e">
        <f>IF($D$20="Space-By-Space (90.1-2013)",INDEX(LPD2013SS,MATCH('Interior Lighting'!D359,LightingSpaceType,0)*W359),INDEX(LPD2013WB,MATCH('Interior Lighting'!D359,LightingSpaceType,0)))</f>
        <v>#N/A</v>
      </c>
      <c r="O359" s="327">
        <f t="shared" si="74"/>
        <v>0</v>
      </c>
      <c r="P359" s="407" t="e">
        <f t="shared" si="66"/>
        <v>#N/A</v>
      </c>
      <c r="Q359" s="407" t="e">
        <f t="shared" si="75"/>
        <v>#N/A</v>
      </c>
      <c r="R359" s="407" t="e">
        <f t="shared" si="67"/>
        <v>#N/A</v>
      </c>
      <c r="S359" s="324">
        <f t="shared" si="76"/>
        <v>0</v>
      </c>
      <c r="T359" s="924" t="str">
        <f t="shared" si="68"/>
        <v/>
      </c>
      <c r="U359" s="1221" t="str">
        <f t="shared" si="78"/>
        <v/>
      </c>
      <c r="W359" s="1098">
        <f t="shared" si="77"/>
        <v>1</v>
      </c>
      <c r="X359" s="1098" t="e">
        <f>INDEX(OSReq,MATCH('Interior Lighting'!D359,LightingSpaceType,0))</f>
        <v>#N/A</v>
      </c>
      <c r="Y359" s="1098" t="e">
        <f t="shared" si="69"/>
        <v>#N/A</v>
      </c>
      <c r="Z359" s="1098" t="e">
        <f t="shared" si="70"/>
        <v>#N/A</v>
      </c>
      <c r="AA359" s="1098" t="e">
        <f>INDEX(Lookup!$O$9:$O$24,MATCH('Interior Lighting'!Z359,Lookup!$K$9:$K$24,0))</f>
        <v>#N/A</v>
      </c>
      <c r="AB359" s="1098" t="e">
        <f>IF(E359="A",INDEX(Lookup!$L$9:$L$24,MATCH(Z359,Lookup!$K$9:$K$24,0)),IF(E359="B",INDEX(Lookup!$M$9:$M$24,MATCH(Z359,Lookup!$K$9:$K$24,0)),IF(E359="C",INDEX(Lookup!$N$9:$N$24,MATCH(Z359,Lookup!$K$9:$K$24,0)),"N/A")))</f>
        <v>#N/A</v>
      </c>
    </row>
    <row r="360" spans="1:28">
      <c r="A360" s="1103"/>
      <c r="B360" s="69"/>
      <c r="C360" s="323"/>
      <c r="D360" s="323"/>
      <c r="E360" s="324" t="e">
        <f>INDEX(Lookup!$I$9:$I$24,MATCH('Interior Lighting'!D360,Lookup!$C$9:$C$24,0))</f>
        <v>#N/A</v>
      </c>
      <c r="F360" s="69"/>
      <c r="G360" s="69"/>
      <c r="H360" s="69"/>
      <c r="I360" s="324" t="e">
        <f t="shared" si="71"/>
        <v>#N/A</v>
      </c>
      <c r="J360" s="170"/>
      <c r="K360" s="325">
        <f t="shared" si="72"/>
        <v>0</v>
      </c>
      <c r="L360" s="326" t="e">
        <f t="shared" si="73"/>
        <v>#DIV/0!</v>
      </c>
      <c r="M360" s="326" t="str">
        <f>IF(H360="Yes",IF(D360='Drop Down'!$W$4,0.9*L360,IF(D360='Drop Down'!$W$5,0.9*L360,IF(D360='Drop Down'!$W$10,0.9*L360,IF(D360='Drop Down'!$W$16,0.9*L360,"No credit allowed.")))),"N/A")</f>
        <v>N/A</v>
      </c>
      <c r="N360" s="327" t="e">
        <f>IF($D$20="Space-By-Space (90.1-2013)",INDEX(LPD2013SS,MATCH('Interior Lighting'!D360,LightingSpaceType,0)*W360),INDEX(LPD2013WB,MATCH('Interior Lighting'!D360,LightingSpaceType,0)))</f>
        <v>#N/A</v>
      </c>
      <c r="O360" s="327">
        <f t="shared" si="74"/>
        <v>0</v>
      </c>
      <c r="P360" s="407" t="e">
        <f t="shared" si="66"/>
        <v>#N/A</v>
      </c>
      <c r="Q360" s="407" t="e">
        <f t="shared" si="75"/>
        <v>#N/A</v>
      </c>
      <c r="R360" s="407" t="e">
        <f t="shared" si="67"/>
        <v>#N/A</v>
      </c>
      <c r="S360" s="324">
        <f t="shared" si="76"/>
        <v>0</v>
      </c>
      <c r="T360" s="924" t="str">
        <f t="shared" si="68"/>
        <v/>
      </c>
      <c r="U360" s="1221" t="str">
        <f t="shared" si="78"/>
        <v/>
      </c>
      <c r="W360" s="1098">
        <f t="shared" si="77"/>
        <v>1</v>
      </c>
      <c r="X360" s="1098" t="e">
        <f>INDEX(OSReq,MATCH('Interior Lighting'!D360,LightingSpaceType,0))</f>
        <v>#N/A</v>
      </c>
      <c r="Y360" s="1098" t="e">
        <f t="shared" si="69"/>
        <v>#N/A</v>
      </c>
      <c r="Z360" s="1098" t="e">
        <f t="shared" si="70"/>
        <v>#N/A</v>
      </c>
      <c r="AA360" s="1098" t="e">
        <f>INDEX(Lookup!$O$9:$O$24,MATCH('Interior Lighting'!Z360,Lookup!$K$9:$K$24,0))</f>
        <v>#N/A</v>
      </c>
      <c r="AB360" s="1098" t="e">
        <f>IF(E360="A",INDEX(Lookup!$L$9:$L$24,MATCH(Z360,Lookup!$K$9:$K$24,0)),IF(E360="B",INDEX(Lookup!$M$9:$M$24,MATCH(Z360,Lookup!$K$9:$K$24,0)),IF(E360="C",INDEX(Lookup!$N$9:$N$24,MATCH(Z360,Lookup!$K$9:$K$24,0)),"N/A")))</f>
        <v>#N/A</v>
      </c>
    </row>
    <row r="361" spans="1:28">
      <c r="A361" s="1103"/>
      <c r="B361" s="69"/>
      <c r="C361" s="323"/>
      <c r="D361" s="323"/>
      <c r="E361" s="324" t="e">
        <f>INDEX(Lookup!$I$9:$I$24,MATCH('Interior Lighting'!D361,Lookup!$C$9:$C$24,0))</f>
        <v>#N/A</v>
      </c>
      <c r="F361" s="69"/>
      <c r="G361" s="69"/>
      <c r="H361" s="69"/>
      <c r="I361" s="324" t="e">
        <f t="shared" si="71"/>
        <v>#N/A</v>
      </c>
      <c r="J361" s="170"/>
      <c r="K361" s="325">
        <f t="shared" si="72"/>
        <v>0</v>
      </c>
      <c r="L361" s="326" t="e">
        <f t="shared" si="73"/>
        <v>#DIV/0!</v>
      </c>
      <c r="M361" s="326" t="str">
        <f>IF(H361="Yes",IF(D361='Drop Down'!$W$4,0.9*L361,IF(D361='Drop Down'!$W$5,0.9*L361,IF(D361='Drop Down'!$W$10,0.9*L361,IF(D361='Drop Down'!$W$16,0.9*L361,"No credit allowed.")))),"N/A")</f>
        <v>N/A</v>
      </c>
      <c r="N361" s="327" t="e">
        <f>IF($D$20="Space-By-Space (90.1-2013)",INDEX(LPD2013SS,MATCH('Interior Lighting'!D361,LightingSpaceType,0)*W361),INDEX(LPD2013WB,MATCH('Interior Lighting'!D361,LightingSpaceType,0)))</f>
        <v>#N/A</v>
      </c>
      <c r="O361" s="327">
        <f t="shared" si="74"/>
        <v>0</v>
      </c>
      <c r="P361" s="407" t="e">
        <f t="shared" si="66"/>
        <v>#N/A</v>
      </c>
      <c r="Q361" s="407" t="e">
        <f t="shared" si="75"/>
        <v>#N/A</v>
      </c>
      <c r="R361" s="407" t="e">
        <f t="shared" si="67"/>
        <v>#N/A</v>
      </c>
      <c r="S361" s="324">
        <f t="shared" si="76"/>
        <v>0</v>
      </c>
      <c r="T361" s="924" t="str">
        <f t="shared" si="68"/>
        <v/>
      </c>
      <c r="U361" s="1221" t="str">
        <f t="shared" si="78"/>
        <v/>
      </c>
      <c r="W361" s="1098">
        <f t="shared" si="77"/>
        <v>1</v>
      </c>
      <c r="X361" s="1098" t="e">
        <f>INDEX(OSReq,MATCH('Interior Lighting'!D361,LightingSpaceType,0))</f>
        <v>#N/A</v>
      </c>
      <c r="Y361" s="1098" t="e">
        <f t="shared" si="69"/>
        <v>#N/A</v>
      </c>
      <c r="Z361" s="1098" t="e">
        <f t="shared" si="70"/>
        <v>#N/A</v>
      </c>
      <c r="AA361" s="1098" t="e">
        <f>INDEX(Lookup!$O$9:$O$24,MATCH('Interior Lighting'!Z361,Lookup!$K$9:$K$24,0))</f>
        <v>#N/A</v>
      </c>
      <c r="AB361" s="1098" t="e">
        <f>IF(E361="A",INDEX(Lookup!$L$9:$L$24,MATCH(Z361,Lookup!$K$9:$K$24,0)),IF(E361="B",INDEX(Lookup!$M$9:$M$24,MATCH(Z361,Lookup!$K$9:$K$24,0)),IF(E361="C",INDEX(Lookup!$N$9:$N$24,MATCH(Z361,Lookup!$K$9:$K$24,0)),"N/A")))</f>
        <v>#N/A</v>
      </c>
    </row>
    <row r="362" spans="1:28">
      <c r="A362" s="329"/>
      <c r="C362" s="882"/>
      <c r="D362" s="882"/>
      <c r="M362" s="877"/>
      <c r="N362" s="416"/>
    </row>
    <row r="363" spans="1:28">
      <c r="A363" s="329"/>
      <c r="C363" s="882"/>
      <c r="D363" s="882"/>
      <c r="M363" s="877"/>
      <c r="N363" s="416"/>
    </row>
    <row r="364" spans="1:28">
      <c r="A364" s="329"/>
      <c r="C364" s="882"/>
      <c r="D364" s="882"/>
      <c r="M364" s="877"/>
      <c r="N364" s="416"/>
    </row>
    <row r="365" spans="1:28">
      <c r="A365" s="329"/>
      <c r="C365" s="882"/>
      <c r="D365" s="882"/>
      <c r="M365" s="877"/>
      <c r="N365" s="416"/>
    </row>
    <row r="366" spans="1:28">
      <c r="A366" s="329"/>
      <c r="B366" s="1611" t="s">
        <v>1135</v>
      </c>
      <c r="C366" s="1612"/>
      <c r="D366" s="1612"/>
      <c r="E366" s="1612"/>
      <c r="F366" s="1612"/>
      <c r="G366" s="1613"/>
      <c r="M366" s="877"/>
      <c r="N366" s="416"/>
    </row>
    <row r="367" spans="1:28">
      <c r="A367" s="329"/>
      <c r="B367" s="423"/>
      <c r="C367" s="424"/>
      <c r="D367" s="424"/>
      <c r="E367" s="424"/>
      <c r="F367" s="424"/>
      <c r="G367" s="425"/>
      <c r="M367" s="877"/>
      <c r="N367" s="416"/>
    </row>
    <row r="368" spans="1:28">
      <c r="A368" s="329"/>
      <c r="B368" s="426"/>
      <c r="C368" s="427"/>
      <c r="D368" s="427"/>
      <c r="E368" s="427"/>
      <c r="F368" s="427"/>
      <c r="G368" s="428"/>
      <c r="M368" s="877"/>
      <c r="N368" s="416"/>
    </row>
    <row r="369" spans="1:14">
      <c r="A369" s="329"/>
      <c r="B369" s="429"/>
      <c r="C369" s="427"/>
      <c r="D369" s="427"/>
      <c r="E369" s="427"/>
      <c r="F369" s="427"/>
      <c r="G369" s="428"/>
      <c r="M369" s="877"/>
      <c r="N369" s="416"/>
    </row>
    <row r="370" spans="1:14">
      <c r="A370" s="329"/>
      <c r="B370" s="429"/>
      <c r="C370" s="427"/>
      <c r="D370" s="427"/>
      <c r="E370" s="427"/>
      <c r="F370" s="427"/>
      <c r="G370" s="428"/>
      <c r="M370" s="877"/>
      <c r="N370" s="416"/>
    </row>
    <row r="371" spans="1:14">
      <c r="A371" s="329"/>
      <c r="B371" s="430"/>
      <c r="C371" s="431"/>
      <c r="D371" s="431"/>
      <c r="E371" s="431"/>
      <c r="F371" s="431"/>
      <c r="G371" s="432"/>
      <c r="M371" s="877"/>
      <c r="N371" s="416"/>
    </row>
    <row r="372" spans="1:14">
      <c r="A372" s="329"/>
      <c r="C372" s="882"/>
      <c r="D372" s="882"/>
      <c r="M372" s="877"/>
      <c r="N372" s="416"/>
    </row>
    <row r="373" spans="1:14">
      <c r="A373" s="329"/>
      <c r="C373" s="882"/>
      <c r="D373" s="882"/>
      <c r="M373" s="877"/>
      <c r="N373" s="416"/>
    </row>
    <row r="374" spans="1:14">
      <c r="A374" s="329"/>
      <c r="C374" s="882"/>
      <c r="D374" s="882"/>
      <c r="M374" s="877"/>
      <c r="N374" s="416"/>
    </row>
    <row r="375" spans="1:14">
      <c r="A375" s="329"/>
      <c r="C375" s="882"/>
      <c r="D375" s="882"/>
      <c r="M375" s="877"/>
      <c r="N375" s="416"/>
    </row>
    <row r="376" spans="1:14">
      <c r="A376" s="329"/>
      <c r="C376" s="882"/>
      <c r="D376" s="882"/>
      <c r="M376" s="877"/>
      <c r="N376" s="416"/>
    </row>
    <row r="377" spans="1:14">
      <c r="A377" s="329"/>
      <c r="C377" s="882"/>
      <c r="D377" s="882"/>
      <c r="M377" s="877"/>
      <c r="N377" s="416"/>
    </row>
    <row r="378" spans="1:14">
      <c r="A378" s="329"/>
      <c r="C378" s="882"/>
      <c r="D378" s="882"/>
      <c r="M378" s="877"/>
      <c r="N378" s="416"/>
    </row>
    <row r="379" spans="1:14">
      <c r="A379" s="329"/>
      <c r="C379" s="882"/>
      <c r="D379" s="882"/>
      <c r="M379" s="877"/>
      <c r="N379" s="416"/>
    </row>
    <row r="380" spans="1:14">
      <c r="A380" s="329"/>
      <c r="C380" s="882"/>
      <c r="D380" s="882"/>
      <c r="M380" s="877"/>
      <c r="N380" s="416"/>
    </row>
    <row r="381" spans="1:14">
      <c r="A381" s="329"/>
      <c r="C381" s="882"/>
      <c r="D381" s="882"/>
      <c r="M381" s="877"/>
      <c r="N381" s="416"/>
    </row>
    <row r="382" spans="1:14">
      <c r="A382" s="329"/>
      <c r="C382" s="882"/>
      <c r="D382" s="882"/>
      <c r="M382" s="877"/>
      <c r="N382" s="416"/>
    </row>
    <row r="383" spans="1:14">
      <c r="A383" s="329"/>
      <c r="C383" s="882"/>
      <c r="D383" s="882"/>
      <c r="M383" s="877"/>
      <c r="N383" s="416"/>
    </row>
    <row r="384" spans="1:14">
      <c r="A384" s="329"/>
      <c r="C384" s="882"/>
      <c r="D384" s="882"/>
      <c r="M384" s="877"/>
      <c r="N384" s="416"/>
    </row>
    <row r="385" spans="1:14">
      <c r="A385" s="329"/>
      <c r="C385" s="882"/>
      <c r="D385" s="882"/>
      <c r="M385" s="877"/>
      <c r="N385" s="416"/>
    </row>
    <row r="386" spans="1:14">
      <c r="A386" s="329"/>
      <c r="C386" s="882"/>
      <c r="D386" s="882"/>
      <c r="M386" s="877"/>
      <c r="N386" s="416"/>
    </row>
    <row r="387" spans="1:14">
      <c r="A387" s="329"/>
      <c r="C387" s="882"/>
      <c r="D387" s="882"/>
      <c r="M387" s="877"/>
      <c r="N387" s="416"/>
    </row>
    <row r="388" spans="1:14">
      <c r="A388" s="329"/>
      <c r="C388" s="882"/>
      <c r="D388" s="882"/>
      <c r="M388" s="877"/>
      <c r="N388" s="416"/>
    </row>
    <row r="389" spans="1:14">
      <c r="A389" s="329"/>
      <c r="C389" s="882"/>
      <c r="D389" s="882"/>
      <c r="M389" s="877"/>
      <c r="N389" s="416"/>
    </row>
    <row r="390" spans="1:14">
      <c r="A390" s="329"/>
      <c r="C390" s="882"/>
      <c r="D390" s="882"/>
      <c r="M390" s="877"/>
      <c r="N390" s="416"/>
    </row>
    <row r="391" spans="1:14">
      <c r="A391" s="329"/>
      <c r="C391" s="882"/>
      <c r="D391" s="882"/>
      <c r="M391" s="877"/>
      <c r="N391" s="416"/>
    </row>
    <row r="392" spans="1:14">
      <c r="A392" s="329"/>
      <c r="C392" s="882"/>
      <c r="D392" s="882"/>
      <c r="M392" s="877"/>
      <c r="N392" s="416"/>
    </row>
    <row r="393" spans="1:14">
      <c r="A393" s="329"/>
      <c r="C393" s="882"/>
      <c r="D393" s="882"/>
      <c r="M393" s="877"/>
      <c r="N393" s="416"/>
    </row>
    <row r="394" spans="1:14">
      <c r="A394" s="329"/>
      <c r="C394" s="882"/>
      <c r="D394" s="882"/>
      <c r="M394" s="877"/>
      <c r="N394" s="416"/>
    </row>
    <row r="395" spans="1:14">
      <c r="A395" s="329"/>
      <c r="C395" s="882"/>
      <c r="D395" s="882"/>
      <c r="M395" s="877"/>
      <c r="N395" s="416"/>
    </row>
    <row r="396" spans="1:14">
      <c r="A396" s="329"/>
      <c r="C396" s="882"/>
      <c r="D396" s="882"/>
      <c r="M396" s="877"/>
      <c r="N396" s="416"/>
    </row>
    <row r="397" spans="1:14">
      <c r="A397" s="329"/>
      <c r="C397" s="882"/>
      <c r="D397" s="882"/>
      <c r="M397" s="877"/>
      <c r="N397" s="416"/>
    </row>
    <row r="398" spans="1:14">
      <c r="A398" s="329"/>
      <c r="C398" s="882"/>
      <c r="D398" s="882"/>
      <c r="M398" s="877"/>
      <c r="N398" s="416"/>
    </row>
    <row r="399" spans="1:14">
      <c r="A399" s="329"/>
      <c r="C399" s="882"/>
      <c r="D399" s="882"/>
      <c r="M399" s="877"/>
      <c r="N399" s="416"/>
    </row>
    <row r="400" spans="1:14">
      <c r="A400" s="329"/>
      <c r="C400" s="882"/>
      <c r="D400" s="882"/>
      <c r="M400" s="877"/>
      <c r="N400" s="416"/>
    </row>
    <row r="401" spans="1:14">
      <c r="A401" s="329"/>
      <c r="C401" s="882"/>
      <c r="D401" s="882"/>
      <c r="M401" s="877"/>
      <c r="N401" s="416"/>
    </row>
    <row r="402" spans="1:14">
      <c r="A402" s="329"/>
      <c r="C402" s="882"/>
      <c r="D402" s="882"/>
      <c r="M402" s="877"/>
      <c r="N402" s="416"/>
    </row>
    <row r="403" spans="1:14">
      <c r="A403" s="329"/>
      <c r="D403" s="915"/>
      <c r="M403" s="877"/>
      <c r="N403" s="416"/>
    </row>
    <row r="404" spans="1:14">
      <c r="A404" s="329"/>
      <c r="D404" s="915"/>
      <c r="M404" s="877"/>
      <c r="N404" s="416"/>
    </row>
    <row r="405" spans="1:14">
      <c r="A405" s="329"/>
      <c r="D405" s="915"/>
      <c r="M405" s="877"/>
      <c r="N405" s="416"/>
    </row>
    <row r="406" spans="1:14">
      <c r="A406" s="329"/>
      <c r="D406" s="915"/>
      <c r="M406" s="877"/>
      <c r="N406" s="416"/>
    </row>
    <row r="407" spans="1:14">
      <c r="A407" s="329"/>
      <c r="D407" s="915"/>
      <c r="M407" s="877"/>
      <c r="N407" s="416"/>
    </row>
    <row r="408" spans="1:14">
      <c r="D408" s="915"/>
      <c r="M408" s="877"/>
      <c r="N408" s="416"/>
    </row>
    <row r="409" spans="1:14">
      <c r="D409" s="915"/>
      <c r="M409" s="877"/>
      <c r="N409" s="416"/>
    </row>
    <row r="410" spans="1:14">
      <c r="D410" s="915"/>
      <c r="M410" s="877"/>
      <c r="N410" s="416"/>
    </row>
    <row r="411" spans="1:14">
      <c r="D411" s="915"/>
      <c r="M411" s="877"/>
      <c r="N411" s="416"/>
    </row>
    <row r="412" spans="1:14">
      <c r="D412" s="915"/>
      <c r="M412" s="877"/>
      <c r="N412" s="416"/>
    </row>
    <row r="413" spans="1:14">
      <c r="D413" s="915"/>
      <c r="M413" s="877"/>
      <c r="N413" s="416"/>
    </row>
    <row r="414" spans="1:14">
      <c r="D414" s="915"/>
      <c r="M414" s="877"/>
      <c r="N414" s="416"/>
    </row>
    <row r="415" spans="1:14">
      <c r="D415" s="915"/>
      <c r="M415" s="877"/>
      <c r="N415" s="416"/>
    </row>
    <row r="416" spans="1:14">
      <c r="D416" s="915"/>
      <c r="M416" s="877"/>
      <c r="N416" s="416"/>
    </row>
    <row r="417" spans="4:14">
      <c r="D417" s="915"/>
      <c r="M417" s="877"/>
      <c r="N417" s="416"/>
    </row>
    <row r="418" spans="4:14">
      <c r="D418" s="915"/>
      <c r="M418" s="877"/>
      <c r="N418" s="416"/>
    </row>
    <row r="419" spans="4:14">
      <c r="D419" s="915"/>
      <c r="M419" s="877"/>
      <c r="N419" s="416"/>
    </row>
    <row r="420" spans="4:14">
      <c r="D420" s="915"/>
      <c r="M420" s="877"/>
      <c r="N420" s="416"/>
    </row>
    <row r="421" spans="4:14">
      <c r="D421" s="915"/>
      <c r="M421" s="877"/>
      <c r="N421" s="416"/>
    </row>
    <row r="422" spans="4:14">
      <c r="D422" s="915"/>
      <c r="M422" s="877"/>
    </row>
    <row r="423" spans="4:14">
      <c r="D423" s="915"/>
      <c r="M423" s="877"/>
    </row>
    <row r="424" spans="4:14">
      <c r="D424" s="915"/>
      <c r="M424" s="877"/>
    </row>
    <row r="425" spans="4:14">
      <c r="D425" s="915"/>
      <c r="M425" s="877"/>
    </row>
    <row r="426" spans="4:14">
      <c r="D426" s="915"/>
      <c r="M426" s="877"/>
    </row>
    <row r="427" spans="4:14">
      <c r="D427" s="915"/>
      <c r="M427" s="877"/>
    </row>
    <row r="428" spans="4:14">
      <c r="D428" s="915"/>
      <c r="M428" s="877"/>
    </row>
    <row r="429" spans="4:14">
      <c r="D429" s="915"/>
      <c r="M429" s="877"/>
    </row>
    <row r="430" spans="4:14">
      <c r="D430" s="915"/>
      <c r="M430" s="877"/>
    </row>
    <row r="431" spans="4:14">
      <c r="D431" s="915"/>
      <c r="M431" s="877"/>
    </row>
    <row r="432" spans="4:14">
      <c r="D432" s="915"/>
      <c r="M432" s="877"/>
    </row>
    <row r="433" spans="4:13">
      <c r="D433" s="915"/>
      <c r="M433" s="877"/>
    </row>
    <row r="434" spans="4:13">
      <c r="D434" s="915"/>
      <c r="M434" s="877"/>
    </row>
    <row r="435" spans="4:13">
      <c r="D435" s="915"/>
      <c r="M435" s="877"/>
    </row>
    <row r="436" spans="4:13">
      <c r="D436" s="915"/>
      <c r="M436" s="877"/>
    </row>
    <row r="437" spans="4:13">
      <c r="D437" s="915"/>
      <c r="M437" s="877"/>
    </row>
    <row r="438" spans="4:13">
      <c r="D438" s="915"/>
      <c r="M438" s="877"/>
    </row>
    <row r="439" spans="4:13">
      <c r="D439" s="915"/>
      <c r="M439" s="877"/>
    </row>
    <row r="440" spans="4:13">
      <c r="D440" s="915"/>
      <c r="M440" s="877"/>
    </row>
    <row r="441" spans="4:13">
      <c r="D441" s="915"/>
      <c r="M441" s="877"/>
    </row>
    <row r="442" spans="4:13">
      <c r="D442" s="915"/>
      <c r="M442" s="877"/>
    </row>
    <row r="443" spans="4:13">
      <c r="D443" s="915"/>
      <c r="M443" s="877"/>
    </row>
    <row r="444" spans="4:13">
      <c r="D444" s="915"/>
      <c r="M444" s="877"/>
    </row>
    <row r="445" spans="4:13">
      <c r="D445" s="915"/>
      <c r="M445" s="877"/>
    </row>
    <row r="446" spans="4:13">
      <c r="D446" s="915"/>
      <c r="M446" s="877"/>
    </row>
    <row r="447" spans="4:13">
      <c r="D447" s="915"/>
      <c r="M447" s="877"/>
    </row>
    <row r="448" spans="4:13">
      <c r="D448" s="915"/>
      <c r="M448" s="877"/>
    </row>
    <row r="449" spans="4:13">
      <c r="D449" s="915"/>
      <c r="M449" s="877"/>
    </row>
    <row r="450" spans="4:13">
      <c r="D450" s="915"/>
      <c r="M450" s="877"/>
    </row>
    <row r="451" spans="4:13">
      <c r="D451" s="915"/>
      <c r="M451" s="877"/>
    </row>
    <row r="452" spans="4:13">
      <c r="D452" s="915"/>
      <c r="M452" s="877"/>
    </row>
    <row r="453" spans="4:13">
      <c r="D453" s="915"/>
      <c r="M453" s="877"/>
    </row>
    <row r="454" spans="4:13">
      <c r="D454" s="915"/>
      <c r="M454" s="877"/>
    </row>
    <row r="455" spans="4:13">
      <c r="M455" s="877"/>
    </row>
    <row r="456" spans="4:13">
      <c r="M456" s="877"/>
    </row>
    <row r="457" spans="4:13">
      <c r="M457" s="877"/>
    </row>
    <row r="458" spans="4:13">
      <c r="M458" s="877"/>
    </row>
    <row r="459" spans="4:13">
      <c r="M459" s="877"/>
    </row>
    <row r="460" spans="4:13">
      <c r="M460" s="877"/>
    </row>
    <row r="461" spans="4:13">
      <c r="M461" s="877"/>
    </row>
    <row r="462" spans="4:13">
      <c r="M462" s="877"/>
    </row>
    <row r="463" spans="4:13">
      <c r="M463" s="877"/>
    </row>
    <row r="464" spans="4:13">
      <c r="M464" s="877"/>
    </row>
    <row r="465" spans="13:13">
      <c r="M465" s="877"/>
    </row>
    <row r="466" spans="13:13">
      <c r="M466" s="877"/>
    </row>
    <row r="467" spans="13:13">
      <c r="M467" s="877"/>
    </row>
    <row r="468" spans="13:13">
      <c r="M468" s="877"/>
    </row>
    <row r="469" spans="13:13">
      <c r="M469" s="877"/>
    </row>
    <row r="470" spans="13:13">
      <c r="M470" s="877"/>
    </row>
    <row r="471" spans="13:13">
      <c r="M471" s="877"/>
    </row>
    <row r="472" spans="13:13">
      <c r="M472" s="877"/>
    </row>
    <row r="473" spans="13:13">
      <c r="M473" s="877"/>
    </row>
    <row r="474" spans="13:13">
      <c r="M474" s="877"/>
    </row>
    <row r="475" spans="13:13">
      <c r="M475" s="877"/>
    </row>
    <row r="476" spans="13:13">
      <c r="M476" s="877"/>
    </row>
    <row r="477" spans="13:13">
      <c r="M477" s="877"/>
    </row>
    <row r="478" spans="13:13">
      <c r="M478" s="877"/>
    </row>
    <row r="479" spans="13:13">
      <c r="M479" s="877"/>
    </row>
    <row r="480" spans="13:13">
      <c r="M480" s="877"/>
    </row>
    <row r="481" spans="13:13">
      <c r="M481" s="877"/>
    </row>
    <row r="482" spans="13:13">
      <c r="M482" s="877"/>
    </row>
    <row r="483" spans="13:13">
      <c r="M483" s="877"/>
    </row>
    <row r="484" spans="13:13">
      <c r="M484" s="877"/>
    </row>
    <row r="485" spans="13:13">
      <c r="M485" s="877"/>
    </row>
    <row r="486" spans="13:13">
      <c r="M486" s="877"/>
    </row>
    <row r="487" spans="13:13">
      <c r="M487" s="877"/>
    </row>
    <row r="488" spans="13:13">
      <c r="M488" s="877"/>
    </row>
    <row r="489" spans="13:13">
      <c r="M489" s="877"/>
    </row>
    <row r="490" spans="13:13">
      <c r="M490" s="877"/>
    </row>
    <row r="491" spans="13:13">
      <c r="M491" s="877"/>
    </row>
    <row r="492" spans="13:13">
      <c r="M492" s="877"/>
    </row>
    <row r="493" spans="13:13">
      <c r="M493" s="877"/>
    </row>
    <row r="494" spans="13:13">
      <c r="M494" s="877"/>
    </row>
    <row r="495" spans="13:13">
      <c r="M495" s="877"/>
    </row>
    <row r="496" spans="13:13">
      <c r="M496" s="877"/>
    </row>
    <row r="497" spans="13:13">
      <c r="M497" s="877"/>
    </row>
    <row r="498" spans="13:13">
      <c r="M498" s="877"/>
    </row>
    <row r="499" spans="13:13">
      <c r="M499" s="877"/>
    </row>
    <row r="500" spans="13:13">
      <c r="M500" s="877"/>
    </row>
    <row r="501" spans="13:13">
      <c r="M501" s="877"/>
    </row>
    <row r="502" spans="13:13">
      <c r="M502" s="877"/>
    </row>
    <row r="503" spans="13:13">
      <c r="M503" s="877"/>
    </row>
    <row r="504" spans="13:13">
      <c r="M504" s="877"/>
    </row>
    <row r="505" spans="13:13">
      <c r="M505" s="877"/>
    </row>
    <row r="506" spans="13:13">
      <c r="M506" s="877"/>
    </row>
    <row r="507" spans="13:13">
      <c r="M507" s="877"/>
    </row>
    <row r="508" spans="13:13">
      <c r="M508" s="416"/>
    </row>
    <row r="509" spans="13:13">
      <c r="M509" s="416"/>
    </row>
    <row r="510" spans="13:13">
      <c r="M510" s="416"/>
    </row>
    <row r="511" spans="13:13">
      <c r="M511" s="416"/>
    </row>
    <row r="512" spans="13:13">
      <c r="M512" s="416"/>
    </row>
    <row r="513" spans="13:13">
      <c r="M513" s="416"/>
    </row>
    <row r="514" spans="13:13">
      <c r="M514" s="416"/>
    </row>
    <row r="515" spans="13:13">
      <c r="M515" s="416"/>
    </row>
    <row r="516" spans="13:13">
      <c r="M516" s="416"/>
    </row>
    <row r="517" spans="13:13">
      <c r="M517" s="416"/>
    </row>
    <row r="518" spans="13:13">
      <c r="M518" s="416"/>
    </row>
    <row r="519" spans="13:13">
      <c r="M519" s="416"/>
    </row>
    <row r="520" spans="13:13">
      <c r="M520" s="416"/>
    </row>
    <row r="521" spans="13:13">
      <c r="M521" s="416"/>
    </row>
    <row r="522" spans="13:13">
      <c r="M522" s="416"/>
    </row>
    <row r="523" spans="13:13">
      <c r="M523" s="416"/>
    </row>
    <row r="524" spans="13:13">
      <c r="M524" s="416"/>
    </row>
    <row r="525" spans="13:13">
      <c r="M525" s="416"/>
    </row>
    <row r="526" spans="13:13">
      <c r="M526" s="416"/>
    </row>
    <row r="527" spans="13:13">
      <c r="M527" s="416"/>
    </row>
    <row r="528" spans="13:13">
      <c r="M528" s="416"/>
    </row>
    <row r="529" spans="13:13">
      <c r="M529" s="416"/>
    </row>
    <row r="530" spans="13:13">
      <c r="M530" s="416"/>
    </row>
    <row r="531" spans="13:13">
      <c r="M531" s="416"/>
    </row>
    <row r="532" spans="13:13">
      <c r="M532" s="416"/>
    </row>
    <row r="533" spans="13:13">
      <c r="M533" s="416"/>
    </row>
    <row r="534" spans="13:13">
      <c r="M534" s="416"/>
    </row>
    <row r="535" spans="13:13">
      <c r="M535" s="416"/>
    </row>
    <row r="536" spans="13:13">
      <c r="M536" s="416"/>
    </row>
    <row r="537" spans="13:13">
      <c r="M537" s="416"/>
    </row>
    <row r="538" spans="13:13">
      <c r="M538" s="416"/>
    </row>
    <row r="539" spans="13:13">
      <c r="M539" s="416"/>
    </row>
    <row r="540" spans="13:13">
      <c r="M540" s="416"/>
    </row>
    <row r="541" spans="13:13">
      <c r="M541" s="416"/>
    </row>
    <row r="542" spans="13:13">
      <c r="M542" s="416"/>
    </row>
    <row r="543" spans="13:13">
      <c r="M543" s="416"/>
    </row>
    <row r="544" spans="13:13">
      <c r="M544" s="416"/>
    </row>
    <row r="545" spans="13:13">
      <c r="M545" s="416"/>
    </row>
    <row r="546" spans="13:13">
      <c r="M546" s="416"/>
    </row>
    <row r="547" spans="13:13">
      <c r="M547" s="416"/>
    </row>
    <row r="548" spans="13:13">
      <c r="M548" s="416"/>
    </row>
    <row r="549" spans="13:13">
      <c r="M549" s="416"/>
    </row>
    <row r="550" spans="13:13">
      <c r="M550" s="416"/>
    </row>
    <row r="551" spans="13:13">
      <c r="M551" s="416"/>
    </row>
    <row r="552" spans="13:13">
      <c r="M552" s="416"/>
    </row>
    <row r="553" spans="13:13">
      <c r="M553" s="416"/>
    </row>
    <row r="554" spans="13:13">
      <c r="M554" s="416"/>
    </row>
    <row r="555" spans="13:13">
      <c r="M555" s="416"/>
    </row>
    <row r="556" spans="13:13">
      <c r="M556" s="416"/>
    </row>
    <row r="557" spans="13:13">
      <c r="M557" s="416"/>
    </row>
    <row r="558" spans="13:13">
      <c r="M558" s="416"/>
    </row>
    <row r="559" spans="13:13">
      <c r="M559" s="416"/>
    </row>
    <row r="560" spans="13:13">
      <c r="M560" s="416"/>
    </row>
    <row r="561" spans="13:13">
      <c r="M561" s="416"/>
    </row>
    <row r="562" spans="13:13">
      <c r="M562" s="416"/>
    </row>
    <row r="563" spans="13:13">
      <c r="M563" s="416"/>
    </row>
    <row r="564" spans="13:13">
      <c r="M564" s="416"/>
    </row>
    <row r="565" spans="13:13">
      <c r="M565" s="416"/>
    </row>
    <row r="566" spans="13:13">
      <c r="M566" s="416"/>
    </row>
    <row r="567" spans="13:13">
      <c r="M567" s="416"/>
    </row>
    <row r="568" spans="13:13">
      <c r="M568" s="416"/>
    </row>
    <row r="569" spans="13:13">
      <c r="M569" s="416"/>
    </row>
    <row r="570" spans="13:13">
      <c r="M570" s="416"/>
    </row>
    <row r="571" spans="13:13">
      <c r="M571" s="416"/>
    </row>
    <row r="572" spans="13:13">
      <c r="M572" s="416"/>
    </row>
    <row r="573" spans="13:13">
      <c r="M573" s="416"/>
    </row>
    <row r="574" spans="13:13">
      <c r="M574" s="416"/>
    </row>
    <row r="575" spans="13:13">
      <c r="M575" s="416"/>
    </row>
    <row r="576" spans="13:13">
      <c r="M576" s="416"/>
    </row>
    <row r="577" spans="13:13">
      <c r="M577" s="416"/>
    </row>
    <row r="578" spans="13:13">
      <c r="M578" s="416"/>
    </row>
    <row r="579" spans="13:13">
      <c r="M579" s="416"/>
    </row>
    <row r="580" spans="13:13">
      <c r="M580" s="416"/>
    </row>
    <row r="581" spans="13:13">
      <c r="M581" s="416"/>
    </row>
    <row r="582" spans="13:13">
      <c r="M582" s="416"/>
    </row>
    <row r="583" spans="13:13">
      <c r="M583" s="416"/>
    </row>
    <row r="584" spans="13:13">
      <c r="M584" s="416"/>
    </row>
    <row r="585" spans="13:13">
      <c r="M585" s="416"/>
    </row>
    <row r="586" spans="13:13">
      <c r="M586" s="416"/>
    </row>
    <row r="587" spans="13:13">
      <c r="M587" s="416"/>
    </row>
    <row r="588" spans="13:13">
      <c r="M588" s="416"/>
    </row>
    <row r="589" spans="13:13">
      <c r="M589" s="416"/>
    </row>
    <row r="590" spans="13:13">
      <c r="M590" s="416"/>
    </row>
    <row r="591" spans="13:13">
      <c r="M591" s="416"/>
    </row>
    <row r="592" spans="13:13">
      <c r="M592" s="416"/>
    </row>
    <row r="593" spans="13:13">
      <c r="M593" s="416"/>
    </row>
    <row r="594" spans="13:13">
      <c r="M594" s="416"/>
    </row>
    <row r="595" spans="13:13">
      <c r="M595" s="416"/>
    </row>
    <row r="596" spans="13:13">
      <c r="M596" s="416"/>
    </row>
    <row r="597" spans="13:13">
      <c r="M597" s="416"/>
    </row>
    <row r="598" spans="13:13">
      <c r="M598" s="416"/>
    </row>
    <row r="599" spans="13:13">
      <c r="M599" s="416"/>
    </row>
    <row r="600" spans="13:13">
      <c r="M600" s="416"/>
    </row>
    <row r="601" spans="13:13">
      <c r="M601" s="416"/>
    </row>
    <row r="602" spans="13:13">
      <c r="M602" s="416"/>
    </row>
    <row r="603" spans="13:13">
      <c r="M603" s="416"/>
    </row>
    <row r="604" spans="13:13">
      <c r="M604" s="416"/>
    </row>
    <row r="605" spans="13:13">
      <c r="M605" s="416"/>
    </row>
    <row r="606" spans="13:13">
      <c r="M606" s="416"/>
    </row>
    <row r="607" spans="13:13">
      <c r="M607" s="416"/>
    </row>
    <row r="608" spans="13:13">
      <c r="M608" s="416"/>
    </row>
    <row r="609" spans="13:13">
      <c r="M609" s="416"/>
    </row>
    <row r="610" spans="13:13">
      <c r="M610" s="416"/>
    </row>
    <row r="611" spans="13:13">
      <c r="M611" s="416"/>
    </row>
    <row r="612" spans="13:13">
      <c r="M612" s="416"/>
    </row>
    <row r="613" spans="13:13">
      <c r="M613" s="416"/>
    </row>
    <row r="614" spans="13:13">
      <c r="M614" s="416"/>
    </row>
    <row r="615" spans="13:13">
      <c r="M615" s="416"/>
    </row>
    <row r="616" spans="13:13">
      <c r="M616" s="416"/>
    </row>
    <row r="617" spans="13:13">
      <c r="M617" s="416"/>
    </row>
    <row r="618" spans="13:13">
      <c r="M618" s="416"/>
    </row>
    <row r="619" spans="13:13">
      <c r="M619" s="416"/>
    </row>
    <row r="620" spans="13:13">
      <c r="M620" s="416"/>
    </row>
    <row r="621" spans="13:13">
      <c r="M621" s="416"/>
    </row>
    <row r="622" spans="13:13">
      <c r="M622" s="416"/>
    </row>
    <row r="623" spans="13:13">
      <c r="M623" s="416"/>
    </row>
    <row r="624" spans="13:13">
      <c r="M624" s="416"/>
    </row>
    <row r="625" spans="13:13">
      <c r="M625" s="416"/>
    </row>
    <row r="626" spans="13:13">
      <c r="M626" s="416"/>
    </row>
    <row r="627" spans="13:13">
      <c r="M627" s="416"/>
    </row>
    <row r="628" spans="13:13">
      <c r="M628" s="416"/>
    </row>
    <row r="629" spans="13:13">
      <c r="M629" s="416"/>
    </row>
    <row r="630" spans="13:13">
      <c r="M630" s="416"/>
    </row>
    <row r="631" spans="13:13">
      <c r="M631" s="416"/>
    </row>
    <row r="632" spans="13:13">
      <c r="M632" s="416"/>
    </row>
    <row r="633" spans="13:13">
      <c r="M633" s="416"/>
    </row>
    <row r="634" spans="13:13">
      <c r="M634" s="416"/>
    </row>
    <row r="635" spans="13:13">
      <c r="M635" s="416"/>
    </row>
    <row r="636" spans="13:13">
      <c r="M636" s="416"/>
    </row>
    <row r="637" spans="13:13">
      <c r="M637" s="416"/>
    </row>
    <row r="638" spans="13:13">
      <c r="M638" s="416"/>
    </row>
    <row r="639" spans="13:13">
      <c r="M639" s="416"/>
    </row>
    <row r="640" spans="13:13">
      <c r="M640" s="416"/>
    </row>
    <row r="641" spans="13:13">
      <c r="M641" s="416"/>
    </row>
    <row r="642" spans="13:13">
      <c r="M642" s="416"/>
    </row>
    <row r="643" spans="13:13">
      <c r="M643" s="416"/>
    </row>
    <row r="644" spans="13:13">
      <c r="M644" s="416"/>
    </row>
    <row r="645" spans="13:13">
      <c r="M645" s="416"/>
    </row>
    <row r="646" spans="13:13">
      <c r="M646" s="416"/>
    </row>
    <row r="647" spans="13:13">
      <c r="M647" s="416"/>
    </row>
    <row r="648" spans="13:13">
      <c r="M648" s="416"/>
    </row>
    <row r="649" spans="13:13">
      <c r="M649" s="416"/>
    </row>
    <row r="650" spans="13:13">
      <c r="M650" s="416"/>
    </row>
    <row r="651" spans="13:13">
      <c r="M651" s="416"/>
    </row>
    <row r="652" spans="13:13">
      <c r="M652" s="416"/>
    </row>
    <row r="653" spans="13:13">
      <c r="M653" s="416"/>
    </row>
    <row r="654" spans="13:13">
      <c r="M654" s="416"/>
    </row>
    <row r="655" spans="13:13">
      <c r="M655" s="416"/>
    </row>
    <row r="656" spans="13:13">
      <c r="M656" s="416"/>
    </row>
    <row r="657" spans="13:13">
      <c r="M657" s="416"/>
    </row>
    <row r="658" spans="13:13">
      <c r="M658" s="416"/>
    </row>
    <row r="659" spans="13:13">
      <c r="M659" s="416"/>
    </row>
    <row r="660" spans="13:13">
      <c r="M660" s="416"/>
    </row>
    <row r="661" spans="13:13">
      <c r="M661" s="416"/>
    </row>
    <row r="662" spans="13:13">
      <c r="M662" s="416"/>
    </row>
    <row r="663" spans="13:13">
      <c r="M663" s="416"/>
    </row>
    <row r="664" spans="13:13">
      <c r="M664" s="416"/>
    </row>
    <row r="665" spans="13:13">
      <c r="M665" s="416"/>
    </row>
    <row r="666" spans="13:13">
      <c r="M666" s="416"/>
    </row>
    <row r="667" spans="13:13">
      <c r="M667" s="416"/>
    </row>
    <row r="668" spans="13:13">
      <c r="M668" s="416"/>
    </row>
    <row r="669" spans="13:13">
      <c r="M669" s="416"/>
    </row>
    <row r="670" spans="13:13">
      <c r="M670" s="416"/>
    </row>
    <row r="671" spans="13:13">
      <c r="M671" s="416"/>
    </row>
    <row r="672" spans="13:13">
      <c r="M672" s="416"/>
    </row>
    <row r="673" spans="13:13">
      <c r="M673" s="416"/>
    </row>
    <row r="674" spans="13:13">
      <c r="M674" s="416"/>
    </row>
    <row r="675" spans="13:13">
      <c r="M675" s="416"/>
    </row>
    <row r="676" spans="13:13">
      <c r="M676" s="416"/>
    </row>
    <row r="677" spans="13:13">
      <c r="M677" s="416"/>
    </row>
    <row r="678" spans="13:13">
      <c r="M678" s="416"/>
    </row>
    <row r="679" spans="13:13">
      <c r="M679" s="416"/>
    </row>
    <row r="680" spans="13:13">
      <c r="M680" s="416"/>
    </row>
    <row r="681" spans="13:13">
      <c r="M681" s="416"/>
    </row>
    <row r="682" spans="13:13">
      <c r="M682" s="416"/>
    </row>
    <row r="683" spans="13:13">
      <c r="M683" s="416"/>
    </row>
    <row r="684" spans="13:13">
      <c r="M684" s="416"/>
    </row>
    <row r="685" spans="13:13">
      <c r="M685" s="416"/>
    </row>
    <row r="686" spans="13:13">
      <c r="M686" s="416"/>
    </row>
    <row r="687" spans="13:13">
      <c r="M687" s="416"/>
    </row>
    <row r="688" spans="13:13">
      <c r="M688" s="416"/>
    </row>
    <row r="689" spans="13:13">
      <c r="M689" s="416"/>
    </row>
    <row r="690" spans="13:13">
      <c r="M690" s="416"/>
    </row>
    <row r="691" spans="13:13">
      <c r="M691" s="416"/>
    </row>
    <row r="692" spans="13:13">
      <c r="M692" s="416"/>
    </row>
    <row r="693" spans="13:13">
      <c r="M693" s="416"/>
    </row>
    <row r="694" spans="13:13">
      <c r="M694" s="416"/>
    </row>
    <row r="695" spans="13:13">
      <c r="M695" s="416"/>
    </row>
    <row r="696" spans="13:13">
      <c r="M696" s="416"/>
    </row>
    <row r="697" spans="13:13">
      <c r="M697" s="416"/>
    </row>
    <row r="698" spans="13:13">
      <c r="M698" s="416"/>
    </row>
    <row r="699" spans="13:13">
      <c r="M699" s="416"/>
    </row>
    <row r="700" spans="13:13">
      <c r="M700" s="416"/>
    </row>
    <row r="701" spans="13:13">
      <c r="M701" s="416"/>
    </row>
    <row r="702" spans="13:13">
      <c r="M702" s="416"/>
    </row>
    <row r="703" spans="13:13">
      <c r="M703" s="416"/>
    </row>
    <row r="704" spans="13:13">
      <c r="M704" s="416"/>
    </row>
    <row r="705" spans="13:13">
      <c r="M705" s="416"/>
    </row>
    <row r="706" spans="13:13">
      <c r="M706" s="416"/>
    </row>
    <row r="707" spans="13:13">
      <c r="M707" s="416"/>
    </row>
    <row r="708" spans="13:13">
      <c r="M708" s="416"/>
    </row>
    <row r="709" spans="13:13">
      <c r="M709" s="416"/>
    </row>
    <row r="710" spans="13:13">
      <c r="M710" s="416"/>
    </row>
    <row r="711" spans="13:13">
      <c r="M711" s="416"/>
    </row>
    <row r="712" spans="13:13">
      <c r="M712" s="416"/>
    </row>
    <row r="713" spans="13:13">
      <c r="M713" s="416"/>
    </row>
    <row r="714" spans="13:13">
      <c r="M714" s="416"/>
    </row>
    <row r="715" spans="13:13">
      <c r="M715" s="416"/>
    </row>
    <row r="716" spans="13:13">
      <c r="M716" s="416"/>
    </row>
    <row r="717" spans="13:13">
      <c r="M717" s="416"/>
    </row>
    <row r="718" spans="13:13">
      <c r="M718" s="416"/>
    </row>
    <row r="719" spans="13:13">
      <c r="M719" s="416"/>
    </row>
    <row r="720" spans="13:13">
      <c r="M720" s="416"/>
    </row>
    <row r="721" spans="13:13">
      <c r="M721" s="416"/>
    </row>
    <row r="722" spans="13:13">
      <c r="M722" s="416"/>
    </row>
    <row r="723" spans="13:13">
      <c r="M723" s="416"/>
    </row>
    <row r="724" spans="13:13">
      <c r="M724" s="416"/>
    </row>
    <row r="725" spans="13:13">
      <c r="M725" s="416"/>
    </row>
    <row r="726" spans="13:13">
      <c r="M726" s="416"/>
    </row>
    <row r="727" spans="13:13">
      <c r="M727" s="416"/>
    </row>
    <row r="728" spans="13:13">
      <c r="M728" s="416"/>
    </row>
    <row r="729" spans="13:13">
      <c r="M729" s="416"/>
    </row>
    <row r="730" spans="13:13">
      <c r="M730" s="416"/>
    </row>
    <row r="731" spans="13:13">
      <c r="M731" s="416"/>
    </row>
    <row r="732" spans="13:13">
      <c r="M732" s="416"/>
    </row>
    <row r="733" spans="13:13">
      <c r="M733" s="416"/>
    </row>
    <row r="734" spans="13:13">
      <c r="M734" s="416"/>
    </row>
    <row r="735" spans="13:13">
      <c r="M735" s="416"/>
    </row>
    <row r="736" spans="13:13">
      <c r="M736" s="416"/>
    </row>
    <row r="737" spans="13:13">
      <c r="M737" s="416"/>
    </row>
    <row r="738" spans="13:13">
      <c r="M738" s="416"/>
    </row>
    <row r="739" spans="13:13">
      <c r="M739" s="416"/>
    </row>
    <row r="740" spans="13:13">
      <c r="M740" s="416"/>
    </row>
    <row r="741" spans="13:13">
      <c r="M741" s="416"/>
    </row>
    <row r="742" spans="13:13">
      <c r="M742" s="416"/>
    </row>
    <row r="743" spans="13:13">
      <c r="M743" s="416"/>
    </row>
    <row r="744" spans="13:13">
      <c r="M744" s="416"/>
    </row>
    <row r="745" spans="13:13">
      <c r="M745" s="416"/>
    </row>
    <row r="746" spans="13:13">
      <c r="M746" s="416"/>
    </row>
    <row r="747" spans="13:13">
      <c r="M747" s="416"/>
    </row>
    <row r="748" spans="13:13">
      <c r="M748" s="416"/>
    </row>
    <row r="749" spans="13:13">
      <c r="M749" s="416"/>
    </row>
    <row r="750" spans="13:13">
      <c r="M750" s="416"/>
    </row>
    <row r="751" spans="13:13">
      <c r="M751" s="416"/>
    </row>
    <row r="752" spans="13:13">
      <c r="M752" s="416"/>
    </row>
    <row r="753" spans="13:13">
      <c r="M753" s="416"/>
    </row>
    <row r="754" spans="13:13">
      <c r="M754" s="416"/>
    </row>
    <row r="755" spans="13:13">
      <c r="M755" s="416"/>
    </row>
    <row r="756" spans="13:13">
      <c r="M756" s="416"/>
    </row>
    <row r="757" spans="13:13">
      <c r="M757" s="416"/>
    </row>
    <row r="758" spans="13:13">
      <c r="M758" s="416"/>
    </row>
    <row r="759" spans="13:13">
      <c r="M759" s="416"/>
    </row>
    <row r="760" spans="13:13">
      <c r="M760" s="416"/>
    </row>
    <row r="761" spans="13:13">
      <c r="M761" s="416"/>
    </row>
    <row r="762" spans="13:13">
      <c r="M762" s="416"/>
    </row>
    <row r="763" spans="13:13">
      <c r="M763" s="416"/>
    </row>
    <row r="764" spans="13:13">
      <c r="M764" s="416"/>
    </row>
    <row r="765" spans="13:13">
      <c r="M765" s="416"/>
    </row>
    <row r="766" spans="13:13">
      <c r="M766" s="416"/>
    </row>
    <row r="767" spans="13:13">
      <c r="M767" s="416"/>
    </row>
    <row r="768" spans="13:13">
      <c r="M768" s="416"/>
    </row>
    <row r="769" spans="13:13">
      <c r="M769" s="416"/>
    </row>
    <row r="770" spans="13:13">
      <c r="M770" s="416"/>
    </row>
    <row r="771" spans="13:13">
      <c r="M771" s="416"/>
    </row>
    <row r="772" spans="13:13">
      <c r="M772" s="416"/>
    </row>
    <row r="773" spans="13:13">
      <c r="M773" s="416"/>
    </row>
    <row r="774" spans="13:13">
      <c r="M774" s="416"/>
    </row>
    <row r="775" spans="13:13">
      <c r="M775" s="416"/>
    </row>
    <row r="776" spans="13:13">
      <c r="M776" s="416"/>
    </row>
    <row r="777" spans="13:13">
      <c r="M777" s="416"/>
    </row>
    <row r="778" spans="13:13">
      <c r="M778" s="416"/>
    </row>
    <row r="779" spans="13:13">
      <c r="M779" s="416"/>
    </row>
    <row r="780" spans="13:13">
      <c r="M780" s="416"/>
    </row>
    <row r="781" spans="13:13">
      <c r="M781" s="416"/>
    </row>
    <row r="782" spans="13:13">
      <c r="M782" s="416"/>
    </row>
    <row r="783" spans="13:13">
      <c r="M783" s="416"/>
    </row>
    <row r="784" spans="13:13">
      <c r="M784" s="416"/>
    </row>
    <row r="785" spans="13:13">
      <c r="M785" s="416"/>
    </row>
    <row r="786" spans="13:13">
      <c r="M786" s="416"/>
    </row>
    <row r="787" spans="13:13">
      <c r="M787" s="416"/>
    </row>
    <row r="788" spans="13:13">
      <c r="M788" s="416"/>
    </row>
    <row r="789" spans="13:13">
      <c r="M789" s="416"/>
    </row>
    <row r="790" spans="13:13">
      <c r="M790" s="416"/>
    </row>
    <row r="791" spans="13:13">
      <c r="M791" s="416"/>
    </row>
    <row r="792" spans="13:13">
      <c r="M792" s="416"/>
    </row>
    <row r="793" spans="13:13">
      <c r="M793" s="416"/>
    </row>
    <row r="794" spans="13:13">
      <c r="M794" s="416"/>
    </row>
    <row r="795" spans="13:13">
      <c r="M795" s="416"/>
    </row>
    <row r="796" spans="13:13">
      <c r="M796" s="416"/>
    </row>
    <row r="797" spans="13:13">
      <c r="M797" s="416"/>
    </row>
    <row r="798" spans="13:13">
      <c r="M798" s="416"/>
    </row>
    <row r="799" spans="13:13">
      <c r="M799" s="416"/>
    </row>
    <row r="800" spans="13:13">
      <c r="M800" s="416"/>
    </row>
    <row r="801" spans="13:13">
      <c r="M801" s="416"/>
    </row>
    <row r="802" spans="13:13">
      <c r="M802" s="416"/>
    </row>
    <row r="803" spans="13:13">
      <c r="M803" s="416"/>
    </row>
    <row r="804" spans="13:13">
      <c r="M804" s="416"/>
    </row>
    <row r="805" spans="13:13">
      <c r="M805" s="416"/>
    </row>
    <row r="806" spans="13:13">
      <c r="M806" s="416"/>
    </row>
    <row r="807" spans="13:13">
      <c r="M807" s="416"/>
    </row>
    <row r="808" spans="13:13">
      <c r="M808" s="416"/>
    </row>
    <row r="809" spans="13:13">
      <c r="M809" s="416"/>
    </row>
    <row r="810" spans="13:13">
      <c r="M810" s="416"/>
    </row>
    <row r="811" spans="13:13">
      <c r="M811" s="416"/>
    </row>
    <row r="812" spans="13:13">
      <c r="M812" s="416"/>
    </row>
    <row r="813" spans="13:13">
      <c r="M813" s="416"/>
    </row>
    <row r="814" spans="13:13">
      <c r="M814" s="416"/>
    </row>
    <row r="815" spans="13:13">
      <c r="M815" s="416"/>
    </row>
    <row r="816" spans="13:13">
      <c r="M816" s="416"/>
    </row>
    <row r="817" spans="13:13">
      <c r="M817" s="416"/>
    </row>
    <row r="818" spans="13:13">
      <c r="M818" s="416"/>
    </row>
    <row r="819" spans="13:13">
      <c r="M819" s="416"/>
    </row>
    <row r="820" spans="13:13">
      <c r="M820" s="416"/>
    </row>
    <row r="821" spans="13:13">
      <c r="M821" s="416"/>
    </row>
    <row r="822" spans="13:13">
      <c r="M822" s="416"/>
    </row>
    <row r="823" spans="13:13">
      <c r="M823" s="416"/>
    </row>
    <row r="824" spans="13:13">
      <c r="M824" s="416"/>
    </row>
    <row r="825" spans="13:13">
      <c r="M825" s="416"/>
    </row>
    <row r="826" spans="13:13">
      <c r="M826" s="416"/>
    </row>
    <row r="827" spans="13:13">
      <c r="M827" s="416"/>
    </row>
    <row r="828" spans="13:13">
      <c r="M828" s="416"/>
    </row>
    <row r="829" spans="13:13">
      <c r="M829" s="416"/>
    </row>
    <row r="830" spans="13:13">
      <c r="M830" s="416"/>
    </row>
    <row r="831" spans="13:13">
      <c r="M831" s="416"/>
    </row>
    <row r="832" spans="13:13">
      <c r="M832" s="416"/>
    </row>
    <row r="833" spans="13:13">
      <c r="M833" s="416"/>
    </row>
    <row r="834" spans="13:13">
      <c r="M834" s="416"/>
    </row>
    <row r="835" spans="13:13">
      <c r="M835" s="416"/>
    </row>
    <row r="836" spans="13:13">
      <c r="M836" s="416"/>
    </row>
    <row r="837" spans="13:13">
      <c r="M837" s="416"/>
    </row>
    <row r="838" spans="13:13">
      <c r="M838" s="416"/>
    </row>
    <row r="839" spans="13:13">
      <c r="M839" s="416"/>
    </row>
    <row r="840" spans="13:13">
      <c r="M840" s="416"/>
    </row>
    <row r="841" spans="13:13">
      <c r="M841" s="416"/>
    </row>
    <row r="842" spans="13:13">
      <c r="M842" s="416"/>
    </row>
    <row r="843" spans="13:13">
      <c r="M843" s="416"/>
    </row>
    <row r="844" spans="13:13">
      <c r="M844" s="416"/>
    </row>
    <row r="845" spans="13:13">
      <c r="M845" s="416"/>
    </row>
  </sheetData>
  <sheetProtection sheet="1" objects="1" scenarios="1" formatCells="0" formatRows="0" insertRows="0" deleteRows="0"/>
  <mergeCells count="2">
    <mergeCell ref="H4:I4"/>
    <mergeCell ref="B366:G366"/>
  </mergeCells>
  <conditionalFormatting sqref="K362:K503">
    <cfRule type="cellIs" dxfId="14" priority="4" stopIfTrue="1" operator="greaterThan">
      <formula>L362*1.2</formula>
    </cfRule>
  </conditionalFormatting>
  <conditionalFormatting sqref="L30:L361">
    <cfRule type="cellIs" dxfId="13" priority="3" operator="greaterThan">
      <formula>N30*1.2</formula>
    </cfRule>
  </conditionalFormatting>
  <conditionalFormatting sqref="F23:F24">
    <cfRule type="cellIs" dxfId="12" priority="2" stopIfTrue="1" operator="lessThan">
      <formula>0.8</formula>
    </cfRule>
  </conditionalFormatting>
  <dataValidations count="6">
    <dataValidation type="list" allowBlank="1" showInputMessage="1" showErrorMessage="1" sqref="D30:D361">
      <formula1>SpaceType</formula1>
    </dataValidation>
    <dataValidation type="list" allowBlank="1" showInputMessage="1" showErrorMessage="1" sqref="P4:P27">
      <formula1>YesNo</formula1>
    </dataValidation>
    <dataValidation type="list" allowBlank="1" showInputMessage="1" showErrorMessage="1" sqref="WVQ4:WVQ27 WLU4:WLU27 WBY4:WBY27 VSC4:VSC27 VIG4:VIG27 UYK4:UYK27 UOO4:UOO27 UES4:UES27 TUW4:TUW27 TLA4:TLA27 TBE4:TBE27 SRI4:SRI27 SHM4:SHM27 RXQ4:RXQ27 RNU4:RNU27 RDY4:RDY27 QUC4:QUC27 QKG4:QKG27 QAK4:QAK27 PQO4:PQO27 PGS4:PGS27 OWW4:OWW27 ONA4:ONA27 ODE4:ODE27 NTI4:NTI27 NJM4:NJM27 MZQ4:MZQ27 MPU4:MPU27 MFY4:MFY27 LWC4:LWC27 LMG4:LMG27 LCK4:LCK27 KSO4:KSO27 KIS4:KIS27 JYW4:JYW27 JPA4:JPA27 JFE4:JFE27 IVI4:IVI27 ILM4:ILM27 IBQ4:IBQ27 HRU4:HRU27 HHY4:HHY27 GYC4:GYC27 GOG4:GOG27 GEK4:GEK27 FUO4:FUO27 FKS4:FKS27 FAW4:FAW27 ERA4:ERA27 EHE4:EHE27 DXI4:DXI27 DNM4:DNM27 DDQ4:DDQ27 CTU4:CTU27 CJY4:CJY27 CAC4:CAC27 BQG4:BQG27 BGK4:BGK27 AWO4:AWO27 AMS4:AMS27 ACW4:ACW27 TA4:TA27 JE4:JE27 D65566:D65897 IT65566:IT65897 SP65566:SP65897 ACL65566:ACL65897 AMH65566:AMH65897 AWD65566:AWD65897 BFZ65566:BFZ65897 BPV65566:BPV65897 BZR65566:BZR65897 CJN65566:CJN65897 CTJ65566:CTJ65897 DDF65566:DDF65897 DNB65566:DNB65897 DWX65566:DWX65897 EGT65566:EGT65897 EQP65566:EQP65897 FAL65566:FAL65897 FKH65566:FKH65897 FUD65566:FUD65897 GDZ65566:GDZ65897 GNV65566:GNV65897 GXR65566:GXR65897 HHN65566:HHN65897 HRJ65566:HRJ65897 IBF65566:IBF65897 ILB65566:ILB65897 IUX65566:IUX65897 JET65566:JET65897 JOP65566:JOP65897 JYL65566:JYL65897 KIH65566:KIH65897 KSD65566:KSD65897 LBZ65566:LBZ65897 LLV65566:LLV65897 LVR65566:LVR65897 MFN65566:MFN65897 MPJ65566:MPJ65897 MZF65566:MZF65897 NJB65566:NJB65897 NSX65566:NSX65897 OCT65566:OCT65897 OMP65566:OMP65897 OWL65566:OWL65897 PGH65566:PGH65897 PQD65566:PQD65897 PZZ65566:PZZ65897 QJV65566:QJV65897 QTR65566:QTR65897 RDN65566:RDN65897 RNJ65566:RNJ65897 RXF65566:RXF65897 SHB65566:SHB65897 SQX65566:SQX65897 TAT65566:TAT65897 TKP65566:TKP65897 TUL65566:TUL65897 UEH65566:UEH65897 UOD65566:UOD65897 UXZ65566:UXZ65897 VHV65566:VHV65897 VRR65566:VRR65897 WBN65566:WBN65897 WLJ65566:WLJ65897 WVF65566:WVF65897 D131102:D131433 IT131102:IT131433 SP131102:SP131433 ACL131102:ACL131433 AMH131102:AMH131433 AWD131102:AWD131433 BFZ131102:BFZ131433 BPV131102:BPV131433 BZR131102:BZR131433 CJN131102:CJN131433 CTJ131102:CTJ131433 DDF131102:DDF131433 DNB131102:DNB131433 DWX131102:DWX131433 EGT131102:EGT131433 EQP131102:EQP131433 FAL131102:FAL131433 FKH131102:FKH131433 FUD131102:FUD131433 GDZ131102:GDZ131433 GNV131102:GNV131433 GXR131102:GXR131433 HHN131102:HHN131433 HRJ131102:HRJ131433 IBF131102:IBF131433 ILB131102:ILB131433 IUX131102:IUX131433 JET131102:JET131433 JOP131102:JOP131433 JYL131102:JYL131433 KIH131102:KIH131433 KSD131102:KSD131433 LBZ131102:LBZ131433 LLV131102:LLV131433 LVR131102:LVR131433 MFN131102:MFN131433 MPJ131102:MPJ131433 MZF131102:MZF131433 NJB131102:NJB131433 NSX131102:NSX131433 OCT131102:OCT131433 OMP131102:OMP131433 OWL131102:OWL131433 PGH131102:PGH131433 PQD131102:PQD131433 PZZ131102:PZZ131433 QJV131102:QJV131433 QTR131102:QTR131433 RDN131102:RDN131433 RNJ131102:RNJ131433 RXF131102:RXF131433 SHB131102:SHB131433 SQX131102:SQX131433 TAT131102:TAT131433 TKP131102:TKP131433 TUL131102:TUL131433 UEH131102:UEH131433 UOD131102:UOD131433 UXZ131102:UXZ131433 VHV131102:VHV131433 VRR131102:VRR131433 WBN131102:WBN131433 WLJ131102:WLJ131433 WVF131102:WVF131433 D196638:D196969 IT196638:IT196969 SP196638:SP196969 ACL196638:ACL196969 AMH196638:AMH196969 AWD196638:AWD196969 BFZ196638:BFZ196969 BPV196638:BPV196969 BZR196638:BZR196969 CJN196638:CJN196969 CTJ196638:CTJ196969 DDF196638:DDF196969 DNB196638:DNB196969 DWX196638:DWX196969 EGT196638:EGT196969 EQP196638:EQP196969 FAL196638:FAL196969 FKH196638:FKH196969 FUD196638:FUD196969 GDZ196638:GDZ196969 GNV196638:GNV196969 GXR196638:GXR196969 HHN196638:HHN196969 HRJ196638:HRJ196969 IBF196638:IBF196969 ILB196638:ILB196969 IUX196638:IUX196969 JET196638:JET196969 JOP196638:JOP196969 JYL196638:JYL196969 KIH196638:KIH196969 KSD196638:KSD196969 LBZ196638:LBZ196969 LLV196638:LLV196969 LVR196638:LVR196969 MFN196638:MFN196969 MPJ196638:MPJ196969 MZF196638:MZF196969 NJB196638:NJB196969 NSX196638:NSX196969 OCT196638:OCT196969 OMP196638:OMP196969 OWL196638:OWL196969 PGH196638:PGH196969 PQD196638:PQD196969 PZZ196638:PZZ196969 QJV196638:QJV196969 QTR196638:QTR196969 RDN196638:RDN196969 RNJ196638:RNJ196969 RXF196638:RXF196969 SHB196638:SHB196969 SQX196638:SQX196969 TAT196638:TAT196969 TKP196638:TKP196969 TUL196638:TUL196969 UEH196638:UEH196969 UOD196638:UOD196969 UXZ196638:UXZ196969 VHV196638:VHV196969 VRR196638:VRR196969 WBN196638:WBN196969 WLJ196638:WLJ196969 WVF196638:WVF196969 D262174:D262505 IT262174:IT262505 SP262174:SP262505 ACL262174:ACL262505 AMH262174:AMH262505 AWD262174:AWD262505 BFZ262174:BFZ262505 BPV262174:BPV262505 BZR262174:BZR262505 CJN262174:CJN262505 CTJ262174:CTJ262505 DDF262174:DDF262505 DNB262174:DNB262505 DWX262174:DWX262505 EGT262174:EGT262505 EQP262174:EQP262505 FAL262174:FAL262505 FKH262174:FKH262505 FUD262174:FUD262505 GDZ262174:GDZ262505 GNV262174:GNV262505 GXR262174:GXR262505 HHN262174:HHN262505 HRJ262174:HRJ262505 IBF262174:IBF262505 ILB262174:ILB262505 IUX262174:IUX262505 JET262174:JET262505 JOP262174:JOP262505 JYL262174:JYL262505 KIH262174:KIH262505 KSD262174:KSD262505 LBZ262174:LBZ262505 LLV262174:LLV262505 LVR262174:LVR262505 MFN262174:MFN262505 MPJ262174:MPJ262505 MZF262174:MZF262505 NJB262174:NJB262505 NSX262174:NSX262505 OCT262174:OCT262505 OMP262174:OMP262505 OWL262174:OWL262505 PGH262174:PGH262505 PQD262174:PQD262505 PZZ262174:PZZ262505 QJV262174:QJV262505 QTR262174:QTR262505 RDN262174:RDN262505 RNJ262174:RNJ262505 RXF262174:RXF262505 SHB262174:SHB262505 SQX262174:SQX262505 TAT262174:TAT262505 TKP262174:TKP262505 TUL262174:TUL262505 UEH262174:UEH262505 UOD262174:UOD262505 UXZ262174:UXZ262505 VHV262174:VHV262505 VRR262174:VRR262505 WBN262174:WBN262505 WLJ262174:WLJ262505 WVF262174:WVF262505 D327710:D328041 IT327710:IT328041 SP327710:SP328041 ACL327710:ACL328041 AMH327710:AMH328041 AWD327710:AWD328041 BFZ327710:BFZ328041 BPV327710:BPV328041 BZR327710:BZR328041 CJN327710:CJN328041 CTJ327710:CTJ328041 DDF327710:DDF328041 DNB327710:DNB328041 DWX327710:DWX328041 EGT327710:EGT328041 EQP327710:EQP328041 FAL327710:FAL328041 FKH327710:FKH328041 FUD327710:FUD328041 GDZ327710:GDZ328041 GNV327710:GNV328041 GXR327710:GXR328041 HHN327710:HHN328041 HRJ327710:HRJ328041 IBF327710:IBF328041 ILB327710:ILB328041 IUX327710:IUX328041 JET327710:JET328041 JOP327710:JOP328041 JYL327710:JYL328041 KIH327710:KIH328041 KSD327710:KSD328041 LBZ327710:LBZ328041 LLV327710:LLV328041 LVR327710:LVR328041 MFN327710:MFN328041 MPJ327710:MPJ328041 MZF327710:MZF328041 NJB327710:NJB328041 NSX327710:NSX328041 OCT327710:OCT328041 OMP327710:OMP328041 OWL327710:OWL328041 PGH327710:PGH328041 PQD327710:PQD328041 PZZ327710:PZZ328041 QJV327710:QJV328041 QTR327710:QTR328041 RDN327710:RDN328041 RNJ327710:RNJ328041 RXF327710:RXF328041 SHB327710:SHB328041 SQX327710:SQX328041 TAT327710:TAT328041 TKP327710:TKP328041 TUL327710:TUL328041 UEH327710:UEH328041 UOD327710:UOD328041 UXZ327710:UXZ328041 VHV327710:VHV328041 VRR327710:VRR328041 WBN327710:WBN328041 WLJ327710:WLJ328041 WVF327710:WVF328041 D393246:D393577 IT393246:IT393577 SP393246:SP393577 ACL393246:ACL393577 AMH393246:AMH393577 AWD393246:AWD393577 BFZ393246:BFZ393577 BPV393246:BPV393577 BZR393246:BZR393577 CJN393246:CJN393577 CTJ393246:CTJ393577 DDF393246:DDF393577 DNB393246:DNB393577 DWX393246:DWX393577 EGT393246:EGT393577 EQP393246:EQP393577 FAL393246:FAL393577 FKH393246:FKH393577 FUD393246:FUD393577 GDZ393246:GDZ393577 GNV393246:GNV393577 GXR393246:GXR393577 HHN393246:HHN393577 HRJ393246:HRJ393577 IBF393246:IBF393577 ILB393246:ILB393577 IUX393246:IUX393577 JET393246:JET393577 JOP393246:JOP393577 JYL393246:JYL393577 KIH393246:KIH393577 KSD393246:KSD393577 LBZ393246:LBZ393577 LLV393246:LLV393577 LVR393246:LVR393577 MFN393246:MFN393577 MPJ393246:MPJ393577 MZF393246:MZF393577 NJB393246:NJB393577 NSX393246:NSX393577 OCT393246:OCT393577 OMP393246:OMP393577 OWL393246:OWL393577 PGH393246:PGH393577 PQD393246:PQD393577 PZZ393246:PZZ393577 QJV393246:QJV393577 QTR393246:QTR393577 RDN393246:RDN393577 RNJ393246:RNJ393577 RXF393246:RXF393577 SHB393246:SHB393577 SQX393246:SQX393577 TAT393246:TAT393577 TKP393246:TKP393577 TUL393246:TUL393577 UEH393246:UEH393577 UOD393246:UOD393577 UXZ393246:UXZ393577 VHV393246:VHV393577 VRR393246:VRR393577 WBN393246:WBN393577 WLJ393246:WLJ393577 WVF393246:WVF393577 D458782:D459113 IT458782:IT459113 SP458782:SP459113 ACL458782:ACL459113 AMH458782:AMH459113 AWD458782:AWD459113 BFZ458782:BFZ459113 BPV458782:BPV459113 BZR458782:BZR459113 CJN458782:CJN459113 CTJ458782:CTJ459113 DDF458782:DDF459113 DNB458782:DNB459113 DWX458782:DWX459113 EGT458782:EGT459113 EQP458782:EQP459113 FAL458782:FAL459113 FKH458782:FKH459113 FUD458782:FUD459113 GDZ458782:GDZ459113 GNV458782:GNV459113 GXR458782:GXR459113 HHN458782:HHN459113 HRJ458782:HRJ459113 IBF458782:IBF459113 ILB458782:ILB459113 IUX458782:IUX459113 JET458782:JET459113 JOP458782:JOP459113 JYL458782:JYL459113 KIH458782:KIH459113 KSD458782:KSD459113 LBZ458782:LBZ459113 LLV458782:LLV459113 LVR458782:LVR459113 MFN458782:MFN459113 MPJ458782:MPJ459113 MZF458782:MZF459113 NJB458782:NJB459113 NSX458782:NSX459113 OCT458782:OCT459113 OMP458782:OMP459113 OWL458782:OWL459113 PGH458782:PGH459113 PQD458782:PQD459113 PZZ458782:PZZ459113 QJV458782:QJV459113 QTR458782:QTR459113 RDN458782:RDN459113 RNJ458782:RNJ459113 RXF458782:RXF459113 SHB458782:SHB459113 SQX458782:SQX459113 TAT458782:TAT459113 TKP458782:TKP459113 TUL458782:TUL459113 UEH458782:UEH459113 UOD458782:UOD459113 UXZ458782:UXZ459113 VHV458782:VHV459113 VRR458782:VRR459113 WBN458782:WBN459113 WLJ458782:WLJ459113 WVF458782:WVF459113 D524318:D524649 IT524318:IT524649 SP524318:SP524649 ACL524318:ACL524649 AMH524318:AMH524649 AWD524318:AWD524649 BFZ524318:BFZ524649 BPV524318:BPV524649 BZR524318:BZR524649 CJN524318:CJN524649 CTJ524318:CTJ524649 DDF524318:DDF524649 DNB524318:DNB524649 DWX524318:DWX524649 EGT524318:EGT524649 EQP524318:EQP524649 FAL524318:FAL524649 FKH524318:FKH524649 FUD524318:FUD524649 GDZ524318:GDZ524649 GNV524318:GNV524649 GXR524318:GXR524649 HHN524318:HHN524649 HRJ524318:HRJ524649 IBF524318:IBF524649 ILB524318:ILB524649 IUX524318:IUX524649 JET524318:JET524649 JOP524318:JOP524649 JYL524318:JYL524649 KIH524318:KIH524649 KSD524318:KSD524649 LBZ524318:LBZ524649 LLV524318:LLV524649 LVR524318:LVR524649 MFN524318:MFN524649 MPJ524318:MPJ524649 MZF524318:MZF524649 NJB524318:NJB524649 NSX524318:NSX524649 OCT524318:OCT524649 OMP524318:OMP524649 OWL524318:OWL524649 PGH524318:PGH524649 PQD524318:PQD524649 PZZ524318:PZZ524649 QJV524318:QJV524649 QTR524318:QTR524649 RDN524318:RDN524649 RNJ524318:RNJ524649 RXF524318:RXF524649 SHB524318:SHB524649 SQX524318:SQX524649 TAT524318:TAT524649 TKP524318:TKP524649 TUL524318:TUL524649 UEH524318:UEH524649 UOD524318:UOD524649 UXZ524318:UXZ524649 VHV524318:VHV524649 VRR524318:VRR524649 WBN524318:WBN524649 WLJ524318:WLJ524649 WVF524318:WVF524649 D589854:D590185 IT589854:IT590185 SP589854:SP590185 ACL589854:ACL590185 AMH589854:AMH590185 AWD589854:AWD590185 BFZ589854:BFZ590185 BPV589854:BPV590185 BZR589854:BZR590185 CJN589854:CJN590185 CTJ589854:CTJ590185 DDF589854:DDF590185 DNB589854:DNB590185 DWX589854:DWX590185 EGT589854:EGT590185 EQP589854:EQP590185 FAL589854:FAL590185 FKH589854:FKH590185 FUD589854:FUD590185 GDZ589854:GDZ590185 GNV589854:GNV590185 GXR589854:GXR590185 HHN589854:HHN590185 HRJ589854:HRJ590185 IBF589854:IBF590185 ILB589854:ILB590185 IUX589854:IUX590185 JET589854:JET590185 JOP589854:JOP590185 JYL589854:JYL590185 KIH589854:KIH590185 KSD589854:KSD590185 LBZ589854:LBZ590185 LLV589854:LLV590185 LVR589854:LVR590185 MFN589854:MFN590185 MPJ589854:MPJ590185 MZF589854:MZF590185 NJB589854:NJB590185 NSX589854:NSX590185 OCT589854:OCT590185 OMP589854:OMP590185 OWL589854:OWL590185 PGH589854:PGH590185 PQD589854:PQD590185 PZZ589854:PZZ590185 QJV589854:QJV590185 QTR589854:QTR590185 RDN589854:RDN590185 RNJ589854:RNJ590185 RXF589854:RXF590185 SHB589854:SHB590185 SQX589854:SQX590185 TAT589854:TAT590185 TKP589854:TKP590185 TUL589854:TUL590185 UEH589854:UEH590185 UOD589854:UOD590185 UXZ589854:UXZ590185 VHV589854:VHV590185 VRR589854:VRR590185 WBN589854:WBN590185 WLJ589854:WLJ590185 WVF589854:WVF590185 D655390:D655721 IT655390:IT655721 SP655390:SP655721 ACL655390:ACL655721 AMH655390:AMH655721 AWD655390:AWD655721 BFZ655390:BFZ655721 BPV655390:BPV655721 BZR655390:BZR655721 CJN655390:CJN655721 CTJ655390:CTJ655721 DDF655390:DDF655721 DNB655390:DNB655721 DWX655390:DWX655721 EGT655390:EGT655721 EQP655390:EQP655721 FAL655390:FAL655721 FKH655390:FKH655721 FUD655390:FUD655721 GDZ655390:GDZ655721 GNV655390:GNV655721 GXR655390:GXR655721 HHN655390:HHN655721 HRJ655390:HRJ655721 IBF655390:IBF655721 ILB655390:ILB655721 IUX655390:IUX655721 JET655390:JET655721 JOP655390:JOP655721 JYL655390:JYL655721 KIH655390:KIH655721 KSD655390:KSD655721 LBZ655390:LBZ655721 LLV655390:LLV655721 LVR655390:LVR655721 MFN655390:MFN655721 MPJ655390:MPJ655721 MZF655390:MZF655721 NJB655390:NJB655721 NSX655390:NSX655721 OCT655390:OCT655721 OMP655390:OMP655721 OWL655390:OWL655721 PGH655390:PGH655721 PQD655390:PQD655721 PZZ655390:PZZ655721 QJV655390:QJV655721 QTR655390:QTR655721 RDN655390:RDN655721 RNJ655390:RNJ655721 RXF655390:RXF655721 SHB655390:SHB655721 SQX655390:SQX655721 TAT655390:TAT655721 TKP655390:TKP655721 TUL655390:TUL655721 UEH655390:UEH655721 UOD655390:UOD655721 UXZ655390:UXZ655721 VHV655390:VHV655721 VRR655390:VRR655721 WBN655390:WBN655721 WLJ655390:WLJ655721 WVF655390:WVF655721 D720926:D721257 IT720926:IT721257 SP720926:SP721257 ACL720926:ACL721257 AMH720926:AMH721257 AWD720926:AWD721257 BFZ720926:BFZ721257 BPV720926:BPV721257 BZR720926:BZR721257 CJN720926:CJN721257 CTJ720926:CTJ721257 DDF720926:DDF721257 DNB720926:DNB721257 DWX720926:DWX721257 EGT720926:EGT721257 EQP720926:EQP721257 FAL720926:FAL721257 FKH720926:FKH721257 FUD720926:FUD721257 GDZ720926:GDZ721257 GNV720926:GNV721257 GXR720926:GXR721257 HHN720926:HHN721257 HRJ720926:HRJ721257 IBF720926:IBF721257 ILB720926:ILB721257 IUX720926:IUX721257 JET720926:JET721257 JOP720926:JOP721257 JYL720926:JYL721257 KIH720926:KIH721257 KSD720926:KSD721257 LBZ720926:LBZ721257 LLV720926:LLV721257 LVR720926:LVR721257 MFN720926:MFN721257 MPJ720926:MPJ721257 MZF720926:MZF721257 NJB720926:NJB721257 NSX720926:NSX721257 OCT720926:OCT721257 OMP720926:OMP721257 OWL720926:OWL721257 PGH720926:PGH721257 PQD720926:PQD721257 PZZ720926:PZZ721257 QJV720926:QJV721257 QTR720926:QTR721257 RDN720926:RDN721257 RNJ720926:RNJ721257 RXF720926:RXF721257 SHB720926:SHB721257 SQX720926:SQX721257 TAT720926:TAT721257 TKP720926:TKP721257 TUL720926:TUL721257 UEH720926:UEH721257 UOD720926:UOD721257 UXZ720926:UXZ721257 VHV720926:VHV721257 VRR720926:VRR721257 WBN720926:WBN721257 WLJ720926:WLJ721257 WVF720926:WVF721257 D786462:D786793 IT786462:IT786793 SP786462:SP786793 ACL786462:ACL786793 AMH786462:AMH786793 AWD786462:AWD786793 BFZ786462:BFZ786793 BPV786462:BPV786793 BZR786462:BZR786793 CJN786462:CJN786793 CTJ786462:CTJ786793 DDF786462:DDF786793 DNB786462:DNB786793 DWX786462:DWX786793 EGT786462:EGT786793 EQP786462:EQP786793 FAL786462:FAL786793 FKH786462:FKH786793 FUD786462:FUD786793 GDZ786462:GDZ786793 GNV786462:GNV786793 GXR786462:GXR786793 HHN786462:HHN786793 HRJ786462:HRJ786793 IBF786462:IBF786793 ILB786462:ILB786793 IUX786462:IUX786793 JET786462:JET786793 JOP786462:JOP786793 JYL786462:JYL786793 KIH786462:KIH786793 KSD786462:KSD786793 LBZ786462:LBZ786793 LLV786462:LLV786793 LVR786462:LVR786793 MFN786462:MFN786793 MPJ786462:MPJ786793 MZF786462:MZF786793 NJB786462:NJB786793 NSX786462:NSX786793 OCT786462:OCT786793 OMP786462:OMP786793 OWL786462:OWL786793 PGH786462:PGH786793 PQD786462:PQD786793 PZZ786462:PZZ786793 QJV786462:QJV786793 QTR786462:QTR786793 RDN786462:RDN786793 RNJ786462:RNJ786793 RXF786462:RXF786793 SHB786462:SHB786793 SQX786462:SQX786793 TAT786462:TAT786793 TKP786462:TKP786793 TUL786462:TUL786793 UEH786462:UEH786793 UOD786462:UOD786793 UXZ786462:UXZ786793 VHV786462:VHV786793 VRR786462:VRR786793 WBN786462:WBN786793 WLJ786462:WLJ786793 WVF786462:WVF786793 D851998:D852329 IT851998:IT852329 SP851998:SP852329 ACL851998:ACL852329 AMH851998:AMH852329 AWD851998:AWD852329 BFZ851998:BFZ852329 BPV851998:BPV852329 BZR851998:BZR852329 CJN851998:CJN852329 CTJ851998:CTJ852329 DDF851998:DDF852329 DNB851998:DNB852329 DWX851998:DWX852329 EGT851998:EGT852329 EQP851998:EQP852329 FAL851998:FAL852329 FKH851998:FKH852329 FUD851998:FUD852329 GDZ851998:GDZ852329 GNV851998:GNV852329 GXR851998:GXR852329 HHN851998:HHN852329 HRJ851998:HRJ852329 IBF851998:IBF852329 ILB851998:ILB852329 IUX851998:IUX852329 JET851998:JET852329 JOP851998:JOP852329 JYL851998:JYL852329 KIH851998:KIH852329 KSD851998:KSD852329 LBZ851998:LBZ852329 LLV851998:LLV852329 LVR851998:LVR852329 MFN851998:MFN852329 MPJ851998:MPJ852329 MZF851998:MZF852329 NJB851998:NJB852329 NSX851998:NSX852329 OCT851998:OCT852329 OMP851998:OMP852329 OWL851998:OWL852329 PGH851998:PGH852329 PQD851998:PQD852329 PZZ851998:PZZ852329 QJV851998:QJV852329 QTR851998:QTR852329 RDN851998:RDN852329 RNJ851998:RNJ852329 RXF851998:RXF852329 SHB851998:SHB852329 SQX851998:SQX852329 TAT851998:TAT852329 TKP851998:TKP852329 TUL851998:TUL852329 UEH851998:UEH852329 UOD851998:UOD852329 UXZ851998:UXZ852329 VHV851998:VHV852329 VRR851998:VRR852329 WBN851998:WBN852329 WLJ851998:WLJ852329 WVF851998:WVF852329 D917534:D917865 IT917534:IT917865 SP917534:SP917865 ACL917534:ACL917865 AMH917534:AMH917865 AWD917534:AWD917865 BFZ917534:BFZ917865 BPV917534:BPV917865 BZR917534:BZR917865 CJN917534:CJN917865 CTJ917534:CTJ917865 DDF917534:DDF917865 DNB917534:DNB917865 DWX917534:DWX917865 EGT917534:EGT917865 EQP917534:EQP917865 FAL917534:FAL917865 FKH917534:FKH917865 FUD917534:FUD917865 GDZ917534:GDZ917865 GNV917534:GNV917865 GXR917534:GXR917865 HHN917534:HHN917865 HRJ917534:HRJ917865 IBF917534:IBF917865 ILB917534:ILB917865 IUX917534:IUX917865 JET917534:JET917865 JOP917534:JOP917865 JYL917534:JYL917865 KIH917534:KIH917865 KSD917534:KSD917865 LBZ917534:LBZ917865 LLV917534:LLV917865 LVR917534:LVR917865 MFN917534:MFN917865 MPJ917534:MPJ917865 MZF917534:MZF917865 NJB917534:NJB917865 NSX917534:NSX917865 OCT917534:OCT917865 OMP917534:OMP917865 OWL917534:OWL917865 PGH917534:PGH917865 PQD917534:PQD917865 PZZ917534:PZZ917865 QJV917534:QJV917865 QTR917534:QTR917865 RDN917534:RDN917865 RNJ917534:RNJ917865 RXF917534:RXF917865 SHB917534:SHB917865 SQX917534:SQX917865 TAT917534:TAT917865 TKP917534:TKP917865 TUL917534:TUL917865 UEH917534:UEH917865 UOD917534:UOD917865 UXZ917534:UXZ917865 VHV917534:VHV917865 VRR917534:VRR917865 WBN917534:WBN917865 WLJ917534:WLJ917865 WVF917534:WVF917865 D983070:D983401 IT983070:IT983401 SP983070:SP983401 ACL983070:ACL983401 AMH983070:AMH983401 AWD983070:AWD983401 BFZ983070:BFZ983401 BPV983070:BPV983401 BZR983070:BZR983401 CJN983070:CJN983401 CTJ983070:CTJ983401 DDF983070:DDF983401 DNB983070:DNB983401 DWX983070:DWX983401 EGT983070:EGT983401 EQP983070:EQP983401 FAL983070:FAL983401 FKH983070:FKH983401 FUD983070:FUD983401 GDZ983070:GDZ983401 GNV983070:GNV983401 GXR983070:GXR983401 HHN983070:HHN983401 HRJ983070:HRJ983401 IBF983070:IBF983401 ILB983070:ILB983401 IUX983070:IUX983401 JET983070:JET983401 JOP983070:JOP983401 JYL983070:JYL983401 KIH983070:KIH983401 KSD983070:KSD983401 LBZ983070:LBZ983401 LLV983070:LLV983401 LVR983070:LVR983401 MFN983070:MFN983401 MPJ983070:MPJ983401 MZF983070:MZF983401 NJB983070:NJB983401 NSX983070:NSX983401 OCT983070:OCT983401 OMP983070:OMP983401 OWL983070:OWL983401 PGH983070:PGH983401 PQD983070:PQD983401 PZZ983070:PZZ983401 QJV983070:QJV983401 QTR983070:QTR983401 RDN983070:RDN983401 RNJ983070:RNJ983401 RXF983070:RXF983401 SHB983070:SHB983401 SQX983070:SQX983401 TAT983070:TAT983401 TKP983070:TKP983401 TUL983070:TUL983401 UEH983070:UEH983401 UOD983070:UOD983401 UXZ983070:UXZ983401 VHV983070:VHV983401 VRR983070:VRR983401 WBN983070:WBN983401 WLJ983070:WLJ983401 WVF983070:WVF983401 O65541:O65563 JD65541:JD65563 SZ65541:SZ65563 ACV65541:ACV65563 AMR65541:AMR65563 AWN65541:AWN65563 BGJ65541:BGJ65563 BQF65541:BQF65563 CAB65541:CAB65563 CJX65541:CJX65563 CTT65541:CTT65563 DDP65541:DDP65563 DNL65541:DNL65563 DXH65541:DXH65563 EHD65541:EHD65563 EQZ65541:EQZ65563 FAV65541:FAV65563 FKR65541:FKR65563 FUN65541:FUN65563 GEJ65541:GEJ65563 GOF65541:GOF65563 GYB65541:GYB65563 HHX65541:HHX65563 HRT65541:HRT65563 IBP65541:IBP65563 ILL65541:ILL65563 IVH65541:IVH65563 JFD65541:JFD65563 JOZ65541:JOZ65563 JYV65541:JYV65563 KIR65541:KIR65563 KSN65541:KSN65563 LCJ65541:LCJ65563 LMF65541:LMF65563 LWB65541:LWB65563 MFX65541:MFX65563 MPT65541:MPT65563 MZP65541:MZP65563 NJL65541:NJL65563 NTH65541:NTH65563 ODD65541:ODD65563 OMZ65541:OMZ65563 OWV65541:OWV65563 PGR65541:PGR65563 PQN65541:PQN65563 QAJ65541:QAJ65563 QKF65541:QKF65563 QUB65541:QUB65563 RDX65541:RDX65563 RNT65541:RNT65563 RXP65541:RXP65563 SHL65541:SHL65563 SRH65541:SRH65563 TBD65541:TBD65563 TKZ65541:TKZ65563 TUV65541:TUV65563 UER65541:UER65563 UON65541:UON65563 UYJ65541:UYJ65563 VIF65541:VIF65563 VSB65541:VSB65563 WBX65541:WBX65563 WLT65541:WLT65563 WVP65541:WVP65563 O131077:O131099 JD131077:JD131099 SZ131077:SZ131099 ACV131077:ACV131099 AMR131077:AMR131099 AWN131077:AWN131099 BGJ131077:BGJ131099 BQF131077:BQF131099 CAB131077:CAB131099 CJX131077:CJX131099 CTT131077:CTT131099 DDP131077:DDP131099 DNL131077:DNL131099 DXH131077:DXH131099 EHD131077:EHD131099 EQZ131077:EQZ131099 FAV131077:FAV131099 FKR131077:FKR131099 FUN131077:FUN131099 GEJ131077:GEJ131099 GOF131077:GOF131099 GYB131077:GYB131099 HHX131077:HHX131099 HRT131077:HRT131099 IBP131077:IBP131099 ILL131077:ILL131099 IVH131077:IVH131099 JFD131077:JFD131099 JOZ131077:JOZ131099 JYV131077:JYV131099 KIR131077:KIR131099 KSN131077:KSN131099 LCJ131077:LCJ131099 LMF131077:LMF131099 LWB131077:LWB131099 MFX131077:MFX131099 MPT131077:MPT131099 MZP131077:MZP131099 NJL131077:NJL131099 NTH131077:NTH131099 ODD131077:ODD131099 OMZ131077:OMZ131099 OWV131077:OWV131099 PGR131077:PGR131099 PQN131077:PQN131099 QAJ131077:QAJ131099 QKF131077:QKF131099 QUB131077:QUB131099 RDX131077:RDX131099 RNT131077:RNT131099 RXP131077:RXP131099 SHL131077:SHL131099 SRH131077:SRH131099 TBD131077:TBD131099 TKZ131077:TKZ131099 TUV131077:TUV131099 UER131077:UER131099 UON131077:UON131099 UYJ131077:UYJ131099 VIF131077:VIF131099 VSB131077:VSB131099 WBX131077:WBX131099 WLT131077:WLT131099 WVP131077:WVP131099 O196613:O196635 JD196613:JD196635 SZ196613:SZ196635 ACV196613:ACV196635 AMR196613:AMR196635 AWN196613:AWN196635 BGJ196613:BGJ196635 BQF196613:BQF196635 CAB196613:CAB196635 CJX196613:CJX196635 CTT196613:CTT196635 DDP196613:DDP196635 DNL196613:DNL196635 DXH196613:DXH196635 EHD196613:EHD196635 EQZ196613:EQZ196635 FAV196613:FAV196635 FKR196613:FKR196635 FUN196613:FUN196635 GEJ196613:GEJ196635 GOF196613:GOF196635 GYB196613:GYB196635 HHX196613:HHX196635 HRT196613:HRT196635 IBP196613:IBP196635 ILL196613:ILL196635 IVH196613:IVH196635 JFD196613:JFD196635 JOZ196613:JOZ196635 JYV196613:JYV196635 KIR196613:KIR196635 KSN196613:KSN196635 LCJ196613:LCJ196635 LMF196613:LMF196635 LWB196613:LWB196635 MFX196613:MFX196635 MPT196613:MPT196635 MZP196613:MZP196635 NJL196613:NJL196635 NTH196613:NTH196635 ODD196613:ODD196635 OMZ196613:OMZ196635 OWV196613:OWV196635 PGR196613:PGR196635 PQN196613:PQN196635 QAJ196613:QAJ196635 QKF196613:QKF196635 QUB196613:QUB196635 RDX196613:RDX196635 RNT196613:RNT196635 RXP196613:RXP196635 SHL196613:SHL196635 SRH196613:SRH196635 TBD196613:TBD196635 TKZ196613:TKZ196635 TUV196613:TUV196635 UER196613:UER196635 UON196613:UON196635 UYJ196613:UYJ196635 VIF196613:VIF196635 VSB196613:VSB196635 WBX196613:WBX196635 WLT196613:WLT196635 WVP196613:WVP196635 O262149:O262171 JD262149:JD262171 SZ262149:SZ262171 ACV262149:ACV262171 AMR262149:AMR262171 AWN262149:AWN262171 BGJ262149:BGJ262171 BQF262149:BQF262171 CAB262149:CAB262171 CJX262149:CJX262171 CTT262149:CTT262171 DDP262149:DDP262171 DNL262149:DNL262171 DXH262149:DXH262171 EHD262149:EHD262171 EQZ262149:EQZ262171 FAV262149:FAV262171 FKR262149:FKR262171 FUN262149:FUN262171 GEJ262149:GEJ262171 GOF262149:GOF262171 GYB262149:GYB262171 HHX262149:HHX262171 HRT262149:HRT262171 IBP262149:IBP262171 ILL262149:ILL262171 IVH262149:IVH262171 JFD262149:JFD262171 JOZ262149:JOZ262171 JYV262149:JYV262171 KIR262149:KIR262171 KSN262149:KSN262171 LCJ262149:LCJ262171 LMF262149:LMF262171 LWB262149:LWB262171 MFX262149:MFX262171 MPT262149:MPT262171 MZP262149:MZP262171 NJL262149:NJL262171 NTH262149:NTH262171 ODD262149:ODD262171 OMZ262149:OMZ262171 OWV262149:OWV262171 PGR262149:PGR262171 PQN262149:PQN262171 QAJ262149:QAJ262171 QKF262149:QKF262171 QUB262149:QUB262171 RDX262149:RDX262171 RNT262149:RNT262171 RXP262149:RXP262171 SHL262149:SHL262171 SRH262149:SRH262171 TBD262149:TBD262171 TKZ262149:TKZ262171 TUV262149:TUV262171 UER262149:UER262171 UON262149:UON262171 UYJ262149:UYJ262171 VIF262149:VIF262171 VSB262149:VSB262171 WBX262149:WBX262171 WLT262149:WLT262171 WVP262149:WVP262171 O327685:O327707 JD327685:JD327707 SZ327685:SZ327707 ACV327685:ACV327707 AMR327685:AMR327707 AWN327685:AWN327707 BGJ327685:BGJ327707 BQF327685:BQF327707 CAB327685:CAB327707 CJX327685:CJX327707 CTT327685:CTT327707 DDP327685:DDP327707 DNL327685:DNL327707 DXH327685:DXH327707 EHD327685:EHD327707 EQZ327685:EQZ327707 FAV327685:FAV327707 FKR327685:FKR327707 FUN327685:FUN327707 GEJ327685:GEJ327707 GOF327685:GOF327707 GYB327685:GYB327707 HHX327685:HHX327707 HRT327685:HRT327707 IBP327685:IBP327707 ILL327685:ILL327707 IVH327685:IVH327707 JFD327685:JFD327707 JOZ327685:JOZ327707 JYV327685:JYV327707 KIR327685:KIR327707 KSN327685:KSN327707 LCJ327685:LCJ327707 LMF327685:LMF327707 LWB327685:LWB327707 MFX327685:MFX327707 MPT327685:MPT327707 MZP327685:MZP327707 NJL327685:NJL327707 NTH327685:NTH327707 ODD327685:ODD327707 OMZ327685:OMZ327707 OWV327685:OWV327707 PGR327685:PGR327707 PQN327685:PQN327707 QAJ327685:QAJ327707 QKF327685:QKF327707 QUB327685:QUB327707 RDX327685:RDX327707 RNT327685:RNT327707 RXP327685:RXP327707 SHL327685:SHL327707 SRH327685:SRH327707 TBD327685:TBD327707 TKZ327685:TKZ327707 TUV327685:TUV327707 UER327685:UER327707 UON327685:UON327707 UYJ327685:UYJ327707 VIF327685:VIF327707 VSB327685:VSB327707 WBX327685:WBX327707 WLT327685:WLT327707 WVP327685:WVP327707 O393221:O393243 JD393221:JD393243 SZ393221:SZ393243 ACV393221:ACV393243 AMR393221:AMR393243 AWN393221:AWN393243 BGJ393221:BGJ393243 BQF393221:BQF393243 CAB393221:CAB393243 CJX393221:CJX393243 CTT393221:CTT393243 DDP393221:DDP393243 DNL393221:DNL393243 DXH393221:DXH393243 EHD393221:EHD393243 EQZ393221:EQZ393243 FAV393221:FAV393243 FKR393221:FKR393243 FUN393221:FUN393243 GEJ393221:GEJ393243 GOF393221:GOF393243 GYB393221:GYB393243 HHX393221:HHX393243 HRT393221:HRT393243 IBP393221:IBP393243 ILL393221:ILL393243 IVH393221:IVH393243 JFD393221:JFD393243 JOZ393221:JOZ393243 JYV393221:JYV393243 KIR393221:KIR393243 KSN393221:KSN393243 LCJ393221:LCJ393243 LMF393221:LMF393243 LWB393221:LWB393243 MFX393221:MFX393243 MPT393221:MPT393243 MZP393221:MZP393243 NJL393221:NJL393243 NTH393221:NTH393243 ODD393221:ODD393243 OMZ393221:OMZ393243 OWV393221:OWV393243 PGR393221:PGR393243 PQN393221:PQN393243 QAJ393221:QAJ393243 QKF393221:QKF393243 QUB393221:QUB393243 RDX393221:RDX393243 RNT393221:RNT393243 RXP393221:RXP393243 SHL393221:SHL393243 SRH393221:SRH393243 TBD393221:TBD393243 TKZ393221:TKZ393243 TUV393221:TUV393243 UER393221:UER393243 UON393221:UON393243 UYJ393221:UYJ393243 VIF393221:VIF393243 VSB393221:VSB393243 WBX393221:WBX393243 WLT393221:WLT393243 WVP393221:WVP393243 O458757:O458779 JD458757:JD458779 SZ458757:SZ458779 ACV458757:ACV458779 AMR458757:AMR458779 AWN458757:AWN458779 BGJ458757:BGJ458779 BQF458757:BQF458779 CAB458757:CAB458779 CJX458757:CJX458779 CTT458757:CTT458779 DDP458757:DDP458779 DNL458757:DNL458779 DXH458757:DXH458779 EHD458757:EHD458779 EQZ458757:EQZ458779 FAV458757:FAV458779 FKR458757:FKR458779 FUN458757:FUN458779 GEJ458757:GEJ458779 GOF458757:GOF458779 GYB458757:GYB458779 HHX458757:HHX458779 HRT458757:HRT458779 IBP458757:IBP458779 ILL458757:ILL458779 IVH458757:IVH458779 JFD458757:JFD458779 JOZ458757:JOZ458779 JYV458757:JYV458779 KIR458757:KIR458779 KSN458757:KSN458779 LCJ458757:LCJ458779 LMF458757:LMF458779 LWB458757:LWB458779 MFX458757:MFX458779 MPT458757:MPT458779 MZP458757:MZP458779 NJL458757:NJL458779 NTH458757:NTH458779 ODD458757:ODD458779 OMZ458757:OMZ458779 OWV458757:OWV458779 PGR458757:PGR458779 PQN458757:PQN458779 QAJ458757:QAJ458779 QKF458757:QKF458779 QUB458757:QUB458779 RDX458757:RDX458779 RNT458757:RNT458779 RXP458757:RXP458779 SHL458757:SHL458779 SRH458757:SRH458779 TBD458757:TBD458779 TKZ458757:TKZ458779 TUV458757:TUV458779 UER458757:UER458779 UON458757:UON458779 UYJ458757:UYJ458779 VIF458757:VIF458779 VSB458757:VSB458779 WBX458757:WBX458779 WLT458757:WLT458779 WVP458757:WVP458779 O524293:O524315 JD524293:JD524315 SZ524293:SZ524315 ACV524293:ACV524315 AMR524293:AMR524315 AWN524293:AWN524315 BGJ524293:BGJ524315 BQF524293:BQF524315 CAB524293:CAB524315 CJX524293:CJX524315 CTT524293:CTT524315 DDP524293:DDP524315 DNL524293:DNL524315 DXH524293:DXH524315 EHD524293:EHD524315 EQZ524293:EQZ524315 FAV524293:FAV524315 FKR524293:FKR524315 FUN524293:FUN524315 GEJ524293:GEJ524315 GOF524293:GOF524315 GYB524293:GYB524315 HHX524293:HHX524315 HRT524293:HRT524315 IBP524293:IBP524315 ILL524293:ILL524315 IVH524293:IVH524315 JFD524293:JFD524315 JOZ524293:JOZ524315 JYV524293:JYV524315 KIR524293:KIR524315 KSN524293:KSN524315 LCJ524293:LCJ524315 LMF524293:LMF524315 LWB524293:LWB524315 MFX524293:MFX524315 MPT524293:MPT524315 MZP524293:MZP524315 NJL524293:NJL524315 NTH524293:NTH524315 ODD524293:ODD524315 OMZ524293:OMZ524315 OWV524293:OWV524315 PGR524293:PGR524315 PQN524293:PQN524315 QAJ524293:QAJ524315 QKF524293:QKF524315 QUB524293:QUB524315 RDX524293:RDX524315 RNT524293:RNT524315 RXP524293:RXP524315 SHL524293:SHL524315 SRH524293:SRH524315 TBD524293:TBD524315 TKZ524293:TKZ524315 TUV524293:TUV524315 UER524293:UER524315 UON524293:UON524315 UYJ524293:UYJ524315 VIF524293:VIF524315 VSB524293:VSB524315 WBX524293:WBX524315 WLT524293:WLT524315 WVP524293:WVP524315 O589829:O589851 JD589829:JD589851 SZ589829:SZ589851 ACV589829:ACV589851 AMR589829:AMR589851 AWN589829:AWN589851 BGJ589829:BGJ589851 BQF589829:BQF589851 CAB589829:CAB589851 CJX589829:CJX589851 CTT589829:CTT589851 DDP589829:DDP589851 DNL589829:DNL589851 DXH589829:DXH589851 EHD589829:EHD589851 EQZ589829:EQZ589851 FAV589829:FAV589851 FKR589829:FKR589851 FUN589829:FUN589851 GEJ589829:GEJ589851 GOF589829:GOF589851 GYB589829:GYB589851 HHX589829:HHX589851 HRT589829:HRT589851 IBP589829:IBP589851 ILL589829:ILL589851 IVH589829:IVH589851 JFD589829:JFD589851 JOZ589829:JOZ589851 JYV589829:JYV589851 KIR589829:KIR589851 KSN589829:KSN589851 LCJ589829:LCJ589851 LMF589829:LMF589851 LWB589829:LWB589851 MFX589829:MFX589851 MPT589829:MPT589851 MZP589829:MZP589851 NJL589829:NJL589851 NTH589829:NTH589851 ODD589829:ODD589851 OMZ589829:OMZ589851 OWV589829:OWV589851 PGR589829:PGR589851 PQN589829:PQN589851 QAJ589829:QAJ589851 QKF589829:QKF589851 QUB589829:QUB589851 RDX589829:RDX589851 RNT589829:RNT589851 RXP589829:RXP589851 SHL589829:SHL589851 SRH589829:SRH589851 TBD589829:TBD589851 TKZ589829:TKZ589851 TUV589829:TUV589851 UER589829:UER589851 UON589829:UON589851 UYJ589829:UYJ589851 VIF589829:VIF589851 VSB589829:VSB589851 WBX589829:WBX589851 WLT589829:WLT589851 WVP589829:WVP589851 O655365:O655387 JD655365:JD655387 SZ655365:SZ655387 ACV655365:ACV655387 AMR655365:AMR655387 AWN655365:AWN655387 BGJ655365:BGJ655387 BQF655365:BQF655387 CAB655365:CAB655387 CJX655365:CJX655387 CTT655365:CTT655387 DDP655365:DDP655387 DNL655365:DNL655387 DXH655365:DXH655387 EHD655365:EHD655387 EQZ655365:EQZ655387 FAV655365:FAV655387 FKR655365:FKR655387 FUN655365:FUN655387 GEJ655365:GEJ655387 GOF655365:GOF655387 GYB655365:GYB655387 HHX655365:HHX655387 HRT655365:HRT655387 IBP655365:IBP655387 ILL655365:ILL655387 IVH655365:IVH655387 JFD655365:JFD655387 JOZ655365:JOZ655387 JYV655365:JYV655387 KIR655365:KIR655387 KSN655365:KSN655387 LCJ655365:LCJ655387 LMF655365:LMF655387 LWB655365:LWB655387 MFX655365:MFX655387 MPT655365:MPT655387 MZP655365:MZP655387 NJL655365:NJL655387 NTH655365:NTH655387 ODD655365:ODD655387 OMZ655365:OMZ655387 OWV655365:OWV655387 PGR655365:PGR655387 PQN655365:PQN655387 QAJ655365:QAJ655387 QKF655365:QKF655387 QUB655365:QUB655387 RDX655365:RDX655387 RNT655365:RNT655387 RXP655365:RXP655387 SHL655365:SHL655387 SRH655365:SRH655387 TBD655365:TBD655387 TKZ655365:TKZ655387 TUV655365:TUV655387 UER655365:UER655387 UON655365:UON655387 UYJ655365:UYJ655387 VIF655365:VIF655387 VSB655365:VSB655387 WBX655365:WBX655387 WLT655365:WLT655387 WVP655365:WVP655387 O720901:O720923 JD720901:JD720923 SZ720901:SZ720923 ACV720901:ACV720923 AMR720901:AMR720923 AWN720901:AWN720923 BGJ720901:BGJ720923 BQF720901:BQF720923 CAB720901:CAB720923 CJX720901:CJX720923 CTT720901:CTT720923 DDP720901:DDP720923 DNL720901:DNL720923 DXH720901:DXH720923 EHD720901:EHD720923 EQZ720901:EQZ720923 FAV720901:FAV720923 FKR720901:FKR720923 FUN720901:FUN720923 GEJ720901:GEJ720923 GOF720901:GOF720923 GYB720901:GYB720923 HHX720901:HHX720923 HRT720901:HRT720923 IBP720901:IBP720923 ILL720901:ILL720923 IVH720901:IVH720923 JFD720901:JFD720923 JOZ720901:JOZ720923 JYV720901:JYV720923 KIR720901:KIR720923 KSN720901:KSN720923 LCJ720901:LCJ720923 LMF720901:LMF720923 LWB720901:LWB720923 MFX720901:MFX720923 MPT720901:MPT720923 MZP720901:MZP720923 NJL720901:NJL720923 NTH720901:NTH720923 ODD720901:ODD720923 OMZ720901:OMZ720923 OWV720901:OWV720923 PGR720901:PGR720923 PQN720901:PQN720923 QAJ720901:QAJ720923 QKF720901:QKF720923 QUB720901:QUB720923 RDX720901:RDX720923 RNT720901:RNT720923 RXP720901:RXP720923 SHL720901:SHL720923 SRH720901:SRH720923 TBD720901:TBD720923 TKZ720901:TKZ720923 TUV720901:TUV720923 UER720901:UER720923 UON720901:UON720923 UYJ720901:UYJ720923 VIF720901:VIF720923 VSB720901:VSB720923 WBX720901:WBX720923 WLT720901:WLT720923 WVP720901:WVP720923 O786437:O786459 JD786437:JD786459 SZ786437:SZ786459 ACV786437:ACV786459 AMR786437:AMR786459 AWN786437:AWN786459 BGJ786437:BGJ786459 BQF786437:BQF786459 CAB786437:CAB786459 CJX786437:CJX786459 CTT786437:CTT786459 DDP786437:DDP786459 DNL786437:DNL786459 DXH786437:DXH786459 EHD786437:EHD786459 EQZ786437:EQZ786459 FAV786437:FAV786459 FKR786437:FKR786459 FUN786437:FUN786459 GEJ786437:GEJ786459 GOF786437:GOF786459 GYB786437:GYB786459 HHX786437:HHX786459 HRT786437:HRT786459 IBP786437:IBP786459 ILL786437:ILL786459 IVH786437:IVH786459 JFD786437:JFD786459 JOZ786437:JOZ786459 JYV786437:JYV786459 KIR786437:KIR786459 KSN786437:KSN786459 LCJ786437:LCJ786459 LMF786437:LMF786459 LWB786437:LWB786459 MFX786437:MFX786459 MPT786437:MPT786459 MZP786437:MZP786459 NJL786437:NJL786459 NTH786437:NTH786459 ODD786437:ODD786459 OMZ786437:OMZ786459 OWV786437:OWV786459 PGR786437:PGR786459 PQN786437:PQN786459 QAJ786437:QAJ786459 QKF786437:QKF786459 QUB786437:QUB786459 RDX786437:RDX786459 RNT786437:RNT786459 RXP786437:RXP786459 SHL786437:SHL786459 SRH786437:SRH786459 TBD786437:TBD786459 TKZ786437:TKZ786459 TUV786437:TUV786459 UER786437:UER786459 UON786437:UON786459 UYJ786437:UYJ786459 VIF786437:VIF786459 VSB786437:VSB786459 WBX786437:WBX786459 WLT786437:WLT786459 WVP786437:WVP786459 O851973:O851995 JD851973:JD851995 SZ851973:SZ851995 ACV851973:ACV851995 AMR851973:AMR851995 AWN851973:AWN851995 BGJ851973:BGJ851995 BQF851973:BQF851995 CAB851973:CAB851995 CJX851973:CJX851995 CTT851973:CTT851995 DDP851973:DDP851995 DNL851973:DNL851995 DXH851973:DXH851995 EHD851973:EHD851995 EQZ851973:EQZ851995 FAV851973:FAV851995 FKR851973:FKR851995 FUN851973:FUN851995 GEJ851973:GEJ851995 GOF851973:GOF851995 GYB851973:GYB851995 HHX851973:HHX851995 HRT851973:HRT851995 IBP851973:IBP851995 ILL851973:ILL851995 IVH851973:IVH851995 JFD851973:JFD851995 JOZ851973:JOZ851995 JYV851973:JYV851995 KIR851973:KIR851995 KSN851973:KSN851995 LCJ851973:LCJ851995 LMF851973:LMF851995 LWB851973:LWB851995 MFX851973:MFX851995 MPT851973:MPT851995 MZP851973:MZP851995 NJL851973:NJL851995 NTH851973:NTH851995 ODD851973:ODD851995 OMZ851973:OMZ851995 OWV851973:OWV851995 PGR851973:PGR851995 PQN851973:PQN851995 QAJ851973:QAJ851995 QKF851973:QKF851995 QUB851973:QUB851995 RDX851973:RDX851995 RNT851973:RNT851995 RXP851973:RXP851995 SHL851973:SHL851995 SRH851973:SRH851995 TBD851973:TBD851995 TKZ851973:TKZ851995 TUV851973:TUV851995 UER851973:UER851995 UON851973:UON851995 UYJ851973:UYJ851995 VIF851973:VIF851995 VSB851973:VSB851995 WBX851973:WBX851995 WLT851973:WLT851995 WVP851973:WVP851995 O917509:O917531 JD917509:JD917531 SZ917509:SZ917531 ACV917509:ACV917531 AMR917509:AMR917531 AWN917509:AWN917531 BGJ917509:BGJ917531 BQF917509:BQF917531 CAB917509:CAB917531 CJX917509:CJX917531 CTT917509:CTT917531 DDP917509:DDP917531 DNL917509:DNL917531 DXH917509:DXH917531 EHD917509:EHD917531 EQZ917509:EQZ917531 FAV917509:FAV917531 FKR917509:FKR917531 FUN917509:FUN917531 GEJ917509:GEJ917531 GOF917509:GOF917531 GYB917509:GYB917531 HHX917509:HHX917531 HRT917509:HRT917531 IBP917509:IBP917531 ILL917509:ILL917531 IVH917509:IVH917531 JFD917509:JFD917531 JOZ917509:JOZ917531 JYV917509:JYV917531 KIR917509:KIR917531 KSN917509:KSN917531 LCJ917509:LCJ917531 LMF917509:LMF917531 LWB917509:LWB917531 MFX917509:MFX917531 MPT917509:MPT917531 MZP917509:MZP917531 NJL917509:NJL917531 NTH917509:NTH917531 ODD917509:ODD917531 OMZ917509:OMZ917531 OWV917509:OWV917531 PGR917509:PGR917531 PQN917509:PQN917531 QAJ917509:QAJ917531 QKF917509:QKF917531 QUB917509:QUB917531 RDX917509:RDX917531 RNT917509:RNT917531 RXP917509:RXP917531 SHL917509:SHL917531 SRH917509:SRH917531 TBD917509:TBD917531 TKZ917509:TKZ917531 TUV917509:TUV917531 UER917509:UER917531 UON917509:UON917531 UYJ917509:UYJ917531 VIF917509:VIF917531 VSB917509:VSB917531 WBX917509:WBX917531 WLT917509:WLT917531 WVP917509:WVP917531 O983045:O983067 JD983045:JD983067 SZ983045:SZ983067 ACV983045:ACV983067 AMR983045:AMR983067 AWN983045:AWN983067 BGJ983045:BGJ983067 BQF983045:BQF983067 CAB983045:CAB983067 CJX983045:CJX983067 CTT983045:CTT983067 DDP983045:DDP983067 DNL983045:DNL983067 DXH983045:DXH983067 EHD983045:EHD983067 EQZ983045:EQZ983067 FAV983045:FAV983067 FKR983045:FKR983067 FUN983045:FUN983067 GEJ983045:GEJ983067 GOF983045:GOF983067 GYB983045:GYB983067 HHX983045:HHX983067 HRT983045:HRT983067 IBP983045:IBP983067 ILL983045:ILL983067 IVH983045:IVH983067 JFD983045:JFD983067 JOZ983045:JOZ983067 JYV983045:JYV983067 KIR983045:KIR983067 KSN983045:KSN983067 LCJ983045:LCJ983067 LMF983045:LMF983067 LWB983045:LWB983067 MFX983045:MFX983067 MPT983045:MPT983067 MZP983045:MZP983067 NJL983045:NJL983067 NTH983045:NTH983067 ODD983045:ODD983067 OMZ983045:OMZ983067 OWV983045:OWV983067 PGR983045:PGR983067 PQN983045:PQN983067 QAJ983045:QAJ983067 QKF983045:QKF983067 QUB983045:QUB983067 RDX983045:RDX983067 RNT983045:RNT983067 RXP983045:RXP983067 SHL983045:SHL983067 SRH983045:SRH983067 TBD983045:TBD983067 TKZ983045:TKZ983067 TUV983045:TUV983067 UER983045:UER983067 UON983045:UON983067 UYJ983045:UYJ983067 VIF983045:VIF983067 VSB983045:VSB983067 WBX983045:WBX983067 WLT983045:WLT983067 WVP983045:WVP983067 WVI30:WVI361 WLM30:WLM361 WBQ30:WBQ361 VRU30:VRU361 VHY30:VHY361 UYC30:UYC361 UOG30:UOG361 UEK30:UEK361 TUO30:TUO361 TKS30:TKS361 TAW30:TAW361 SRA30:SRA361 SHE30:SHE361 RXI30:RXI361 RNM30:RNM361 RDQ30:RDQ361 QTU30:QTU361 QJY30:QJY361 QAC30:QAC361 PQG30:PQG361 PGK30:PGK361 OWO30:OWO361 OMS30:OMS361 OCW30:OCW361 NTA30:NTA361 NJE30:NJE361 MZI30:MZI361 MPM30:MPM361 MFQ30:MFQ361 LVU30:LVU361 LLY30:LLY361 LCC30:LCC361 KSG30:KSG361 KIK30:KIK361 JYO30:JYO361 JOS30:JOS361 JEW30:JEW361 IVA30:IVA361 ILE30:ILE361 IBI30:IBI361 HRM30:HRM361 HHQ30:HHQ361 GXU30:GXU361 GNY30:GNY361 GEC30:GEC361 FUG30:FUG361 FKK30:FKK361 FAO30:FAO361 EQS30:EQS361 EGW30:EGW361 DXA30:DXA361 DNE30:DNE361 DDI30:DDI361 CTM30:CTM361 CJQ30:CJQ361 BZU30:BZU361 BPY30:BPY361 BGC30:BGC361 AWG30:AWG361 AMK30:AMK361 ACO30:ACO361 SS30:SS361 IW30:IW361">
      <formula1>#REF!</formula1>
    </dataValidation>
    <dataValidation type="list" allowBlank="1" showInputMessage="1" showErrorMessage="1" sqref="D20">
      <formula1>LightCalcMethod</formula1>
    </dataValidation>
    <dataValidation type="list" allowBlank="1" showInputMessage="1" showErrorMessage="1" sqref="H30 H32:H361">
      <formula1>"Yes, No"</formula1>
    </dataValidation>
    <dataValidation type="list" allowBlank="1" showInputMessage="1" showErrorMessage="1" sqref="A30:A361 H31">
      <formula1>"Yes,No"</formula1>
    </dataValidation>
  </dataValidations>
  <printOptions gridLines="1"/>
  <pageMargins left="0.25" right="0.25" top="0.57999999999999996" bottom="1" header="0.5" footer="0.5"/>
  <pageSetup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Lookup!$B$9:$B$11</xm:f>
          </x14:formula1>
          <xm:sqref>O4:O27</xm:sqref>
        </x14:dataValidation>
        <x14:dataValidation type="list" allowBlank="1" showInputMessage="1" showErrorMessage="1">
          <x14:formula1>
            <xm:f>Lookup!$K$9:$K$24</xm:f>
          </x14:formula1>
          <xm:sqref>K4:K27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6" tint="0.39997558519241921"/>
  </sheetPr>
  <dimension ref="A1:W75"/>
  <sheetViews>
    <sheetView showGridLines="0" workbookViewId="0">
      <selection activeCell="F53" sqref="F53"/>
    </sheetView>
  </sheetViews>
  <sheetFormatPr defaultRowHeight="12"/>
  <cols>
    <col min="1" max="1" width="2" style="411" bestFit="1" customWidth="1"/>
    <col min="2" max="2" width="18.7109375" style="411" customWidth="1"/>
    <col min="3" max="3" width="8.28515625" style="411" customWidth="1"/>
    <col min="4" max="4" width="11.140625" style="411" customWidth="1"/>
    <col min="5" max="5" width="12.140625" style="411" customWidth="1"/>
    <col min="6" max="6" width="24.5703125" style="411" customWidth="1"/>
    <col min="7" max="7" width="9.140625" style="411"/>
    <col min="8" max="11" width="9.140625" style="411" hidden="1" customWidth="1"/>
    <col min="12" max="14" width="9.140625" style="411"/>
    <col min="15" max="15" width="15" style="411" customWidth="1"/>
    <col min="16" max="16" width="12" style="411" customWidth="1"/>
    <col min="17" max="17" width="11.140625" style="411" customWidth="1"/>
    <col min="18" max="22" width="9.140625" style="411"/>
    <col min="23" max="23" width="9.140625" style="411" hidden="1" customWidth="1"/>
    <col min="24" max="16384" width="9.140625" style="411"/>
  </cols>
  <sheetData>
    <row r="1" spans="1:23" ht="18.75">
      <c r="B1" s="436" t="s">
        <v>1000</v>
      </c>
    </row>
    <row r="3" spans="1:23" ht="12.75">
      <c r="B3" s="402" t="s">
        <v>121</v>
      </c>
      <c r="C3" s="312"/>
      <c r="D3" s="312"/>
      <c r="E3" s="312"/>
      <c r="F3" s="312"/>
      <c r="G3" s="312"/>
      <c r="H3" s="312"/>
      <c r="I3" s="312"/>
      <c r="J3" s="312"/>
      <c r="K3" s="312"/>
      <c r="L3" s="312"/>
      <c r="M3" s="312"/>
      <c r="N3" s="312"/>
      <c r="O3" s="312"/>
      <c r="P3" s="312"/>
    </row>
    <row r="4" spans="1:23" ht="12.75" customHeight="1">
      <c r="A4" s="911">
        <v>1</v>
      </c>
      <c r="B4" s="331" t="s">
        <v>1085</v>
      </c>
      <c r="C4" s="331"/>
      <c r="D4" s="331"/>
      <c r="E4" s="331"/>
      <c r="F4" s="331"/>
      <c r="G4" s="331"/>
      <c r="H4" s="331"/>
      <c r="I4" s="331"/>
      <c r="J4" s="331"/>
      <c r="K4" s="331"/>
      <c r="L4" s="331"/>
      <c r="M4" s="331"/>
      <c r="N4" s="331"/>
      <c r="O4" s="331"/>
      <c r="P4" s="331"/>
    </row>
    <row r="5" spans="1:23" ht="26.25" customHeight="1">
      <c r="A5" s="911">
        <v>2</v>
      </c>
      <c r="B5" s="1621" t="s">
        <v>1086</v>
      </c>
      <c r="C5" s="1621"/>
      <c r="D5" s="1621"/>
      <c r="E5" s="1621"/>
      <c r="F5" s="1621"/>
      <c r="G5" s="1621"/>
      <c r="H5" s="1621"/>
      <c r="I5" s="1621"/>
      <c r="J5" s="1621"/>
      <c r="K5" s="1621"/>
      <c r="L5" s="1621"/>
      <c r="M5" s="1621"/>
      <c r="N5" s="1621"/>
      <c r="O5" s="1621"/>
      <c r="P5" s="1621"/>
    </row>
    <row r="6" spans="1:23">
      <c r="A6" s="911">
        <v>3</v>
      </c>
      <c r="B6" s="312" t="s">
        <v>1001</v>
      </c>
      <c r="C6" s="312"/>
      <c r="D6" s="312"/>
      <c r="E6" s="312"/>
      <c r="F6" s="312"/>
      <c r="G6" s="312"/>
      <c r="H6" s="312"/>
      <c r="I6" s="312"/>
      <c r="J6" s="312"/>
      <c r="K6" s="312"/>
      <c r="L6" s="312"/>
      <c r="M6" s="312"/>
      <c r="N6" s="312"/>
      <c r="O6" s="312"/>
      <c r="P6" s="312"/>
    </row>
    <row r="7" spans="1:23" s="842" customFormat="1" ht="37.5" customHeight="1">
      <c r="A7" s="933">
        <v>4</v>
      </c>
      <c r="B7" s="1622" t="s">
        <v>1002</v>
      </c>
      <c r="C7" s="1622"/>
      <c r="D7" s="1622"/>
      <c r="E7" s="1622"/>
      <c r="F7" s="1622"/>
      <c r="G7" s="1622"/>
      <c r="H7" s="1622"/>
      <c r="I7" s="1622"/>
      <c r="J7" s="1622"/>
      <c r="K7" s="1622"/>
      <c r="L7" s="1622"/>
      <c r="M7" s="1622"/>
      <c r="N7" s="1622"/>
      <c r="O7" s="1622"/>
      <c r="P7" s="1622"/>
    </row>
    <row r="8" spans="1:23">
      <c r="A8" s="911">
        <v>5</v>
      </c>
      <c r="B8" s="316" t="s">
        <v>1003</v>
      </c>
      <c r="C8" s="316"/>
      <c r="D8" s="316"/>
      <c r="E8" s="332"/>
      <c r="F8" s="333"/>
      <c r="G8" s="333"/>
      <c r="H8" s="333"/>
      <c r="I8" s="333"/>
      <c r="J8" s="333"/>
      <c r="K8" s="333"/>
      <c r="L8" s="312"/>
      <c r="M8" s="312"/>
      <c r="N8" s="312"/>
      <c r="O8" s="312"/>
      <c r="P8" s="312"/>
    </row>
    <row r="9" spans="1:23">
      <c r="A9" s="911">
        <v>6</v>
      </c>
      <c r="B9" s="333" t="s">
        <v>1004</v>
      </c>
      <c r="C9" s="333"/>
      <c r="D9" s="333"/>
      <c r="E9" s="333"/>
      <c r="F9" s="333"/>
      <c r="G9" s="333"/>
      <c r="H9" s="333"/>
      <c r="I9" s="333"/>
      <c r="J9" s="333"/>
      <c r="K9" s="333"/>
      <c r="L9" s="333"/>
      <c r="M9" s="333"/>
      <c r="N9" s="333"/>
      <c r="O9" s="333"/>
      <c r="P9" s="333"/>
    </row>
    <row r="10" spans="1:23">
      <c r="A10" s="911">
        <v>7</v>
      </c>
      <c r="B10" s="334" t="s">
        <v>1005</v>
      </c>
      <c r="C10" s="334"/>
      <c r="D10" s="334"/>
      <c r="E10" s="334"/>
      <c r="F10" s="334"/>
      <c r="G10" s="334"/>
      <c r="H10" s="334"/>
      <c r="I10" s="334"/>
      <c r="J10" s="334"/>
      <c r="K10" s="334"/>
      <c r="L10" s="334"/>
      <c r="M10" s="334"/>
      <c r="N10" s="332"/>
      <c r="O10" s="332"/>
      <c r="P10" s="312"/>
    </row>
    <row r="11" spans="1:23">
      <c r="A11" s="911">
        <v>8</v>
      </c>
      <c r="B11" s="335" t="s">
        <v>1184</v>
      </c>
      <c r="C11" s="335"/>
      <c r="D11" s="335"/>
      <c r="E11" s="335"/>
      <c r="F11" s="335"/>
      <c r="G11" s="335"/>
      <c r="H11" s="335"/>
      <c r="I11" s="335"/>
      <c r="J11" s="335"/>
      <c r="K11" s="335"/>
      <c r="L11" s="335"/>
      <c r="M11" s="335"/>
      <c r="N11" s="335"/>
      <c r="O11" s="335"/>
      <c r="P11" s="336"/>
    </row>
    <row r="12" spans="1:23">
      <c r="A12" s="907"/>
      <c r="B12" s="826"/>
      <c r="C12" s="826"/>
      <c r="D12" s="826"/>
      <c r="E12" s="826"/>
      <c r="F12" s="826"/>
      <c r="G12" s="826"/>
      <c r="H12" s="826"/>
      <c r="I12" s="826"/>
      <c r="J12" s="826"/>
      <c r="K12" s="826"/>
      <c r="L12" s="826"/>
      <c r="M12" s="826"/>
      <c r="N12" s="826"/>
      <c r="O12" s="826"/>
      <c r="P12" s="925"/>
    </row>
    <row r="13" spans="1:23">
      <c r="B13" s="842"/>
      <c r="C13" s="842"/>
      <c r="D13" s="842"/>
      <c r="E13" s="842"/>
      <c r="F13" s="842"/>
      <c r="G13" s="842"/>
      <c r="H13" s="842"/>
      <c r="I13" s="842"/>
      <c r="J13" s="842"/>
      <c r="K13" s="842"/>
    </row>
    <row r="14" spans="1:23">
      <c r="B14" s="934" t="s">
        <v>1006</v>
      </c>
    </row>
    <row r="15" spans="1:23" ht="48">
      <c r="B15" s="337" t="s">
        <v>917</v>
      </c>
      <c r="C15" s="337" t="s">
        <v>1007</v>
      </c>
      <c r="D15" s="337" t="s">
        <v>317</v>
      </c>
      <c r="E15" s="337" t="s">
        <v>1008</v>
      </c>
      <c r="F15" s="337" t="s">
        <v>1009</v>
      </c>
      <c r="G15" s="337" t="s">
        <v>1182</v>
      </c>
      <c r="H15" s="322" t="s">
        <v>1405</v>
      </c>
      <c r="I15" s="322" t="s">
        <v>1407</v>
      </c>
      <c r="J15" s="322" t="s">
        <v>1147</v>
      </c>
      <c r="K15" s="322" t="s">
        <v>1406</v>
      </c>
      <c r="L15" s="337" t="s">
        <v>1010</v>
      </c>
      <c r="M15" s="337" t="s">
        <v>1011</v>
      </c>
      <c r="N15" s="337" t="s">
        <v>1012</v>
      </c>
      <c r="O15" s="337" t="s">
        <v>1013</v>
      </c>
      <c r="P15" s="337" t="s">
        <v>1183</v>
      </c>
      <c r="R15" s="926"/>
    </row>
    <row r="16" spans="1:23" ht="12.75">
      <c r="B16" s="338"/>
      <c r="C16" s="339"/>
      <c r="D16" s="339"/>
      <c r="E16" s="339"/>
      <c r="F16" s="638">
        <f>IF(E16="",0,INDEX('Interior Lighting'!$L$4:$L$27,MATCH(E16,'Interior Lighting'!$J$4:$J$27,0)))</f>
        <v>0</v>
      </c>
      <c r="G16" s="638" t="e">
        <f>H16*J16*K16</f>
        <v>#N/A</v>
      </c>
      <c r="H16" s="1098" t="e">
        <f>INDEX('Interior Lighting'!$M$4:$M$27,MATCH(E16,'Interior Lighting'!$J$4:$J$27,0))</f>
        <v>#N/A</v>
      </c>
      <c r="I16" s="1098" t="e">
        <f>INDEX('Interior Lighting'!$K$4:$K$27,MATCH(E16,'Interior Lighting'!$J$4:$J$27,0))</f>
        <v>#N/A</v>
      </c>
      <c r="J16" s="1098" t="e">
        <f>INDEX(Lookup!$O$9:$O$24,MATCH(I16,Lookup!$K$9:$K$24,0))</f>
        <v>#N/A</v>
      </c>
      <c r="K16" s="1098" t="e">
        <f>INDEX(Lookup!$M$9:$M$24,MATCH(I16,Lookup!$K$9:$K$24,0))</f>
        <v>#N/A</v>
      </c>
      <c r="L16" s="339"/>
      <c r="M16" s="340">
        <f>C16*L16</f>
        <v>0</v>
      </c>
      <c r="N16" s="340">
        <f>D16*F16*L16</f>
        <v>0</v>
      </c>
      <c r="O16" s="341" t="e">
        <f>IF(G16&gt;0, D16*F16*G16/C16, "0.0")</f>
        <v>#N/A</v>
      </c>
      <c r="P16" s="341" t="e">
        <f>F16*D16/C16</f>
        <v>#DIV/0!</v>
      </c>
      <c r="Q16" s="400" t="str">
        <f>IF(C16&gt;0, IF(C16&gt;3*D16*F16, " Confirm that instruction 4 above has been followed.", ""), "")</f>
        <v/>
      </c>
      <c r="R16" s="926"/>
      <c r="W16" s="411" t="e">
        <f>O16*C16*L16</f>
        <v>#N/A</v>
      </c>
    </row>
    <row r="17" spans="2:23" ht="12.75">
      <c r="B17" s="338"/>
      <c r="C17" s="339"/>
      <c r="D17" s="339"/>
      <c r="E17" s="339"/>
      <c r="F17" s="638">
        <f>IF(E17="",0,INDEX('Interior Lighting'!$L$4:$L$27,MATCH(E17,'Interior Lighting'!$J$4:$J$27,0)))</f>
        <v>0</v>
      </c>
      <c r="G17" s="638" t="e">
        <f t="shared" ref="G17:G44" si="0">H17*J17*K17</f>
        <v>#N/A</v>
      </c>
      <c r="H17" s="1098" t="e">
        <f>INDEX('Interior Lighting'!$M$4:$M$27,MATCH(E17,'Interior Lighting'!$J$4:$J$27,0))</f>
        <v>#N/A</v>
      </c>
      <c r="I17" s="1098" t="e">
        <f>INDEX('Interior Lighting'!$K$4:$K$27,MATCH(E17,'Interior Lighting'!$J$4:$J$27,0))</f>
        <v>#N/A</v>
      </c>
      <c r="J17" s="1098" t="e">
        <f>INDEX(Lookup!$O$9:$O$24,MATCH(I17,Lookup!$K$9:$K$24,0))</f>
        <v>#N/A</v>
      </c>
      <c r="K17" s="1098" t="e">
        <f>INDEX(Lookup!$M$9:$M$24,MATCH(I17,Lookup!$K$9:$K$24,0))</f>
        <v>#N/A</v>
      </c>
      <c r="L17" s="339"/>
      <c r="M17" s="340">
        <f t="shared" ref="M17:M44" si="1">C17*L17</f>
        <v>0</v>
      </c>
      <c r="N17" s="340">
        <f t="shared" ref="N17:N44" si="2">D17*F17*L17</f>
        <v>0</v>
      </c>
      <c r="O17" s="341" t="e">
        <f t="shared" ref="O17:O44" si="3">IF(G17&gt;0, D17*F17*G17/C17, "0.0")</f>
        <v>#N/A</v>
      </c>
      <c r="P17" s="341" t="e">
        <f t="shared" ref="P17:P44" si="4">F17*D17/C17</f>
        <v>#DIV/0!</v>
      </c>
      <c r="Q17" s="398" t="str">
        <f t="shared" ref="Q17:Q44" si="5">IF(C17&gt;0, IF(C17&gt;3*D17*F17, " Confirm that instruction 4 above has been followed.", ""), "")</f>
        <v/>
      </c>
      <c r="R17" s="926"/>
      <c r="W17" s="411" t="e">
        <f t="shared" ref="W17:W44" si="6">O17*C17*L17</f>
        <v>#N/A</v>
      </c>
    </row>
    <row r="18" spans="2:23" ht="12.75">
      <c r="B18" s="338"/>
      <c r="C18" s="339"/>
      <c r="D18" s="339"/>
      <c r="E18" s="339"/>
      <c r="F18" s="638">
        <f>IF(E18="",0,INDEX('Interior Lighting'!$L$4:$L$27,MATCH(E18,'Interior Lighting'!$J$4:$J$27,0)))</f>
        <v>0</v>
      </c>
      <c r="G18" s="638" t="e">
        <f t="shared" si="0"/>
        <v>#N/A</v>
      </c>
      <c r="H18" s="1098" t="e">
        <f>INDEX('Interior Lighting'!$M$4:$M$27,MATCH(E18,'Interior Lighting'!$J$4:$J$27,0))</f>
        <v>#N/A</v>
      </c>
      <c r="I18" s="1098" t="e">
        <f>INDEX('Interior Lighting'!$K$4:$K$27,MATCH(E18,'Interior Lighting'!$J$4:$J$27,0))</f>
        <v>#N/A</v>
      </c>
      <c r="J18" s="1098" t="e">
        <f>INDEX(Lookup!$O$9:$O$24,MATCH(I18,Lookup!$K$9:$K$24,0))</f>
        <v>#N/A</v>
      </c>
      <c r="K18" s="1098" t="e">
        <f>INDEX(Lookup!$M$9:$M$24,MATCH(I18,Lookup!$K$9:$K$24,0))</f>
        <v>#N/A</v>
      </c>
      <c r="L18" s="339"/>
      <c r="M18" s="340">
        <f t="shared" si="1"/>
        <v>0</v>
      </c>
      <c r="N18" s="340">
        <f t="shared" si="2"/>
        <v>0</v>
      </c>
      <c r="O18" s="341" t="e">
        <f t="shared" si="3"/>
        <v>#N/A</v>
      </c>
      <c r="P18" s="341" t="e">
        <f t="shared" si="4"/>
        <v>#DIV/0!</v>
      </c>
      <c r="Q18" s="398" t="str">
        <f t="shared" si="5"/>
        <v/>
      </c>
      <c r="R18" s="926"/>
      <c r="W18" s="411" t="e">
        <f t="shared" si="6"/>
        <v>#N/A</v>
      </c>
    </row>
    <row r="19" spans="2:23" ht="12.75">
      <c r="B19" s="338"/>
      <c r="C19" s="339"/>
      <c r="D19" s="339"/>
      <c r="E19" s="339"/>
      <c r="F19" s="638">
        <f>IF(E19="",0,INDEX('Interior Lighting'!$L$4:$L$27,MATCH(E19,'Interior Lighting'!$J$4:$J$27,0)))</f>
        <v>0</v>
      </c>
      <c r="G19" s="638" t="e">
        <f t="shared" si="0"/>
        <v>#N/A</v>
      </c>
      <c r="H19" s="1098" t="e">
        <f>INDEX('Interior Lighting'!$M$4:$M$27,MATCH(E19,'Interior Lighting'!$J$4:$J$27,0))</f>
        <v>#N/A</v>
      </c>
      <c r="I19" s="1098" t="e">
        <f>INDEX('Interior Lighting'!$K$4:$K$27,MATCH(E19,'Interior Lighting'!$J$4:$J$27,0))</f>
        <v>#N/A</v>
      </c>
      <c r="J19" s="1098" t="e">
        <f>INDEX(Lookup!$O$9:$O$24,MATCH(I19,Lookup!$K$9:$K$24,0))</f>
        <v>#N/A</v>
      </c>
      <c r="K19" s="1098" t="e">
        <f>INDEX(Lookup!$M$9:$M$24,MATCH(I19,Lookup!$K$9:$K$24,0))</f>
        <v>#N/A</v>
      </c>
      <c r="L19" s="339"/>
      <c r="M19" s="340">
        <f t="shared" si="1"/>
        <v>0</v>
      </c>
      <c r="N19" s="340">
        <f t="shared" si="2"/>
        <v>0</v>
      </c>
      <c r="O19" s="341" t="e">
        <f t="shared" si="3"/>
        <v>#N/A</v>
      </c>
      <c r="P19" s="341" t="e">
        <f t="shared" si="4"/>
        <v>#DIV/0!</v>
      </c>
      <c r="Q19" s="398" t="str">
        <f t="shared" si="5"/>
        <v/>
      </c>
      <c r="R19" s="926"/>
      <c r="W19" s="411" t="e">
        <f t="shared" si="6"/>
        <v>#N/A</v>
      </c>
    </row>
    <row r="20" spans="2:23" ht="12.75">
      <c r="B20" s="338"/>
      <c r="C20" s="339"/>
      <c r="D20" s="339"/>
      <c r="E20" s="339"/>
      <c r="F20" s="638">
        <f>IF(E20="",0,INDEX('Interior Lighting'!$L$4:$L$27,MATCH(E20,'Interior Lighting'!$J$4:$J$27,0)))</f>
        <v>0</v>
      </c>
      <c r="G20" s="638" t="e">
        <f t="shared" si="0"/>
        <v>#N/A</v>
      </c>
      <c r="H20" s="1098" t="e">
        <f>INDEX('Interior Lighting'!$M$4:$M$27,MATCH(E20,'Interior Lighting'!$J$4:$J$27,0))</f>
        <v>#N/A</v>
      </c>
      <c r="I20" s="1098" t="e">
        <f>INDEX('Interior Lighting'!$K$4:$K$27,MATCH(E20,'Interior Lighting'!$J$4:$J$27,0))</f>
        <v>#N/A</v>
      </c>
      <c r="J20" s="1098" t="e">
        <f>INDEX(Lookup!$O$9:$O$24,MATCH(I20,Lookup!$K$9:$K$24,0))</f>
        <v>#N/A</v>
      </c>
      <c r="K20" s="1098" t="e">
        <f>INDEX(Lookup!$M$9:$M$24,MATCH(I20,Lookup!$K$9:$K$24,0))</f>
        <v>#N/A</v>
      </c>
      <c r="L20" s="339"/>
      <c r="M20" s="340">
        <f t="shared" si="1"/>
        <v>0</v>
      </c>
      <c r="N20" s="340">
        <f t="shared" si="2"/>
        <v>0</v>
      </c>
      <c r="O20" s="341" t="e">
        <f t="shared" si="3"/>
        <v>#N/A</v>
      </c>
      <c r="P20" s="341" t="e">
        <f t="shared" si="4"/>
        <v>#DIV/0!</v>
      </c>
      <c r="Q20" s="398" t="str">
        <f t="shared" si="5"/>
        <v/>
      </c>
      <c r="R20" s="926"/>
      <c r="W20" s="411" t="e">
        <f t="shared" si="6"/>
        <v>#N/A</v>
      </c>
    </row>
    <row r="21" spans="2:23" ht="12.75">
      <c r="B21" s="338"/>
      <c r="C21" s="339"/>
      <c r="D21" s="339"/>
      <c r="E21" s="339"/>
      <c r="F21" s="638">
        <f>IF(E21="",0,INDEX('Interior Lighting'!$L$4:$L$27,MATCH(E21,'Interior Lighting'!$J$4:$J$27,0)))</f>
        <v>0</v>
      </c>
      <c r="G21" s="638" t="e">
        <f t="shared" si="0"/>
        <v>#N/A</v>
      </c>
      <c r="H21" s="1098" t="e">
        <f>INDEX('Interior Lighting'!$M$4:$M$27,MATCH(E21,'Interior Lighting'!$J$4:$J$27,0))</f>
        <v>#N/A</v>
      </c>
      <c r="I21" s="1098" t="e">
        <f>INDEX('Interior Lighting'!$K$4:$K$27,MATCH(E21,'Interior Lighting'!$J$4:$J$27,0))</f>
        <v>#N/A</v>
      </c>
      <c r="J21" s="1098" t="e">
        <f>INDEX(Lookup!$O$9:$O$24,MATCH(I21,Lookup!$K$9:$K$24,0))</f>
        <v>#N/A</v>
      </c>
      <c r="K21" s="1098" t="e">
        <f>INDEX(Lookup!$M$9:$M$24,MATCH(I21,Lookup!$K$9:$K$24,0))</f>
        <v>#N/A</v>
      </c>
      <c r="L21" s="339"/>
      <c r="M21" s="340">
        <f t="shared" si="1"/>
        <v>0</v>
      </c>
      <c r="N21" s="340">
        <f t="shared" si="2"/>
        <v>0</v>
      </c>
      <c r="O21" s="341" t="e">
        <f t="shared" si="3"/>
        <v>#N/A</v>
      </c>
      <c r="P21" s="341" t="e">
        <f t="shared" si="4"/>
        <v>#DIV/0!</v>
      </c>
      <c r="Q21" s="398" t="str">
        <f t="shared" si="5"/>
        <v/>
      </c>
      <c r="W21" s="411" t="e">
        <f t="shared" si="6"/>
        <v>#N/A</v>
      </c>
    </row>
    <row r="22" spans="2:23" ht="12.75">
      <c r="B22" s="338"/>
      <c r="C22" s="339"/>
      <c r="D22" s="339"/>
      <c r="E22" s="339"/>
      <c r="F22" s="638">
        <f>IF(E22="",0,INDEX('Interior Lighting'!$L$4:$L$27,MATCH(E22,'Interior Lighting'!$J$4:$J$27,0)))</f>
        <v>0</v>
      </c>
      <c r="G22" s="638" t="e">
        <f t="shared" si="0"/>
        <v>#N/A</v>
      </c>
      <c r="H22" s="1098" t="e">
        <f>INDEX('Interior Lighting'!$M$4:$M$27,MATCH(E22,'Interior Lighting'!$J$4:$J$27,0))</f>
        <v>#N/A</v>
      </c>
      <c r="I22" s="1098" t="e">
        <f>INDEX('Interior Lighting'!$K$4:$K$27,MATCH(E22,'Interior Lighting'!$J$4:$J$27,0))</f>
        <v>#N/A</v>
      </c>
      <c r="J22" s="1098" t="e">
        <f>INDEX(Lookup!$O$9:$O$24,MATCH(I22,Lookup!$K$9:$K$24,0))</f>
        <v>#N/A</v>
      </c>
      <c r="K22" s="1098" t="e">
        <f>INDEX(Lookup!$M$9:$M$24,MATCH(I22,Lookup!$K$9:$K$24,0))</f>
        <v>#N/A</v>
      </c>
      <c r="L22" s="339"/>
      <c r="M22" s="340">
        <f t="shared" si="1"/>
        <v>0</v>
      </c>
      <c r="N22" s="340">
        <f t="shared" si="2"/>
        <v>0</v>
      </c>
      <c r="O22" s="341" t="e">
        <f t="shared" si="3"/>
        <v>#N/A</v>
      </c>
      <c r="P22" s="341" t="e">
        <f t="shared" si="4"/>
        <v>#DIV/0!</v>
      </c>
      <c r="Q22" s="398" t="str">
        <f t="shared" si="5"/>
        <v/>
      </c>
      <c r="W22" s="411" t="e">
        <f t="shared" si="6"/>
        <v>#N/A</v>
      </c>
    </row>
    <row r="23" spans="2:23" ht="12.75">
      <c r="B23" s="338"/>
      <c r="C23" s="339"/>
      <c r="D23" s="339"/>
      <c r="E23" s="339"/>
      <c r="F23" s="638">
        <f>IF(E23="",0,INDEX('Interior Lighting'!$L$4:$L$27,MATCH(E23,'Interior Lighting'!$J$4:$J$27,0)))</f>
        <v>0</v>
      </c>
      <c r="G23" s="638" t="e">
        <f t="shared" si="0"/>
        <v>#N/A</v>
      </c>
      <c r="H23" s="1098" t="e">
        <f>INDEX('Interior Lighting'!$M$4:$M$27,MATCH(E23,'Interior Lighting'!$J$4:$J$27,0))</f>
        <v>#N/A</v>
      </c>
      <c r="I23" s="1098" t="e">
        <f>INDEX('Interior Lighting'!$K$4:$K$27,MATCH(E23,'Interior Lighting'!$J$4:$J$27,0))</f>
        <v>#N/A</v>
      </c>
      <c r="J23" s="1098" t="e">
        <f>INDEX(Lookup!$O$9:$O$24,MATCH(I23,Lookup!$K$9:$K$24,0))</f>
        <v>#N/A</v>
      </c>
      <c r="K23" s="1098" t="e">
        <f>INDEX(Lookup!$M$9:$M$24,MATCH(I23,Lookup!$K$9:$K$24,0))</f>
        <v>#N/A</v>
      </c>
      <c r="L23" s="339"/>
      <c r="M23" s="340">
        <f t="shared" si="1"/>
        <v>0</v>
      </c>
      <c r="N23" s="340">
        <f t="shared" si="2"/>
        <v>0</v>
      </c>
      <c r="O23" s="341" t="e">
        <f t="shared" si="3"/>
        <v>#N/A</v>
      </c>
      <c r="P23" s="341" t="e">
        <f t="shared" si="4"/>
        <v>#DIV/0!</v>
      </c>
      <c r="Q23" s="398" t="str">
        <f t="shared" si="5"/>
        <v/>
      </c>
      <c r="W23" s="411" t="e">
        <f t="shared" si="6"/>
        <v>#N/A</v>
      </c>
    </row>
    <row r="24" spans="2:23" ht="12.75">
      <c r="B24" s="338"/>
      <c r="C24" s="339"/>
      <c r="D24" s="339"/>
      <c r="E24" s="339"/>
      <c r="F24" s="638">
        <f>IF(E24="",0,INDEX('Interior Lighting'!$L$4:$L$27,MATCH(E24,'Interior Lighting'!$J$4:$J$27,0)))</f>
        <v>0</v>
      </c>
      <c r="G24" s="638" t="e">
        <f t="shared" si="0"/>
        <v>#N/A</v>
      </c>
      <c r="H24" s="1098" t="e">
        <f>INDEX('Interior Lighting'!$M$4:$M$27,MATCH(E24,'Interior Lighting'!$J$4:$J$27,0))</f>
        <v>#N/A</v>
      </c>
      <c r="I24" s="1098" t="e">
        <f>INDEX('Interior Lighting'!$K$4:$K$27,MATCH(E24,'Interior Lighting'!$J$4:$J$27,0))</f>
        <v>#N/A</v>
      </c>
      <c r="J24" s="1098" t="e">
        <f>INDEX(Lookup!$O$9:$O$24,MATCH(I24,Lookup!$K$9:$K$24,0))</f>
        <v>#N/A</v>
      </c>
      <c r="K24" s="1098" t="e">
        <f>INDEX(Lookup!$M$9:$M$24,MATCH(I24,Lookup!$K$9:$K$24,0))</f>
        <v>#N/A</v>
      </c>
      <c r="L24" s="339"/>
      <c r="M24" s="340">
        <f t="shared" si="1"/>
        <v>0</v>
      </c>
      <c r="N24" s="340">
        <f t="shared" si="2"/>
        <v>0</v>
      </c>
      <c r="O24" s="341" t="e">
        <f t="shared" si="3"/>
        <v>#N/A</v>
      </c>
      <c r="P24" s="341" t="e">
        <f t="shared" si="4"/>
        <v>#DIV/0!</v>
      </c>
      <c r="Q24" s="398" t="str">
        <f t="shared" si="5"/>
        <v/>
      </c>
      <c r="W24" s="411" t="e">
        <f t="shared" si="6"/>
        <v>#N/A</v>
      </c>
    </row>
    <row r="25" spans="2:23" ht="12.75">
      <c r="B25" s="338"/>
      <c r="C25" s="339"/>
      <c r="D25" s="339"/>
      <c r="E25" s="339"/>
      <c r="F25" s="638">
        <f>IF(E25="",0,INDEX('Interior Lighting'!$L$4:$L$27,MATCH(E25,'Interior Lighting'!$J$4:$J$27,0)))</f>
        <v>0</v>
      </c>
      <c r="G25" s="638" t="e">
        <f t="shared" si="0"/>
        <v>#N/A</v>
      </c>
      <c r="H25" s="1098" t="e">
        <f>INDEX('Interior Lighting'!$M$4:$M$27,MATCH(E25,'Interior Lighting'!$J$4:$J$27,0))</f>
        <v>#N/A</v>
      </c>
      <c r="I25" s="1098" t="e">
        <f>INDEX('Interior Lighting'!$K$4:$K$27,MATCH(E25,'Interior Lighting'!$J$4:$J$27,0))</f>
        <v>#N/A</v>
      </c>
      <c r="J25" s="1098" t="e">
        <f>INDEX(Lookup!$O$9:$O$24,MATCH(I25,Lookup!$K$9:$K$24,0))</f>
        <v>#N/A</v>
      </c>
      <c r="K25" s="1098" t="e">
        <f>INDEX(Lookup!$M$9:$M$24,MATCH(I25,Lookup!$K$9:$K$24,0))</f>
        <v>#N/A</v>
      </c>
      <c r="L25" s="339"/>
      <c r="M25" s="340">
        <f t="shared" si="1"/>
        <v>0</v>
      </c>
      <c r="N25" s="340">
        <f t="shared" si="2"/>
        <v>0</v>
      </c>
      <c r="O25" s="341" t="e">
        <f t="shared" si="3"/>
        <v>#N/A</v>
      </c>
      <c r="P25" s="341" t="e">
        <f t="shared" si="4"/>
        <v>#DIV/0!</v>
      </c>
      <c r="Q25" s="398" t="str">
        <f t="shared" si="5"/>
        <v/>
      </c>
      <c r="W25" s="411" t="e">
        <f t="shared" si="6"/>
        <v>#N/A</v>
      </c>
    </row>
    <row r="26" spans="2:23" ht="12.75">
      <c r="B26" s="338"/>
      <c r="C26" s="339"/>
      <c r="D26" s="339"/>
      <c r="E26" s="339"/>
      <c r="F26" s="638">
        <f>IF(E26="",0,INDEX('Interior Lighting'!$L$4:$L$27,MATCH(E26,'Interior Lighting'!$J$4:$J$27,0)))</f>
        <v>0</v>
      </c>
      <c r="G26" s="638" t="e">
        <f t="shared" si="0"/>
        <v>#N/A</v>
      </c>
      <c r="H26" s="1098" t="e">
        <f>INDEX('Interior Lighting'!$M$4:$M$27,MATCH(E26,'Interior Lighting'!$J$4:$J$27,0))</f>
        <v>#N/A</v>
      </c>
      <c r="I26" s="1098" t="e">
        <f>INDEX('Interior Lighting'!$K$4:$K$27,MATCH(E26,'Interior Lighting'!$J$4:$J$27,0))</f>
        <v>#N/A</v>
      </c>
      <c r="J26" s="1098" t="e">
        <f>INDEX(Lookup!$O$9:$O$24,MATCH(I26,Lookup!$K$9:$K$24,0))</f>
        <v>#N/A</v>
      </c>
      <c r="K26" s="1098" t="e">
        <f>INDEX(Lookup!$M$9:$M$24,MATCH(I26,Lookup!$K$9:$K$24,0))</f>
        <v>#N/A</v>
      </c>
      <c r="L26" s="339"/>
      <c r="M26" s="340">
        <f t="shared" si="1"/>
        <v>0</v>
      </c>
      <c r="N26" s="340">
        <f t="shared" si="2"/>
        <v>0</v>
      </c>
      <c r="O26" s="341" t="e">
        <f t="shared" si="3"/>
        <v>#N/A</v>
      </c>
      <c r="P26" s="341" t="e">
        <f t="shared" si="4"/>
        <v>#DIV/0!</v>
      </c>
      <c r="Q26" s="398" t="str">
        <f t="shared" si="5"/>
        <v/>
      </c>
      <c r="W26" s="411" t="e">
        <f t="shared" si="6"/>
        <v>#N/A</v>
      </c>
    </row>
    <row r="27" spans="2:23" ht="12.75">
      <c r="B27" s="338"/>
      <c r="C27" s="339"/>
      <c r="D27" s="339"/>
      <c r="E27" s="339"/>
      <c r="F27" s="638">
        <f>IF(E27="",0,INDEX('Interior Lighting'!$L$4:$L$27,MATCH(E27,'Interior Lighting'!$J$4:$J$27,0)))</f>
        <v>0</v>
      </c>
      <c r="G27" s="638" t="e">
        <f t="shared" si="0"/>
        <v>#N/A</v>
      </c>
      <c r="H27" s="1098" t="e">
        <f>INDEX('Interior Lighting'!$M$4:$M$27,MATCH(E27,'Interior Lighting'!$J$4:$J$27,0))</f>
        <v>#N/A</v>
      </c>
      <c r="I27" s="1098" t="e">
        <f>INDEX('Interior Lighting'!$K$4:$K$27,MATCH(E27,'Interior Lighting'!$J$4:$J$27,0))</f>
        <v>#N/A</v>
      </c>
      <c r="J27" s="1098" t="e">
        <f>INDEX(Lookup!$O$9:$O$24,MATCH(I27,Lookup!$K$9:$K$24,0))</f>
        <v>#N/A</v>
      </c>
      <c r="K27" s="1098" t="e">
        <f>INDEX(Lookup!$M$9:$M$24,MATCH(I27,Lookup!$K$9:$K$24,0))</f>
        <v>#N/A</v>
      </c>
      <c r="L27" s="339"/>
      <c r="M27" s="340">
        <f t="shared" si="1"/>
        <v>0</v>
      </c>
      <c r="N27" s="340">
        <f t="shared" si="2"/>
        <v>0</v>
      </c>
      <c r="O27" s="341" t="e">
        <f t="shared" si="3"/>
        <v>#N/A</v>
      </c>
      <c r="P27" s="341" t="e">
        <f t="shared" si="4"/>
        <v>#DIV/0!</v>
      </c>
      <c r="Q27" s="398" t="str">
        <f t="shared" si="5"/>
        <v/>
      </c>
      <c r="W27" s="411" t="e">
        <f t="shared" si="6"/>
        <v>#N/A</v>
      </c>
    </row>
    <row r="28" spans="2:23" ht="12.75">
      <c r="B28" s="338"/>
      <c r="C28" s="339"/>
      <c r="D28" s="339"/>
      <c r="E28" s="339"/>
      <c r="F28" s="638">
        <f>IF(E28="",0,INDEX('Interior Lighting'!$L$4:$L$27,MATCH(E28,'Interior Lighting'!$J$4:$J$27,0)))</f>
        <v>0</v>
      </c>
      <c r="G28" s="638" t="e">
        <f t="shared" si="0"/>
        <v>#N/A</v>
      </c>
      <c r="H28" s="1098" t="e">
        <f>INDEX('Interior Lighting'!$M$4:$M$27,MATCH(E28,'Interior Lighting'!$J$4:$J$27,0))</f>
        <v>#N/A</v>
      </c>
      <c r="I28" s="1098" t="e">
        <f>INDEX('Interior Lighting'!$K$4:$K$27,MATCH(E28,'Interior Lighting'!$J$4:$J$27,0))</f>
        <v>#N/A</v>
      </c>
      <c r="J28" s="1098" t="e">
        <f>INDEX(Lookup!$O$9:$O$24,MATCH(I28,Lookup!$K$9:$K$24,0))</f>
        <v>#N/A</v>
      </c>
      <c r="K28" s="1098" t="e">
        <f>INDEX(Lookup!$M$9:$M$24,MATCH(I28,Lookup!$K$9:$K$24,0))</f>
        <v>#N/A</v>
      </c>
      <c r="L28" s="339"/>
      <c r="M28" s="340">
        <f t="shared" si="1"/>
        <v>0</v>
      </c>
      <c r="N28" s="340">
        <f t="shared" si="2"/>
        <v>0</v>
      </c>
      <c r="O28" s="341" t="e">
        <f t="shared" si="3"/>
        <v>#N/A</v>
      </c>
      <c r="P28" s="341" t="e">
        <f t="shared" si="4"/>
        <v>#DIV/0!</v>
      </c>
      <c r="Q28" s="398" t="str">
        <f t="shared" si="5"/>
        <v/>
      </c>
      <c r="W28" s="411" t="e">
        <f t="shared" si="6"/>
        <v>#N/A</v>
      </c>
    </row>
    <row r="29" spans="2:23" ht="12.75">
      <c r="B29" s="338"/>
      <c r="C29" s="339"/>
      <c r="D29" s="339"/>
      <c r="E29" s="339"/>
      <c r="F29" s="638">
        <f>IF(E29="",0,INDEX('Interior Lighting'!$L$4:$L$27,MATCH(E29,'Interior Lighting'!$J$4:$J$27,0)))</f>
        <v>0</v>
      </c>
      <c r="G29" s="638" t="e">
        <f t="shared" si="0"/>
        <v>#N/A</v>
      </c>
      <c r="H29" s="1098" t="e">
        <f>INDEX('Interior Lighting'!$M$4:$M$27,MATCH(E29,'Interior Lighting'!$J$4:$J$27,0))</f>
        <v>#N/A</v>
      </c>
      <c r="I29" s="1098" t="e">
        <f>INDEX('Interior Lighting'!$K$4:$K$27,MATCH(E29,'Interior Lighting'!$J$4:$J$27,0))</f>
        <v>#N/A</v>
      </c>
      <c r="J29" s="1098" t="e">
        <f>INDEX(Lookup!$O$9:$O$24,MATCH(I29,Lookup!$K$9:$K$24,0))</f>
        <v>#N/A</v>
      </c>
      <c r="K29" s="1098" t="e">
        <f>INDEX(Lookup!$M$9:$M$24,MATCH(I29,Lookup!$K$9:$K$24,0))</f>
        <v>#N/A</v>
      </c>
      <c r="L29" s="339"/>
      <c r="M29" s="340">
        <f t="shared" si="1"/>
        <v>0</v>
      </c>
      <c r="N29" s="340">
        <f t="shared" si="2"/>
        <v>0</v>
      </c>
      <c r="O29" s="341" t="e">
        <f t="shared" si="3"/>
        <v>#N/A</v>
      </c>
      <c r="P29" s="341" t="e">
        <f t="shared" si="4"/>
        <v>#DIV/0!</v>
      </c>
      <c r="Q29" s="398" t="str">
        <f t="shared" si="5"/>
        <v/>
      </c>
      <c r="W29" s="411" t="e">
        <f t="shared" si="6"/>
        <v>#N/A</v>
      </c>
    </row>
    <row r="30" spans="2:23" ht="12.75">
      <c r="B30" s="338"/>
      <c r="C30" s="339"/>
      <c r="D30" s="339"/>
      <c r="E30" s="339"/>
      <c r="F30" s="638">
        <f>IF(E30="",0,INDEX('Interior Lighting'!$L$4:$L$27,MATCH(E30,'Interior Lighting'!$J$4:$J$27,0)))</f>
        <v>0</v>
      </c>
      <c r="G30" s="638" t="e">
        <f t="shared" si="0"/>
        <v>#N/A</v>
      </c>
      <c r="H30" s="1098" t="e">
        <f>INDEX('Interior Lighting'!$M$4:$M$27,MATCH(E30,'Interior Lighting'!$J$4:$J$27,0))</f>
        <v>#N/A</v>
      </c>
      <c r="I30" s="1098" t="e">
        <f>INDEX('Interior Lighting'!$K$4:$K$27,MATCH(E30,'Interior Lighting'!$J$4:$J$27,0))</f>
        <v>#N/A</v>
      </c>
      <c r="J30" s="1098" t="e">
        <f>INDEX(Lookup!$O$9:$O$24,MATCH(I30,Lookup!$K$9:$K$24,0))</f>
        <v>#N/A</v>
      </c>
      <c r="K30" s="1098" t="e">
        <f>INDEX(Lookup!$M$9:$M$24,MATCH(I30,Lookup!$K$9:$K$24,0))</f>
        <v>#N/A</v>
      </c>
      <c r="L30" s="339"/>
      <c r="M30" s="340">
        <f t="shared" si="1"/>
        <v>0</v>
      </c>
      <c r="N30" s="340">
        <f t="shared" si="2"/>
        <v>0</v>
      </c>
      <c r="O30" s="341" t="e">
        <f t="shared" si="3"/>
        <v>#N/A</v>
      </c>
      <c r="P30" s="341" t="e">
        <f t="shared" si="4"/>
        <v>#DIV/0!</v>
      </c>
      <c r="Q30" s="398" t="str">
        <f t="shared" si="5"/>
        <v/>
      </c>
      <c r="W30" s="411" t="e">
        <f t="shared" si="6"/>
        <v>#N/A</v>
      </c>
    </row>
    <row r="31" spans="2:23" ht="12.75">
      <c r="B31" s="338"/>
      <c r="C31" s="339"/>
      <c r="D31" s="339"/>
      <c r="E31" s="339"/>
      <c r="F31" s="638">
        <f>IF(E31="",0,INDEX('Interior Lighting'!$L$4:$L$27,MATCH(E31,'Interior Lighting'!$J$4:$J$27,0)))</f>
        <v>0</v>
      </c>
      <c r="G31" s="638" t="e">
        <f t="shared" si="0"/>
        <v>#N/A</v>
      </c>
      <c r="H31" s="1098" t="e">
        <f>INDEX('Interior Lighting'!$M$4:$M$27,MATCH(E31,'Interior Lighting'!$J$4:$J$27,0))</f>
        <v>#N/A</v>
      </c>
      <c r="I31" s="1098" t="e">
        <f>INDEX('Interior Lighting'!$K$4:$K$27,MATCH(E31,'Interior Lighting'!$J$4:$J$27,0))</f>
        <v>#N/A</v>
      </c>
      <c r="J31" s="1098" t="e">
        <f>INDEX(Lookup!$O$9:$O$24,MATCH(I31,Lookup!$K$9:$K$24,0))</f>
        <v>#N/A</v>
      </c>
      <c r="K31" s="1098" t="e">
        <f>INDEX(Lookup!$M$9:$M$24,MATCH(I31,Lookup!$K$9:$K$24,0))</f>
        <v>#N/A</v>
      </c>
      <c r="L31" s="339"/>
      <c r="M31" s="340">
        <f t="shared" si="1"/>
        <v>0</v>
      </c>
      <c r="N31" s="340">
        <f t="shared" si="2"/>
        <v>0</v>
      </c>
      <c r="O31" s="341" t="e">
        <f t="shared" si="3"/>
        <v>#N/A</v>
      </c>
      <c r="P31" s="341" t="e">
        <f t="shared" si="4"/>
        <v>#DIV/0!</v>
      </c>
      <c r="Q31" s="398" t="str">
        <f t="shared" si="5"/>
        <v/>
      </c>
      <c r="W31" s="411" t="e">
        <f t="shared" si="6"/>
        <v>#N/A</v>
      </c>
    </row>
    <row r="32" spans="2:23" ht="12.75">
      <c r="B32" s="338"/>
      <c r="C32" s="339"/>
      <c r="D32" s="339"/>
      <c r="E32" s="339"/>
      <c r="F32" s="638">
        <f>IF(E32="",0,INDEX('Interior Lighting'!$L$4:$L$27,MATCH(E32,'Interior Lighting'!$J$4:$J$27,0)))</f>
        <v>0</v>
      </c>
      <c r="G32" s="638" t="e">
        <f t="shared" si="0"/>
        <v>#N/A</v>
      </c>
      <c r="H32" s="1098" t="e">
        <f>INDEX('Interior Lighting'!$M$4:$M$27,MATCH(E32,'Interior Lighting'!$J$4:$J$27,0))</f>
        <v>#N/A</v>
      </c>
      <c r="I32" s="1098" t="e">
        <f>INDEX('Interior Lighting'!$K$4:$K$27,MATCH(E32,'Interior Lighting'!$J$4:$J$27,0))</f>
        <v>#N/A</v>
      </c>
      <c r="J32" s="1098" t="e">
        <f>INDEX(Lookup!$O$9:$O$24,MATCH(I32,Lookup!$K$9:$K$24,0))</f>
        <v>#N/A</v>
      </c>
      <c r="K32" s="1098" t="e">
        <f>INDEX(Lookup!$M$9:$M$24,MATCH(I32,Lookup!$K$9:$K$24,0))</f>
        <v>#N/A</v>
      </c>
      <c r="L32" s="339"/>
      <c r="M32" s="340">
        <f t="shared" si="1"/>
        <v>0</v>
      </c>
      <c r="N32" s="340">
        <f t="shared" si="2"/>
        <v>0</v>
      </c>
      <c r="O32" s="341" t="e">
        <f t="shared" si="3"/>
        <v>#N/A</v>
      </c>
      <c r="P32" s="341" t="e">
        <f t="shared" si="4"/>
        <v>#DIV/0!</v>
      </c>
      <c r="Q32" s="398" t="str">
        <f t="shared" si="5"/>
        <v/>
      </c>
      <c r="W32" s="411" t="e">
        <f t="shared" si="6"/>
        <v>#N/A</v>
      </c>
    </row>
    <row r="33" spans="2:23" ht="12.75">
      <c r="B33" s="338"/>
      <c r="C33" s="339"/>
      <c r="D33" s="339"/>
      <c r="E33" s="339"/>
      <c r="F33" s="638">
        <f>IF(E33="",0,INDEX('Interior Lighting'!$L$4:$L$27,MATCH(E33,'Interior Lighting'!$J$4:$J$27,0)))</f>
        <v>0</v>
      </c>
      <c r="G33" s="638" t="e">
        <f t="shared" si="0"/>
        <v>#N/A</v>
      </c>
      <c r="H33" s="1098" t="e">
        <f>INDEX('Interior Lighting'!$M$4:$M$27,MATCH(E33,'Interior Lighting'!$J$4:$J$27,0))</f>
        <v>#N/A</v>
      </c>
      <c r="I33" s="1098" t="e">
        <f>INDEX('Interior Lighting'!$K$4:$K$27,MATCH(E33,'Interior Lighting'!$J$4:$J$27,0))</f>
        <v>#N/A</v>
      </c>
      <c r="J33" s="1098" t="e">
        <f>INDEX(Lookup!$O$9:$O$24,MATCH(I33,Lookup!$K$9:$K$24,0))</f>
        <v>#N/A</v>
      </c>
      <c r="K33" s="1098" t="e">
        <f>INDEX(Lookup!$M$9:$M$24,MATCH(I33,Lookup!$K$9:$K$24,0))</f>
        <v>#N/A</v>
      </c>
      <c r="L33" s="339"/>
      <c r="M33" s="340">
        <f t="shared" si="1"/>
        <v>0</v>
      </c>
      <c r="N33" s="340">
        <f t="shared" si="2"/>
        <v>0</v>
      </c>
      <c r="O33" s="341" t="e">
        <f t="shared" si="3"/>
        <v>#N/A</v>
      </c>
      <c r="P33" s="341" t="e">
        <f t="shared" si="4"/>
        <v>#DIV/0!</v>
      </c>
      <c r="Q33" s="398" t="str">
        <f t="shared" si="5"/>
        <v/>
      </c>
      <c r="W33" s="411" t="e">
        <f t="shared" si="6"/>
        <v>#N/A</v>
      </c>
    </row>
    <row r="34" spans="2:23" ht="12.75">
      <c r="B34" s="338"/>
      <c r="C34" s="339"/>
      <c r="D34" s="339"/>
      <c r="E34" s="339"/>
      <c r="F34" s="638">
        <f>IF(E34="",0,INDEX('Interior Lighting'!$L$4:$L$27,MATCH(E34,'Interior Lighting'!$J$4:$J$27,0)))</f>
        <v>0</v>
      </c>
      <c r="G34" s="638" t="e">
        <f t="shared" si="0"/>
        <v>#N/A</v>
      </c>
      <c r="H34" s="1098" t="e">
        <f>INDEX('Interior Lighting'!$M$4:$M$27,MATCH(E34,'Interior Lighting'!$J$4:$J$27,0))</f>
        <v>#N/A</v>
      </c>
      <c r="I34" s="1098" t="e">
        <f>INDEX('Interior Lighting'!$K$4:$K$27,MATCH(E34,'Interior Lighting'!$J$4:$J$27,0))</f>
        <v>#N/A</v>
      </c>
      <c r="J34" s="1098" t="e">
        <f>INDEX(Lookup!$O$9:$O$24,MATCH(I34,Lookup!$K$9:$K$24,0))</f>
        <v>#N/A</v>
      </c>
      <c r="K34" s="1098" t="e">
        <f>INDEX(Lookup!$M$9:$M$24,MATCH(I34,Lookup!$K$9:$K$24,0))</f>
        <v>#N/A</v>
      </c>
      <c r="L34" s="339"/>
      <c r="M34" s="340">
        <f t="shared" si="1"/>
        <v>0</v>
      </c>
      <c r="N34" s="340">
        <f t="shared" si="2"/>
        <v>0</v>
      </c>
      <c r="O34" s="341" t="e">
        <f t="shared" si="3"/>
        <v>#N/A</v>
      </c>
      <c r="P34" s="341" t="e">
        <f t="shared" si="4"/>
        <v>#DIV/0!</v>
      </c>
      <c r="Q34" s="398" t="str">
        <f t="shared" si="5"/>
        <v/>
      </c>
      <c r="W34" s="411" t="e">
        <f t="shared" si="6"/>
        <v>#N/A</v>
      </c>
    </row>
    <row r="35" spans="2:23" ht="12.75">
      <c r="B35" s="338"/>
      <c r="C35" s="339"/>
      <c r="D35" s="339"/>
      <c r="E35" s="339"/>
      <c r="F35" s="638">
        <f>IF(E35="",0,INDEX('Interior Lighting'!$L$4:$L$27,MATCH(E35,'Interior Lighting'!$J$4:$J$27,0)))</f>
        <v>0</v>
      </c>
      <c r="G35" s="638" t="e">
        <f t="shared" si="0"/>
        <v>#N/A</v>
      </c>
      <c r="H35" s="1098" t="e">
        <f>INDEX('Interior Lighting'!$M$4:$M$27,MATCH(E35,'Interior Lighting'!$J$4:$J$27,0))</f>
        <v>#N/A</v>
      </c>
      <c r="I35" s="1098" t="e">
        <f>INDEX('Interior Lighting'!$K$4:$K$27,MATCH(E35,'Interior Lighting'!$J$4:$J$27,0))</f>
        <v>#N/A</v>
      </c>
      <c r="J35" s="1098" t="e">
        <f>INDEX(Lookup!$O$9:$O$24,MATCH(I35,Lookup!$K$9:$K$24,0))</f>
        <v>#N/A</v>
      </c>
      <c r="K35" s="1098" t="e">
        <f>INDEX(Lookup!$M$9:$M$24,MATCH(I35,Lookup!$K$9:$K$24,0))</f>
        <v>#N/A</v>
      </c>
      <c r="L35" s="339"/>
      <c r="M35" s="340">
        <f t="shared" si="1"/>
        <v>0</v>
      </c>
      <c r="N35" s="340">
        <f t="shared" si="2"/>
        <v>0</v>
      </c>
      <c r="O35" s="341" t="e">
        <f t="shared" si="3"/>
        <v>#N/A</v>
      </c>
      <c r="P35" s="341" t="e">
        <f t="shared" si="4"/>
        <v>#DIV/0!</v>
      </c>
      <c r="Q35" s="398" t="str">
        <f t="shared" si="5"/>
        <v/>
      </c>
      <c r="R35" s="927"/>
      <c r="W35" s="411" t="e">
        <f t="shared" si="6"/>
        <v>#N/A</v>
      </c>
    </row>
    <row r="36" spans="2:23" ht="12.75">
      <c r="B36" s="338"/>
      <c r="C36" s="339"/>
      <c r="D36" s="339"/>
      <c r="E36" s="339"/>
      <c r="F36" s="638">
        <f>IF(E36="",0,INDEX('Interior Lighting'!$L$4:$L$27,MATCH(E36,'Interior Lighting'!$J$4:$J$27,0)))</f>
        <v>0</v>
      </c>
      <c r="G36" s="638" t="e">
        <f t="shared" si="0"/>
        <v>#N/A</v>
      </c>
      <c r="H36" s="1098" t="e">
        <f>INDEX('Interior Lighting'!$M$4:$M$27,MATCH(E36,'Interior Lighting'!$J$4:$J$27,0))</f>
        <v>#N/A</v>
      </c>
      <c r="I36" s="1098" t="e">
        <f>INDEX('Interior Lighting'!$K$4:$K$27,MATCH(E36,'Interior Lighting'!$J$4:$J$27,0))</f>
        <v>#N/A</v>
      </c>
      <c r="J36" s="1098" t="e">
        <f>INDEX(Lookup!$O$9:$O$24,MATCH(I36,Lookup!$K$9:$K$24,0))</f>
        <v>#N/A</v>
      </c>
      <c r="K36" s="1098" t="e">
        <f>INDEX(Lookup!$M$9:$M$24,MATCH(I36,Lookup!$K$9:$K$24,0))</f>
        <v>#N/A</v>
      </c>
      <c r="L36" s="339"/>
      <c r="M36" s="340">
        <f t="shared" si="1"/>
        <v>0</v>
      </c>
      <c r="N36" s="340">
        <f t="shared" si="2"/>
        <v>0</v>
      </c>
      <c r="O36" s="341" t="e">
        <f t="shared" si="3"/>
        <v>#N/A</v>
      </c>
      <c r="P36" s="341" t="e">
        <f t="shared" si="4"/>
        <v>#DIV/0!</v>
      </c>
      <c r="Q36" s="398" t="str">
        <f t="shared" si="5"/>
        <v/>
      </c>
      <c r="W36" s="411" t="e">
        <f t="shared" si="6"/>
        <v>#N/A</v>
      </c>
    </row>
    <row r="37" spans="2:23" ht="12.75">
      <c r="B37" s="338"/>
      <c r="C37" s="339"/>
      <c r="D37" s="339"/>
      <c r="E37" s="339"/>
      <c r="F37" s="638">
        <f>IF(E37="",0,INDEX('Interior Lighting'!$L$4:$L$27,MATCH(E37,'Interior Lighting'!$J$4:$J$27,0)))</f>
        <v>0</v>
      </c>
      <c r="G37" s="638" t="e">
        <f t="shared" si="0"/>
        <v>#N/A</v>
      </c>
      <c r="H37" s="1098" t="e">
        <f>INDEX('Interior Lighting'!$M$4:$M$27,MATCH(E37,'Interior Lighting'!$J$4:$J$27,0))</f>
        <v>#N/A</v>
      </c>
      <c r="I37" s="1098" t="e">
        <f>INDEX('Interior Lighting'!$K$4:$K$27,MATCH(E37,'Interior Lighting'!$J$4:$J$27,0))</f>
        <v>#N/A</v>
      </c>
      <c r="J37" s="1098" t="e">
        <f>INDEX(Lookup!$O$9:$O$24,MATCH(I37,Lookup!$K$9:$K$24,0))</f>
        <v>#N/A</v>
      </c>
      <c r="K37" s="1098" t="e">
        <f>INDEX(Lookup!$M$9:$M$24,MATCH(I37,Lookup!$K$9:$K$24,0))</f>
        <v>#N/A</v>
      </c>
      <c r="L37" s="339"/>
      <c r="M37" s="340">
        <f t="shared" si="1"/>
        <v>0</v>
      </c>
      <c r="N37" s="340">
        <f t="shared" si="2"/>
        <v>0</v>
      </c>
      <c r="O37" s="341" t="e">
        <f t="shared" si="3"/>
        <v>#N/A</v>
      </c>
      <c r="P37" s="341" t="e">
        <f t="shared" si="4"/>
        <v>#DIV/0!</v>
      </c>
      <c r="Q37" s="398" t="str">
        <f t="shared" si="5"/>
        <v/>
      </c>
      <c r="W37" s="411" t="e">
        <f t="shared" si="6"/>
        <v>#N/A</v>
      </c>
    </row>
    <row r="38" spans="2:23" ht="12.75">
      <c r="B38" s="338"/>
      <c r="C38" s="339"/>
      <c r="D38" s="339"/>
      <c r="E38" s="339"/>
      <c r="F38" s="638">
        <f>IF(E38="",0,INDEX('Interior Lighting'!$L$4:$L$27,MATCH(E38,'Interior Lighting'!$J$4:$J$27,0)))</f>
        <v>0</v>
      </c>
      <c r="G38" s="638" t="e">
        <f t="shared" si="0"/>
        <v>#N/A</v>
      </c>
      <c r="H38" s="1098" t="e">
        <f>INDEX('Interior Lighting'!$M$4:$M$27,MATCH(E38,'Interior Lighting'!$J$4:$J$27,0))</f>
        <v>#N/A</v>
      </c>
      <c r="I38" s="1098" t="e">
        <f>INDEX('Interior Lighting'!$K$4:$K$27,MATCH(E38,'Interior Lighting'!$J$4:$J$27,0))</f>
        <v>#N/A</v>
      </c>
      <c r="J38" s="1098" t="e">
        <f>INDEX(Lookup!$O$9:$O$24,MATCH(I38,Lookup!$K$9:$K$24,0))</f>
        <v>#N/A</v>
      </c>
      <c r="K38" s="1098" t="e">
        <f>INDEX(Lookup!$M$9:$M$24,MATCH(I38,Lookup!$K$9:$K$24,0))</f>
        <v>#N/A</v>
      </c>
      <c r="L38" s="339"/>
      <c r="M38" s="340">
        <f t="shared" si="1"/>
        <v>0</v>
      </c>
      <c r="N38" s="340">
        <f t="shared" si="2"/>
        <v>0</v>
      </c>
      <c r="O38" s="341" t="e">
        <f t="shared" si="3"/>
        <v>#N/A</v>
      </c>
      <c r="P38" s="341" t="e">
        <f t="shared" si="4"/>
        <v>#DIV/0!</v>
      </c>
      <c r="Q38" s="398" t="str">
        <f t="shared" si="5"/>
        <v/>
      </c>
      <c r="W38" s="411" t="e">
        <f t="shared" si="6"/>
        <v>#N/A</v>
      </c>
    </row>
    <row r="39" spans="2:23" ht="12.75">
      <c r="B39" s="338"/>
      <c r="C39" s="339"/>
      <c r="D39" s="339"/>
      <c r="E39" s="339"/>
      <c r="F39" s="638">
        <f>IF(E39="",0,INDEX('Interior Lighting'!$L$4:$L$27,MATCH(E39,'Interior Lighting'!$J$4:$J$27,0)))</f>
        <v>0</v>
      </c>
      <c r="G39" s="638" t="e">
        <f t="shared" si="0"/>
        <v>#N/A</v>
      </c>
      <c r="H39" s="1098" t="e">
        <f>INDEX('Interior Lighting'!$M$4:$M$27,MATCH(E39,'Interior Lighting'!$J$4:$J$27,0))</f>
        <v>#N/A</v>
      </c>
      <c r="I39" s="1098" t="e">
        <f>INDEX('Interior Lighting'!$K$4:$K$27,MATCH(E39,'Interior Lighting'!$J$4:$J$27,0))</f>
        <v>#N/A</v>
      </c>
      <c r="J39" s="1098" t="e">
        <f>INDEX(Lookup!$O$9:$O$24,MATCH(I39,Lookup!$K$9:$K$24,0))</f>
        <v>#N/A</v>
      </c>
      <c r="K39" s="1098" t="e">
        <f>INDEX(Lookup!$M$9:$M$24,MATCH(I39,Lookup!$K$9:$K$24,0))</f>
        <v>#N/A</v>
      </c>
      <c r="L39" s="339"/>
      <c r="M39" s="340">
        <f t="shared" si="1"/>
        <v>0</v>
      </c>
      <c r="N39" s="340">
        <f t="shared" si="2"/>
        <v>0</v>
      </c>
      <c r="O39" s="341" t="e">
        <f t="shared" si="3"/>
        <v>#N/A</v>
      </c>
      <c r="P39" s="341" t="e">
        <f t="shared" si="4"/>
        <v>#DIV/0!</v>
      </c>
      <c r="Q39" s="398" t="str">
        <f t="shared" si="5"/>
        <v/>
      </c>
      <c r="R39" s="416"/>
      <c r="W39" s="411" t="e">
        <f t="shared" si="6"/>
        <v>#N/A</v>
      </c>
    </row>
    <row r="40" spans="2:23" ht="12.75">
      <c r="B40" s="338"/>
      <c r="C40" s="339"/>
      <c r="D40" s="339"/>
      <c r="E40" s="339"/>
      <c r="F40" s="638">
        <f>IF(E40="",0,INDEX('Interior Lighting'!$L$4:$L$27,MATCH(E40,'Interior Lighting'!$J$4:$J$27,0)))</f>
        <v>0</v>
      </c>
      <c r="G40" s="638" t="e">
        <f t="shared" si="0"/>
        <v>#N/A</v>
      </c>
      <c r="H40" s="1098" t="e">
        <f>INDEX('Interior Lighting'!$M$4:$M$27,MATCH(E40,'Interior Lighting'!$J$4:$J$27,0))</f>
        <v>#N/A</v>
      </c>
      <c r="I40" s="1098" t="e">
        <f>INDEX('Interior Lighting'!$K$4:$K$27,MATCH(E40,'Interior Lighting'!$J$4:$J$27,0))</f>
        <v>#N/A</v>
      </c>
      <c r="J40" s="1098" t="e">
        <f>INDEX(Lookup!$O$9:$O$24,MATCH(I40,Lookup!$K$9:$K$24,0))</f>
        <v>#N/A</v>
      </c>
      <c r="K40" s="1098" t="e">
        <f>INDEX(Lookup!$M$9:$M$24,MATCH(I40,Lookup!$K$9:$K$24,0))</f>
        <v>#N/A</v>
      </c>
      <c r="L40" s="339"/>
      <c r="M40" s="340">
        <f t="shared" si="1"/>
        <v>0</v>
      </c>
      <c r="N40" s="340">
        <f t="shared" si="2"/>
        <v>0</v>
      </c>
      <c r="O40" s="341" t="e">
        <f t="shared" si="3"/>
        <v>#N/A</v>
      </c>
      <c r="P40" s="341" t="e">
        <f t="shared" si="4"/>
        <v>#DIV/0!</v>
      </c>
      <c r="Q40" s="398" t="str">
        <f t="shared" si="5"/>
        <v/>
      </c>
      <c r="W40" s="411" t="e">
        <f t="shared" si="6"/>
        <v>#N/A</v>
      </c>
    </row>
    <row r="41" spans="2:23" ht="12.75">
      <c r="B41" s="338"/>
      <c r="C41" s="339"/>
      <c r="D41" s="339"/>
      <c r="E41" s="339"/>
      <c r="F41" s="638">
        <f>IF(E41="",0,INDEX('Interior Lighting'!$L$4:$L$27,MATCH(E41,'Interior Lighting'!$J$4:$J$27,0)))</f>
        <v>0</v>
      </c>
      <c r="G41" s="638" t="e">
        <f t="shared" si="0"/>
        <v>#N/A</v>
      </c>
      <c r="H41" s="1098" t="e">
        <f>INDEX('Interior Lighting'!$M$4:$M$27,MATCH(E41,'Interior Lighting'!$J$4:$J$27,0))</f>
        <v>#N/A</v>
      </c>
      <c r="I41" s="1098" t="e">
        <f>INDEX('Interior Lighting'!$K$4:$K$27,MATCH(E41,'Interior Lighting'!$J$4:$J$27,0))</f>
        <v>#N/A</v>
      </c>
      <c r="J41" s="1098" t="e">
        <f>INDEX(Lookup!$O$9:$O$24,MATCH(I41,Lookup!$K$9:$K$24,0))</f>
        <v>#N/A</v>
      </c>
      <c r="K41" s="1098" t="e">
        <f>INDEX(Lookup!$M$9:$M$24,MATCH(I41,Lookup!$K$9:$K$24,0))</f>
        <v>#N/A</v>
      </c>
      <c r="L41" s="339"/>
      <c r="M41" s="340">
        <f t="shared" si="1"/>
        <v>0</v>
      </c>
      <c r="N41" s="340">
        <f t="shared" si="2"/>
        <v>0</v>
      </c>
      <c r="O41" s="341" t="e">
        <f t="shared" si="3"/>
        <v>#N/A</v>
      </c>
      <c r="P41" s="341" t="e">
        <f t="shared" si="4"/>
        <v>#DIV/0!</v>
      </c>
      <c r="Q41" s="398" t="str">
        <f t="shared" si="5"/>
        <v/>
      </c>
      <c r="W41" s="411" t="e">
        <f t="shared" si="6"/>
        <v>#N/A</v>
      </c>
    </row>
    <row r="42" spans="2:23" ht="12.75">
      <c r="B42" s="338"/>
      <c r="C42" s="339"/>
      <c r="D42" s="339"/>
      <c r="E42" s="339"/>
      <c r="F42" s="638">
        <f>IF(E42="",0,INDEX('Interior Lighting'!$L$4:$L$27,MATCH(E42,'Interior Lighting'!$J$4:$J$27,0)))</f>
        <v>0</v>
      </c>
      <c r="G42" s="638" t="e">
        <f t="shared" si="0"/>
        <v>#N/A</v>
      </c>
      <c r="H42" s="1098" t="e">
        <f>INDEX('Interior Lighting'!$M$4:$M$27,MATCH(E42,'Interior Lighting'!$J$4:$J$27,0))</f>
        <v>#N/A</v>
      </c>
      <c r="I42" s="1098" t="e">
        <f>INDEX('Interior Lighting'!$K$4:$K$27,MATCH(E42,'Interior Lighting'!$J$4:$J$27,0))</f>
        <v>#N/A</v>
      </c>
      <c r="J42" s="1098" t="e">
        <f>INDEX(Lookup!$O$9:$O$24,MATCH(I42,Lookup!$K$9:$K$24,0))</f>
        <v>#N/A</v>
      </c>
      <c r="K42" s="1098" t="e">
        <f>INDEX(Lookup!$M$9:$M$24,MATCH(I42,Lookup!$K$9:$K$24,0))</f>
        <v>#N/A</v>
      </c>
      <c r="L42" s="339"/>
      <c r="M42" s="340">
        <f t="shared" si="1"/>
        <v>0</v>
      </c>
      <c r="N42" s="340">
        <f t="shared" si="2"/>
        <v>0</v>
      </c>
      <c r="O42" s="341" t="e">
        <f t="shared" si="3"/>
        <v>#N/A</v>
      </c>
      <c r="P42" s="341" t="e">
        <f t="shared" si="4"/>
        <v>#DIV/0!</v>
      </c>
      <c r="Q42" s="398" t="str">
        <f t="shared" si="5"/>
        <v/>
      </c>
      <c r="W42" s="411" t="e">
        <f t="shared" si="6"/>
        <v>#N/A</v>
      </c>
    </row>
    <row r="43" spans="2:23" ht="12.75">
      <c r="B43" s="338"/>
      <c r="C43" s="339"/>
      <c r="D43" s="339"/>
      <c r="E43" s="339"/>
      <c r="F43" s="638">
        <f>IF(E43="",0,INDEX('Interior Lighting'!$L$4:$L$27,MATCH(E43,'Interior Lighting'!$J$4:$J$27,0)))</f>
        <v>0</v>
      </c>
      <c r="G43" s="638" t="e">
        <f t="shared" si="0"/>
        <v>#N/A</v>
      </c>
      <c r="H43" s="1098" t="e">
        <f>INDEX('Interior Lighting'!$M$4:$M$27,MATCH(E43,'Interior Lighting'!$J$4:$J$27,0))</f>
        <v>#N/A</v>
      </c>
      <c r="I43" s="1098" t="e">
        <f>INDEX('Interior Lighting'!$K$4:$K$27,MATCH(E43,'Interior Lighting'!$J$4:$J$27,0))</f>
        <v>#N/A</v>
      </c>
      <c r="J43" s="1098" t="e">
        <f>INDEX(Lookup!$O$9:$O$24,MATCH(I43,Lookup!$K$9:$K$24,0))</f>
        <v>#N/A</v>
      </c>
      <c r="K43" s="1098" t="e">
        <f>INDEX(Lookup!$M$9:$M$24,MATCH(I43,Lookup!$K$9:$K$24,0))</f>
        <v>#N/A</v>
      </c>
      <c r="L43" s="339"/>
      <c r="M43" s="340">
        <f t="shared" si="1"/>
        <v>0</v>
      </c>
      <c r="N43" s="340">
        <f t="shared" si="2"/>
        <v>0</v>
      </c>
      <c r="O43" s="341" t="e">
        <f t="shared" si="3"/>
        <v>#N/A</v>
      </c>
      <c r="P43" s="341" t="e">
        <f t="shared" si="4"/>
        <v>#DIV/0!</v>
      </c>
      <c r="Q43" s="398" t="str">
        <f t="shared" si="5"/>
        <v/>
      </c>
      <c r="W43" s="411" t="e">
        <f t="shared" si="6"/>
        <v>#N/A</v>
      </c>
    </row>
    <row r="44" spans="2:23" ht="12.75">
      <c r="B44" s="338"/>
      <c r="C44" s="339"/>
      <c r="D44" s="339"/>
      <c r="E44" s="339"/>
      <c r="F44" s="638">
        <f>IF(E44="",0,INDEX('Interior Lighting'!$L$4:$L$27,MATCH(E44,'Interior Lighting'!$J$4:$J$27,0)))</f>
        <v>0</v>
      </c>
      <c r="G44" s="638" t="e">
        <f t="shared" si="0"/>
        <v>#N/A</v>
      </c>
      <c r="H44" s="1098" t="e">
        <f>INDEX('Interior Lighting'!$M$4:$M$27,MATCH(E44,'Interior Lighting'!$J$4:$J$27,0))</f>
        <v>#N/A</v>
      </c>
      <c r="I44" s="1098" t="e">
        <f>INDEX('Interior Lighting'!$K$4:$K$27,MATCH(E44,'Interior Lighting'!$J$4:$J$27,0))</f>
        <v>#N/A</v>
      </c>
      <c r="J44" s="1098" t="e">
        <f>INDEX(Lookup!$O$9:$O$24,MATCH(I44,Lookup!$K$9:$K$24,0))</f>
        <v>#N/A</v>
      </c>
      <c r="K44" s="1098" t="e">
        <f>INDEX(Lookup!$M$9:$M$24,MATCH(I44,Lookup!$K$9:$K$24,0))</f>
        <v>#N/A</v>
      </c>
      <c r="L44" s="339"/>
      <c r="M44" s="340">
        <f t="shared" si="1"/>
        <v>0</v>
      </c>
      <c r="N44" s="340">
        <f t="shared" si="2"/>
        <v>0</v>
      </c>
      <c r="O44" s="341" t="e">
        <f t="shared" si="3"/>
        <v>#N/A</v>
      </c>
      <c r="P44" s="341" t="e">
        <f t="shared" si="4"/>
        <v>#DIV/0!</v>
      </c>
      <c r="Q44" s="398" t="str">
        <f t="shared" si="5"/>
        <v/>
      </c>
      <c r="R44" s="416"/>
      <c r="W44" s="411" t="e">
        <f t="shared" si="6"/>
        <v>#N/A</v>
      </c>
    </row>
    <row r="45" spans="2:23">
      <c r="L45" s="416"/>
      <c r="M45" s="416"/>
      <c r="N45" s="416"/>
      <c r="O45" s="416"/>
      <c r="P45" s="416"/>
      <c r="Q45" s="416"/>
      <c r="R45" s="416"/>
    </row>
    <row r="46" spans="2:23">
      <c r="L46" s="416"/>
      <c r="M46" s="416"/>
      <c r="N46" s="416"/>
      <c r="O46" s="416"/>
      <c r="P46" s="416"/>
      <c r="Q46" s="416"/>
      <c r="R46" s="416"/>
    </row>
    <row r="47" spans="2:23">
      <c r="B47" s="1239" t="s">
        <v>615</v>
      </c>
      <c r="C47" s="1240"/>
      <c r="D47" s="1240"/>
      <c r="E47" s="1240"/>
      <c r="F47" s="1241"/>
      <c r="G47" s="928"/>
      <c r="H47" s="1101"/>
      <c r="I47" s="1101"/>
      <c r="J47" s="1101"/>
      <c r="K47" s="1101"/>
      <c r="L47" s="929"/>
      <c r="M47" s="438" t="e">
        <f>SUM(W16:W44)/F48</f>
        <v>#N/A</v>
      </c>
      <c r="N47" s="676" t="s">
        <v>1245</v>
      </c>
      <c r="O47" s="54"/>
      <c r="P47" s="54"/>
      <c r="Q47" s="416"/>
      <c r="R47" s="416"/>
    </row>
    <row r="48" spans="2:23">
      <c r="B48" s="1623" t="s">
        <v>1014</v>
      </c>
      <c r="C48" s="1624"/>
      <c r="D48" s="1624"/>
      <c r="E48" s="1625"/>
      <c r="F48" s="340">
        <f>SUM(M16:M44)</f>
        <v>0</v>
      </c>
      <c r="G48" s="930"/>
      <c r="H48" s="930"/>
      <c r="I48" s="930"/>
      <c r="J48" s="930"/>
      <c r="K48" s="930"/>
      <c r="L48" s="877"/>
      <c r="M48" s="416"/>
      <c r="N48" s="416"/>
      <c r="O48" s="416"/>
      <c r="P48" s="416"/>
      <c r="Q48" s="416"/>
      <c r="R48" s="416"/>
    </row>
    <row r="49" spans="2:18">
      <c r="B49" s="1623" t="s">
        <v>1015</v>
      </c>
      <c r="C49" s="1624"/>
      <c r="D49" s="1624"/>
      <c r="E49" s="1625"/>
      <c r="F49" s="340">
        <f>SUM(N16:N44)</f>
        <v>0</v>
      </c>
      <c r="G49" s="842"/>
      <c r="H49" s="842"/>
      <c r="I49" s="842"/>
      <c r="J49" s="842"/>
      <c r="K49" s="842"/>
      <c r="L49" s="877"/>
      <c r="M49" s="416"/>
      <c r="N49" s="416"/>
      <c r="O49" s="416"/>
      <c r="P49" s="416"/>
      <c r="Q49" s="416"/>
      <c r="R49" s="416"/>
    </row>
    <row r="50" spans="2:18">
      <c r="B50" s="1623" t="s">
        <v>1016</v>
      </c>
      <c r="C50" s="1624"/>
      <c r="D50" s="1624"/>
      <c r="E50" s="1625"/>
      <c r="F50" s="935" t="str">
        <f>IF(F48=0,"NA",F49/F48)</f>
        <v>NA</v>
      </c>
      <c r="M50" s="416"/>
      <c r="N50" s="416"/>
      <c r="O50" s="416"/>
      <c r="P50" s="416"/>
    </row>
    <row r="51" spans="2:18">
      <c r="B51" s="1618" t="s">
        <v>1017</v>
      </c>
      <c r="C51" s="1619"/>
      <c r="D51" s="1619"/>
      <c r="E51" s="1620"/>
      <c r="F51" s="936" t="e">
        <f>(F49+F52*('Basic Info'!C12-F48))/('Basic Info'!C12)</f>
        <v>#DIV/0!</v>
      </c>
    </row>
    <row r="52" spans="2:18">
      <c r="B52" s="1618" t="s">
        <v>1018</v>
      </c>
      <c r="C52" s="1619"/>
      <c r="D52" s="1619"/>
      <c r="E52" s="1620"/>
      <c r="F52" s="900">
        <v>0.7</v>
      </c>
      <c r="G52" s="842"/>
    </row>
    <row r="54" spans="2:18">
      <c r="B54" s="877"/>
      <c r="C54" s="877"/>
      <c r="D54" s="877"/>
    </row>
    <row r="55" spans="2:18">
      <c r="B55" s="1239" t="s">
        <v>1135</v>
      </c>
      <c r="C55" s="1240"/>
      <c r="D55" s="1240"/>
      <c r="E55" s="1240"/>
      <c r="F55" s="1240"/>
      <c r="G55" s="1241"/>
      <c r="H55" s="1055"/>
      <c r="I55" s="1055"/>
      <c r="J55" s="1055"/>
      <c r="K55" s="1055"/>
    </row>
    <row r="56" spans="2:18">
      <c r="B56" s="423"/>
      <c r="C56" s="424"/>
      <c r="D56" s="424"/>
      <c r="E56" s="424"/>
      <c r="F56" s="424"/>
      <c r="G56" s="425"/>
      <c r="H56" s="427"/>
      <c r="I56" s="427"/>
      <c r="J56" s="427"/>
      <c r="K56" s="427"/>
    </row>
    <row r="57" spans="2:18">
      <c r="B57" s="426"/>
      <c r="C57" s="427"/>
      <c r="D57" s="427"/>
      <c r="E57" s="427"/>
      <c r="F57" s="427"/>
      <c r="G57" s="428"/>
      <c r="H57" s="427"/>
      <c r="I57" s="427"/>
      <c r="J57" s="427"/>
      <c r="K57" s="427"/>
    </row>
    <row r="58" spans="2:18">
      <c r="B58" s="429"/>
      <c r="C58" s="427"/>
      <c r="D58" s="427"/>
      <c r="E58" s="427"/>
      <c r="F58" s="427"/>
      <c r="G58" s="428"/>
      <c r="H58" s="427"/>
      <c r="I58" s="427"/>
      <c r="J58" s="427"/>
      <c r="K58" s="427"/>
    </row>
    <row r="59" spans="2:18">
      <c r="B59" s="429"/>
      <c r="C59" s="427"/>
      <c r="D59" s="427"/>
      <c r="E59" s="427"/>
      <c r="F59" s="427"/>
      <c r="G59" s="428"/>
      <c r="H59" s="427"/>
      <c r="I59" s="427"/>
      <c r="J59" s="427"/>
      <c r="K59" s="427"/>
    </row>
    <row r="60" spans="2:18">
      <c r="B60" s="430"/>
      <c r="C60" s="431"/>
      <c r="D60" s="431"/>
      <c r="E60" s="431"/>
      <c r="F60" s="431"/>
      <c r="G60" s="432"/>
      <c r="H60" s="427"/>
      <c r="I60" s="427"/>
      <c r="J60" s="427"/>
      <c r="K60" s="427"/>
    </row>
    <row r="63" spans="2:18" hidden="1"/>
    <row r="64" spans="2:18" hidden="1">
      <c r="B64" s="931" t="s">
        <v>1019</v>
      </c>
    </row>
    <row r="65" spans="2:2" hidden="1">
      <c r="B65" s="932" t="s">
        <v>1020</v>
      </c>
    </row>
    <row r="66" spans="2:2" hidden="1">
      <c r="B66" s="932" t="s">
        <v>1021</v>
      </c>
    </row>
    <row r="67" spans="2:2" hidden="1">
      <c r="B67" s="932" t="s">
        <v>1022</v>
      </c>
    </row>
    <row r="68" spans="2:2" hidden="1">
      <c r="B68" s="932" t="s">
        <v>1023</v>
      </c>
    </row>
    <row r="69" spans="2:2" hidden="1">
      <c r="B69" s="932" t="s">
        <v>1024</v>
      </c>
    </row>
    <row r="70" spans="2:2" hidden="1">
      <c r="B70" s="932" t="s">
        <v>1025</v>
      </c>
    </row>
    <row r="71" spans="2:2" hidden="1">
      <c r="B71" s="932" t="s">
        <v>1026</v>
      </c>
    </row>
    <row r="72" spans="2:2" hidden="1">
      <c r="B72" s="932" t="s">
        <v>1027</v>
      </c>
    </row>
    <row r="73" spans="2:2" hidden="1">
      <c r="B73" s="932" t="s">
        <v>134</v>
      </c>
    </row>
    <row r="74" spans="2:2" hidden="1">
      <c r="B74" s="932" t="s">
        <v>1028</v>
      </c>
    </row>
    <row r="75" spans="2:2" hidden="1">
      <c r="B75" s="932" t="s">
        <v>148</v>
      </c>
    </row>
  </sheetData>
  <sheetProtection sheet="1" objects="1" scenarios="1" formatCells="0" insertRows="0" deleteRows="0"/>
  <mergeCells count="9">
    <mergeCell ref="B55:G55"/>
    <mergeCell ref="B51:E51"/>
    <mergeCell ref="B52:E52"/>
    <mergeCell ref="B5:P5"/>
    <mergeCell ref="B7:P7"/>
    <mergeCell ref="B47:F47"/>
    <mergeCell ref="B48:E48"/>
    <mergeCell ref="B49:E49"/>
    <mergeCell ref="B50:E50"/>
  </mergeCells>
  <conditionalFormatting sqref="O16:O44">
    <cfRule type="cellIs" dxfId="11" priority="3" stopIfTrue="1" operator="lessThan">
      <formula>10</formula>
    </cfRule>
  </conditionalFormatting>
  <conditionalFormatting sqref="P16:P44">
    <cfRule type="cellIs" dxfId="10" priority="2" stopIfTrue="1" operator="lessThan">
      <formula>16</formula>
    </cfRule>
  </conditionalFormatting>
  <conditionalFormatting sqref="M47">
    <cfRule type="cellIs" dxfId="9" priority="1" operator="greaterThan">
      <formula>10</formula>
    </cfRule>
  </conditionalFormatting>
  <dataValidations count="2">
    <dataValidation type="list" allowBlank="1" showInputMessage="1" showErrorMessage="1" sqref="B16:B44">
      <formula1>$B$64:$B$74</formula1>
    </dataValidation>
    <dataValidation type="list" allowBlank="1" showInputMessage="1" showErrorMessage="1" sqref="B76">
      <formula1>$B$65:$B$75</formula1>
    </dataValidation>
  </dataValidations>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6" tint="0.39997558519241921"/>
  </sheetPr>
  <dimension ref="A1:O43"/>
  <sheetViews>
    <sheetView showGridLines="0" workbookViewId="0">
      <selection activeCell="B21" sqref="B21"/>
    </sheetView>
  </sheetViews>
  <sheetFormatPr defaultRowHeight="12"/>
  <cols>
    <col min="1" max="1" width="2.5703125" style="411" customWidth="1"/>
    <col min="2" max="2" width="29.42578125" style="411" customWidth="1"/>
    <col min="3" max="3" width="15.7109375" style="411" customWidth="1"/>
    <col min="4" max="4" width="9.140625" style="411"/>
    <col min="5" max="5" width="10.85546875" style="411" customWidth="1"/>
    <col min="6" max="8" width="11.140625" style="411" customWidth="1"/>
    <col min="9" max="9" width="25.7109375" style="411" customWidth="1"/>
    <col min="10" max="10" width="36.28515625" style="411" customWidth="1"/>
    <col min="11" max="13" width="9.140625" style="411"/>
    <col min="14" max="14" width="5.28515625" style="411" customWidth="1"/>
    <col min="15" max="15" width="5.7109375" style="411" customWidth="1"/>
    <col min="16" max="16384" width="9.140625" style="411"/>
  </cols>
  <sheetData>
    <row r="1" spans="1:13" ht="18.75">
      <c r="B1" s="436" t="s">
        <v>929</v>
      </c>
    </row>
    <row r="3" spans="1:13" ht="18" customHeight="1">
      <c r="B3" s="674" t="s">
        <v>121</v>
      </c>
    </row>
    <row r="4" spans="1:13">
      <c r="A4" s="312"/>
      <c r="B4" s="332"/>
    </row>
    <row r="5" spans="1:13">
      <c r="A5" s="312">
        <v>1</v>
      </c>
      <c r="B5" s="316" t="s">
        <v>930</v>
      </c>
      <c r="C5" s="825"/>
      <c r="D5" s="825"/>
      <c r="E5" s="825"/>
      <c r="F5" s="825"/>
      <c r="G5" s="842"/>
      <c r="H5" s="842"/>
      <c r="I5" s="842"/>
      <c r="J5" s="842"/>
      <c r="K5" s="842"/>
      <c r="L5" s="842"/>
      <c r="M5" s="842"/>
    </row>
    <row r="6" spans="1:13">
      <c r="A6" s="312">
        <v>2</v>
      </c>
      <c r="B6" s="847" t="s">
        <v>931</v>
      </c>
      <c r="C6" s="828"/>
      <c r="D6" s="828"/>
      <c r="E6" s="828"/>
      <c r="F6" s="828"/>
      <c r="G6" s="842"/>
      <c r="H6" s="842"/>
      <c r="I6" s="842"/>
      <c r="J6" s="842"/>
      <c r="K6" s="842"/>
      <c r="L6" s="842"/>
      <c r="M6" s="842"/>
    </row>
    <row r="7" spans="1:13">
      <c r="A7" s="312">
        <v>3</v>
      </c>
      <c r="B7" s="332" t="s">
        <v>1130</v>
      </c>
      <c r="C7" s="826"/>
      <c r="D7" s="826"/>
      <c r="E7" s="826"/>
      <c r="F7" s="826"/>
      <c r="G7" s="826"/>
      <c r="H7" s="826"/>
      <c r="I7" s="826"/>
      <c r="J7" s="826"/>
      <c r="K7" s="826"/>
      <c r="L7" s="842"/>
      <c r="M7" s="842"/>
    </row>
    <row r="8" spans="1:13">
      <c r="A8" s="312">
        <v>4</v>
      </c>
      <c r="B8" s="332" t="s">
        <v>932</v>
      </c>
      <c r="C8" s="826"/>
      <c r="D8" s="826"/>
      <c r="E8" s="826"/>
      <c r="F8" s="826"/>
      <c r="G8" s="826"/>
      <c r="H8" s="826"/>
      <c r="I8" s="826"/>
      <c r="J8" s="826"/>
      <c r="K8" s="826"/>
    </row>
    <row r="9" spans="1:13">
      <c r="A9" s="312">
        <v>5</v>
      </c>
      <c r="B9" s="332" t="s">
        <v>1189</v>
      </c>
      <c r="C9" s="826"/>
      <c r="D9" s="826"/>
      <c r="E9" s="826"/>
      <c r="F9" s="826"/>
      <c r="G9" s="826"/>
      <c r="H9" s="826"/>
      <c r="I9" s="826"/>
      <c r="J9" s="826"/>
      <c r="K9" s="826"/>
    </row>
    <row r="10" spans="1:13">
      <c r="B10" s="826"/>
      <c r="C10" s="826"/>
      <c r="D10" s="826"/>
      <c r="E10" s="826"/>
      <c r="F10" s="826"/>
      <c r="G10" s="826"/>
      <c r="H10" s="826"/>
      <c r="I10" s="826"/>
      <c r="J10" s="826"/>
      <c r="K10" s="826"/>
    </row>
    <row r="11" spans="1:13" ht="24" customHeight="1">
      <c r="B11" s="1626" t="s">
        <v>933</v>
      </c>
      <c r="C11" s="1200" t="s">
        <v>613</v>
      </c>
      <c r="D11" s="937" t="s">
        <v>934</v>
      </c>
      <c r="E11" s="937" t="s">
        <v>935</v>
      </c>
      <c r="F11" s="937" t="s">
        <v>936</v>
      </c>
      <c r="G11" s="1630" t="s">
        <v>937</v>
      </c>
    </row>
    <row r="12" spans="1:13">
      <c r="B12" s="1627"/>
      <c r="C12" s="937" t="s">
        <v>1508</v>
      </c>
      <c r="D12" s="937" t="s">
        <v>106</v>
      </c>
      <c r="E12" s="937" t="s">
        <v>107</v>
      </c>
      <c r="F12" s="937" t="s">
        <v>107</v>
      </c>
      <c r="G12" s="1631"/>
    </row>
    <row r="13" spans="1:13">
      <c r="B13" s="439" t="s">
        <v>938</v>
      </c>
      <c r="C13" s="629">
        <v>0.15</v>
      </c>
      <c r="D13" s="485"/>
      <c r="E13" s="444">
        <f>C13*D13</f>
        <v>0</v>
      </c>
      <c r="F13" s="485"/>
      <c r="G13" s="943"/>
    </row>
    <row r="14" spans="1:13" ht="23.25" customHeight="1">
      <c r="B14" s="444" t="s">
        <v>1353</v>
      </c>
      <c r="C14" s="629">
        <v>0.2</v>
      </c>
      <c r="D14" s="485"/>
      <c r="E14" s="444">
        <f t="shared" ref="E14:E17" si="0">C14*D14</f>
        <v>0</v>
      </c>
      <c r="F14" s="485"/>
      <c r="G14" s="943"/>
    </row>
    <row r="15" spans="1:13">
      <c r="B15" s="439" t="s">
        <v>1351</v>
      </c>
      <c r="C15" s="629">
        <v>1</v>
      </c>
      <c r="D15" s="485"/>
      <c r="E15" s="444">
        <f t="shared" si="0"/>
        <v>0</v>
      </c>
      <c r="F15" s="485"/>
      <c r="G15" s="943"/>
    </row>
    <row r="16" spans="1:13">
      <c r="B16" s="439" t="s">
        <v>1352</v>
      </c>
      <c r="C16" s="629">
        <v>1.25</v>
      </c>
      <c r="D16" s="485"/>
      <c r="E16" s="444">
        <f t="shared" si="0"/>
        <v>0</v>
      </c>
      <c r="F16" s="485"/>
      <c r="G16" s="943"/>
    </row>
    <row r="17" spans="2:15" ht="12.75">
      <c r="B17" s="439" t="s">
        <v>939</v>
      </c>
      <c r="C17" s="629">
        <v>0.2</v>
      </c>
      <c r="D17" s="485"/>
      <c r="E17" s="444">
        <f t="shared" si="0"/>
        <v>0</v>
      </c>
      <c r="F17" s="485"/>
      <c r="G17" s="943"/>
      <c r="H17" s="1628" t="str">
        <f>IF(C30&lt;F17,"Proposed façade lighting cannot exceed Baseline allowance.","")</f>
        <v/>
      </c>
      <c r="I17" s="1629"/>
      <c r="J17" s="1629"/>
      <c r="K17" s="1629"/>
      <c r="L17" s="1629"/>
    </row>
    <row r="18" spans="2:15">
      <c r="B18" s="842"/>
      <c r="C18" s="842"/>
      <c r="D18" s="448"/>
      <c r="E18" s="448"/>
    </row>
    <row r="19" spans="2:15" ht="24" customHeight="1">
      <c r="B19" s="938" t="s">
        <v>933</v>
      </c>
      <c r="C19" s="1200" t="s">
        <v>1509</v>
      </c>
      <c r="D19" s="937" t="s">
        <v>940</v>
      </c>
      <c r="E19" s="937" t="s">
        <v>935</v>
      </c>
      <c r="F19" s="937" t="s">
        <v>936</v>
      </c>
      <c r="G19" s="1630" t="s">
        <v>937</v>
      </c>
    </row>
    <row r="20" spans="2:15">
      <c r="B20" s="939"/>
      <c r="C20" s="937" t="s">
        <v>1510</v>
      </c>
      <c r="D20" s="937" t="s">
        <v>941</v>
      </c>
      <c r="E20" s="937" t="s">
        <v>107</v>
      </c>
      <c r="F20" s="937" t="s">
        <v>107</v>
      </c>
      <c r="G20" s="1631"/>
    </row>
    <row r="21" spans="2:15">
      <c r="B21" s="439" t="s">
        <v>942</v>
      </c>
      <c r="C21" s="851">
        <v>1</v>
      </c>
      <c r="D21" s="485"/>
      <c r="E21" s="444">
        <f>C21*D21</f>
        <v>0</v>
      </c>
      <c r="F21" s="485"/>
      <c r="G21" s="943"/>
    </row>
    <row r="22" spans="2:15">
      <c r="B22" s="439" t="s">
        <v>1354</v>
      </c>
      <c r="C22" s="940">
        <v>30</v>
      </c>
      <c r="D22" s="485"/>
      <c r="E22" s="444">
        <f t="shared" ref="E22:E25" si="1">C22*D22</f>
        <v>0</v>
      </c>
      <c r="F22" s="485"/>
      <c r="G22" s="943"/>
    </row>
    <row r="23" spans="2:15">
      <c r="B23" s="439" t="s">
        <v>1355</v>
      </c>
      <c r="C23" s="940">
        <v>20</v>
      </c>
      <c r="D23" s="485"/>
      <c r="E23" s="444">
        <f t="shared" si="1"/>
        <v>0</v>
      </c>
      <c r="F23" s="485"/>
      <c r="G23" s="943"/>
    </row>
    <row r="24" spans="2:15">
      <c r="B24" s="441" t="s">
        <v>1190</v>
      </c>
      <c r="C24" s="940">
        <v>20</v>
      </c>
      <c r="D24" s="485"/>
      <c r="E24" s="444">
        <f t="shared" si="1"/>
        <v>0</v>
      </c>
      <c r="F24" s="485"/>
      <c r="G24" s="943"/>
    </row>
    <row r="25" spans="2:15">
      <c r="B25" s="439" t="s">
        <v>943</v>
      </c>
      <c r="C25" s="851">
        <v>5</v>
      </c>
      <c r="D25" s="485"/>
      <c r="E25" s="444">
        <f t="shared" si="1"/>
        <v>0</v>
      </c>
    </row>
    <row r="26" spans="2:15">
      <c r="C26" s="835"/>
    </row>
    <row r="27" spans="2:15">
      <c r="B27" s="674" t="s">
        <v>944</v>
      </c>
    </row>
    <row r="28" spans="2:15">
      <c r="B28" s="944"/>
      <c r="C28" s="314" t="s">
        <v>119</v>
      </c>
      <c r="D28" s="312" t="s">
        <v>120</v>
      </c>
    </row>
    <row r="29" spans="2:15">
      <c r="B29" s="439" t="s">
        <v>945</v>
      </c>
      <c r="C29" s="940">
        <f>SUM(E13:E16)+SUM(E21:E24)</f>
        <v>0</v>
      </c>
      <c r="D29" s="438">
        <f>SUM(F13:F16)+SUM(F21:F24)</f>
        <v>0</v>
      </c>
      <c r="E29" s="312" t="s">
        <v>946</v>
      </c>
    </row>
    <row r="30" spans="2:15" ht="12.75">
      <c r="B30" s="439" t="s">
        <v>947</v>
      </c>
      <c r="C30" s="940">
        <f>1.05*MAX(E17,E25)</f>
        <v>0</v>
      </c>
      <c r="D30" s="438">
        <f>IF(F17&gt;C30, F17, C30)</f>
        <v>0</v>
      </c>
      <c r="E30" s="312" t="s">
        <v>946</v>
      </c>
      <c r="F30" s="403" t="s">
        <v>1181</v>
      </c>
      <c r="H30" s="945"/>
      <c r="O30" s="946"/>
    </row>
    <row r="31" spans="2:15">
      <c r="C31" s="941">
        <f>SUM(C29:C30)</f>
        <v>0</v>
      </c>
      <c r="D31" s="941">
        <f>SUM(D29:D30)</f>
        <v>0</v>
      </c>
      <c r="E31" s="312" t="s">
        <v>946</v>
      </c>
    </row>
    <row r="32" spans="2:15">
      <c r="B32" s="942" t="s">
        <v>709</v>
      </c>
    </row>
    <row r="33" spans="2:7">
      <c r="B33" s="312" t="s">
        <v>948</v>
      </c>
    </row>
    <row r="34" spans="2:7">
      <c r="B34" s="312" t="s">
        <v>949</v>
      </c>
    </row>
    <row r="35" spans="2:7">
      <c r="B35" s="312" t="s">
        <v>950</v>
      </c>
    </row>
    <row r="36" spans="2:7">
      <c r="B36" s="312" t="s">
        <v>951</v>
      </c>
    </row>
    <row r="38" spans="2:7">
      <c r="B38" s="1239" t="s">
        <v>1135</v>
      </c>
      <c r="C38" s="1240"/>
      <c r="D38" s="1240"/>
      <c r="E38" s="1240"/>
      <c r="F38" s="1240"/>
      <c r="G38" s="1241"/>
    </row>
    <row r="39" spans="2:7">
      <c r="B39" s="423"/>
      <c r="C39" s="424"/>
      <c r="D39" s="424"/>
      <c r="E39" s="424"/>
      <c r="F39" s="424"/>
      <c r="G39" s="425"/>
    </row>
    <row r="40" spans="2:7">
      <c r="B40" s="426"/>
      <c r="C40" s="427"/>
      <c r="D40" s="427"/>
      <c r="E40" s="427"/>
      <c r="F40" s="427"/>
      <c r="G40" s="428"/>
    </row>
    <row r="41" spans="2:7">
      <c r="B41" s="429"/>
      <c r="C41" s="427"/>
      <c r="D41" s="427"/>
      <c r="E41" s="427"/>
      <c r="F41" s="427"/>
      <c r="G41" s="428"/>
    </row>
    <row r="42" spans="2:7">
      <c r="B42" s="429"/>
      <c r="C42" s="427"/>
      <c r="D42" s="427"/>
      <c r="E42" s="427"/>
      <c r="F42" s="427"/>
      <c r="G42" s="428"/>
    </row>
    <row r="43" spans="2:7">
      <c r="B43" s="430"/>
      <c r="C43" s="431"/>
      <c r="D43" s="431"/>
      <c r="E43" s="431"/>
      <c r="F43" s="431"/>
      <c r="G43" s="432"/>
    </row>
  </sheetData>
  <sheetProtection sheet="1" objects="1" scenarios="1" formatCells="0"/>
  <mergeCells count="5">
    <mergeCell ref="B11:B12"/>
    <mergeCell ref="B38:G38"/>
    <mergeCell ref="H17:L17"/>
    <mergeCell ref="G11:G12"/>
    <mergeCell ref="G19:G20"/>
  </mergeCells>
  <pageMargins left="0.75" right="0.75" top="1" bottom="1" header="0.5" footer="0.5"/>
  <pageSetup orientation="portrait" horizontalDpi="4294967293" r:id="rId1"/>
  <headerFooter alignWithMargins="0">
    <oddHeader>&amp;REMP Simulation Spreadsheet
October 5, 2005</oddHeader>
    <oddFooter>&amp;CTaitem Engineering
Page &amp;P of &amp;N</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82"/>
  <sheetViews>
    <sheetView showGridLines="0" topLeftCell="A4" workbookViewId="0">
      <selection activeCell="B25" sqref="B25"/>
    </sheetView>
  </sheetViews>
  <sheetFormatPr defaultRowHeight="12"/>
  <cols>
    <col min="1" max="1" width="2" style="411" bestFit="1" customWidth="1"/>
    <col min="2" max="2" width="71.140625" style="411" customWidth="1"/>
    <col min="3" max="3" width="20" style="411" customWidth="1"/>
    <col min="4" max="4" width="19.7109375" style="411" customWidth="1"/>
    <col min="5" max="6" width="18.140625" style="411" customWidth="1"/>
    <col min="7" max="8" width="18" style="411" customWidth="1"/>
    <col min="9" max="9" width="17.85546875" style="411" customWidth="1"/>
    <col min="10" max="10" width="19.140625" style="411" customWidth="1"/>
    <col min="11" max="15" width="9.140625" style="411"/>
    <col min="16" max="17" width="9.140625" style="411" customWidth="1"/>
    <col min="18" max="16384" width="9.140625" style="411"/>
  </cols>
  <sheetData>
    <row r="1" spans="1:5" ht="18.75">
      <c r="B1" s="436" t="s">
        <v>1304</v>
      </c>
    </row>
    <row r="3" spans="1:5">
      <c r="A3" s="665"/>
      <c r="B3" s="674" t="s">
        <v>792</v>
      </c>
      <c r="C3" s="842"/>
      <c r="D3" s="842"/>
    </row>
    <row r="4" spans="1:5">
      <c r="A4" s="312">
        <v>1</v>
      </c>
      <c r="B4" s="316" t="s">
        <v>186</v>
      </c>
      <c r="C4" s="842"/>
      <c r="D4" s="842"/>
    </row>
    <row r="5" spans="1:5">
      <c r="A5" s="312">
        <v>2</v>
      </c>
      <c r="B5" s="847" t="s">
        <v>1029</v>
      </c>
      <c r="C5" s="842"/>
      <c r="D5" s="842"/>
    </row>
    <row r="6" spans="1:5">
      <c r="A6" s="312">
        <v>3</v>
      </c>
      <c r="B6" s="312" t="s">
        <v>1259</v>
      </c>
      <c r="C6" s="842"/>
      <c r="D6" s="842"/>
    </row>
    <row r="7" spans="1:5">
      <c r="A7" s="955">
        <v>5</v>
      </c>
      <c r="B7" s="342" t="s">
        <v>1260</v>
      </c>
      <c r="C7" s="948"/>
    </row>
    <row r="8" spans="1:5" ht="13.5" customHeight="1" thickBot="1">
      <c r="A8" s="885"/>
      <c r="B8" s="842"/>
      <c r="C8" s="949"/>
    </row>
    <row r="9" spans="1:5" ht="13.5" hidden="1" customHeight="1">
      <c r="A9" s="885"/>
      <c r="B9" s="404"/>
      <c r="C9" s="404"/>
      <c r="D9" s="404" t="s">
        <v>119</v>
      </c>
      <c r="E9" s="404" t="s">
        <v>1261</v>
      </c>
    </row>
    <row r="10" spans="1:5" ht="13.5" hidden="1" customHeight="1">
      <c r="A10" s="885"/>
      <c r="B10" s="404" t="s">
        <v>1262</v>
      </c>
      <c r="C10" s="956"/>
      <c r="D10" s="404">
        <v>0.16170000000000001</v>
      </c>
      <c r="E10" s="404">
        <v>0.16170000000000001</v>
      </c>
    </row>
    <row r="11" spans="1:5" ht="13.5" hidden="1" customHeight="1">
      <c r="A11" s="885"/>
      <c r="B11" s="404" t="s">
        <v>909</v>
      </c>
      <c r="C11" s="956" t="s">
        <v>1263</v>
      </c>
      <c r="D11" s="404">
        <v>1.18</v>
      </c>
      <c r="E11" s="404">
        <v>1.18</v>
      </c>
    </row>
    <row r="12" spans="1:5" ht="13.5" hidden="1" customHeight="1">
      <c r="A12" s="885"/>
      <c r="B12" s="404" t="s">
        <v>1264</v>
      </c>
      <c r="C12" s="956" t="s">
        <v>1265</v>
      </c>
      <c r="D12" s="404">
        <v>4.47</v>
      </c>
      <c r="E12" s="404">
        <v>4.47</v>
      </c>
    </row>
    <row r="13" spans="1:5" ht="13.5" hidden="1" customHeight="1">
      <c r="A13" s="885"/>
      <c r="B13" s="404" t="s">
        <v>1266</v>
      </c>
      <c r="C13" s="956"/>
      <c r="D13" s="404">
        <v>0.65</v>
      </c>
      <c r="E13" s="404">
        <v>0.65</v>
      </c>
    </row>
    <row r="14" spans="1:5" ht="13.5" hidden="1" customHeight="1">
      <c r="A14" s="885"/>
      <c r="B14" s="404" t="s">
        <v>1267</v>
      </c>
      <c r="C14" s="404"/>
      <c r="D14" s="404">
        <v>0.22</v>
      </c>
      <c r="E14" s="404">
        <v>0.22</v>
      </c>
    </row>
    <row r="15" spans="1:5" hidden="1">
      <c r="A15" s="885"/>
      <c r="B15" s="404" t="s">
        <v>1268</v>
      </c>
      <c r="C15" s="404"/>
      <c r="D15" s="956" t="str">
        <f>IF(C21="75 Pa",75,IF(C21="50 Pa",50,""))</f>
        <v/>
      </c>
      <c r="E15" s="956" t="str">
        <f>IF(D21="75 Pa",75,IF(D21="50 Pa",50,""))</f>
        <v/>
      </c>
    </row>
    <row r="16" spans="1:5" ht="13.5" hidden="1" customHeight="1">
      <c r="A16" s="885"/>
      <c r="B16" s="404" t="s">
        <v>1269</v>
      </c>
      <c r="C16" s="957" t="s">
        <v>1270</v>
      </c>
      <c r="D16" s="404" t="e">
        <f>(D14+1)*C22*(0.5*D10*D11*D12^2/D15)^D13</f>
        <v>#VALUE!</v>
      </c>
      <c r="E16" s="404" t="e">
        <f>(E14+1)*D22*(0.5*E10*E11*E12^2/E15)^E13</f>
        <v>#VALUE!</v>
      </c>
    </row>
    <row r="17" spans="1:6" ht="12.75" hidden="1" thickBot="1">
      <c r="A17" s="885"/>
      <c r="B17" s="842"/>
      <c r="C17" s="949"/>
    </row>
    <row r="18" spans="1:6" ht="27" customHeight="1">
      <c r="A18" s="885"/>
      <c r="B18" s="1126" t="s">
        <v>1422</v>
      </c>
      <c r="C18" s="1124" t="s">
        <v>119</v>
      </c>
      <c r="D18" s="1125" t="s">
        <v>120</v>
      </c>
    </row>
    <row r="19" spans="1:6" ht="38.25" customHeight="1">
      <c r="A19" s="885"/>
      <c r="B19" s="1118" t="s">
        <v>1426</v>
      </c>
      <c r="C19" s="1638"/>
      <c r="D19" s="1639"/>
    </row>
    <row r="20" spans="1:6">
      <c r="A20" s="885"/>
      <c r="B20" s="1119" t="s">
        <v>1423</v>
      </c>
      <c r="C20" s="1640"/>
      <c r="D20" s="1641"/>
    </row>
    <row r="21" spans="1:6">
      <c r="A21" s="885"/>
      <c r="B21" s="1120" t="s">
        <v>1424</v>
      </c>
      <c r="C21" s="1127"/>
      <c r="D21" s="1128">
        <f>C21</f>
        <v>0</v>
      </c>
    </row>
    <row r="22" spans="1:6" ht="24.75" thickBot="1">
      <c r="A22" s="885"/>
      <c r="B22" s="1121" t="s">
        <v>1425</v>
      </c>
      <c r="C22" s="1122">
        <f>IF(C21="75 pa",0.4,0.3)</f>
        <v>0.3</v>
      </c>
      <c r="D22" s="1123"/>
    </row>
    <row r="23" spans="1:6">
      <c r="A23" s="885"/>
      <c r="B23" s="842"/>
      <c r="C23" s="949"/>
    </row>
    <row r="24" spans="1:6" ht="12.75" thickBot="1"/>
    <row r="25" spans="1:6">
      <c r="B25" s="345" t="s">
        <v>1305</v>
      </c>
      <c r="C25" s="837"/>
      <c r="D25" s="837"/>
      <c r="E25" s="837"/>
      <c r="F25" s="838"/>
    </row>
    <row r="26" spans="1:6">
      <c r="B26" s="344" t="s">
        <v>1306</v>
      </c>
      <c r="C26" s="1006"/>
      <c r="D26" s="416"/>
      <c r="E26" s="416"/>
      <c r="F26" s="840"/>
    </row>
    <row r="27" spans="1:6">
      <c r="B27" s="344" t="s">
        <v>1307</v>
      </c>
      <c r="C27" s="1006"/>
      <c r="D27" s="416"/>
      <c r="E27" s="416"/>
      <c r="F27" s="840"/>
    </row>
    <row r="28" spans="1:6">
      <c r="B28" s="1024" t="s">
        <v>1308</v>
      </c>
      <c r="C28" s="328">
        <f>5*C26*C27/60</f>
        <v>0</v>
      </c>
      <c r="D28" s="416"/>
      <c r="E28" s="416"/>
      <c r="F28" s="840"/>
    </row>
    <row r="29" spans="1:6">
      <c r="B29" s="344"/>
      <c r="C29" s="1007"/>
      <c r="D29" s="416"/>
      <c r="E29" s="416"/>
      <c r="F29" s="840"/>
    </row>
    <row r="30" spans="1:6">
      <c r="B30" s="1025" t="s">
        <v>1309</v>
      </c>
      <c r="C30" s="315" t="s">
        <v>1343</v>
      </c>
      <c r="D30" s="315" t="s">
        <v>1344</v>
      </c>
      <c r="E30" s="1008"/>
      <c r="F30" s="840"/>
    </row>
    <row r="31" spans="1:6">
      <c r="B31" s="1024" t="s">
        <v>1310</v>
      </c>
      <c r="C31" s="328">
        <f>C28</f>
        <v>0</v>
      </c>
      <c r="D31" s="324">
        <v>20</v>
      </c>
      <c r="E31" s="1007"/>
      <c r="F31" s="840"/>
    </row>
    <row r="32" spans="1:6">
      <c r="B32" s="1024" t="s">
        <v>1311</v>
      </c>
      <c r="C32" s="324">
        <v>100</v>
      </c>
      <c r="D32" s="324">
        <v>50</v>
      </c>
      <c r="E32" s="1003"/>
      <c r="F32" s="840"/>
    </row>
    <row r="33" spans="2:8">
      <c r="B33" s="1026"/>
      <c r="C33" s="952"/>
      <c r="D33" s="416"/>
      <c r="E33" s="416"/>
      <c r="F33" s="840"/>
    </row>
    <row r="34" spans="2:8">
      <c r="B34" s="839"/>
      <c r="C34" s="315" t="s">
        <v>1026</v>
      </c>
      <c r="D34" s="315" t="s">
        <v>1020</v>
      </c>
      <c r="E34" s="416"/>
      <c r="F34" s="840"/>
    </row>
    <row r="35" spans="2:8" ht="12.75">
      <c r="B35" s="344" t="s">
        <v>1031</v>
      </c>
      <c r="C35" s="1006"/>
      <c r="D35" s="1006"/>
      <c r="E35" s="416"/>
      <c r="F35" s="958"/>
    </row>
    <row r="36" spans="2:8" ht="12.75">
      <c r="B36" s="344" t="s">
        <v>1271</v>
      </c>
      <c r="C36" s="1006"/>
      <c r="D36" s="1006"/>
      <c r="E36" s="416"/>
      <c r="F36" s="953"/>
    </row>
    <row r="37" spans="2:8">
      <c r="B37" s="344" t="s">
        <v>1312</v>
      </c>
      <c r="C37" s="1006"/>
      <c r="D37" s="1006"/>
      <c r="E37" s="416"/>
      <c r="F37" s="840"/>
    </row>
    <row r="38" spans="2:8">
      <c r="B38" s="344" t="s">
        <v>1313</v>
      </c>
      <c r="C38" s="328">
        <f>IF(C35="Intermittent",C32,C31)</f>
        <v>0</v>
      </c>
      <c r="D38" s="324">
        <f>IF(D35="Intermittent",D32,D31)</f>
        <v>20</v>
      </c>
      <c r="E38" s="416"/>
      <c r="F38" s="840"/>
    </row>
    <row r="39" spans="2:8">
      <c r="B39" s="344" t="s">
        <v>1314</v>
      </c>
      <c r="C39" s="1194">
        <f>'DHW Demand'!L27</f>
        <v>0</v>
      </c>
      <c r="D39" s="1194">
        <f>'DHW Demand'!L28</f>
        <v>0</v>
      </c>
      <c r="E39" s="416" t="s">
        <v>1345</v>
      </c>
      <c r="F39" s="840"/>
    </row>
    <row r="40" spans="2:8" ht="12.75">
      <c r="B40" s="344" t="s">
        <v>1272</v>
      </c>
      <c r="C40" s="328">
        <f>C37*C39</f>
        <v>0</v>
      </c>
      <c r="D40" s="324">
        <f>D37*D39</f>
        <v>0</v>
      </c>
      <c r="E40" s="416"/>
      <c r="F40" s="953"/>
    </row>
    <row r="41" spans="2:8" ht="12.75">
      <c r="B41" s="344" t="s">
        <v>1315</v>
      </c>
      <c r="C41" s="328">
        <f>C38*C39</f>
        <v>0</v>
      </c>
      <c r="D41" s="328">
        <f>D38*D39</f>
        <v>0</v>
      </c>
      <c r="E41" s="416"/>
      <c r="F41" s="953"/>
    </row>
    <row r="42" spans="2:8" ht="13.5" thickBot="1">
      <c r="B42" s="951"/>
      <c r="C42" s="959" t="str">
        <f>IF(C40="","",IF(C40&gt;C41, "", IF(C40&lt;C41, "Insufficient Ventilation", "")))</f>
        <v/>
      </c>
      <c r="D42" s="959" t="str">
        <f>IF(D40="","",IF(D40&gt;D41, "", IF(D40&lt;D41, "Insufficient Ventilation", "")))</f>
        <v/>
      </c>
      <c r="E42" s="416"/>
      <c r="F42" s="953"/>
    </row>
    <row r="43" spans="2:8">
      <c r="B43" s="345" t="s">
        <v>1346</v>
      </c>
      <c r="C43" s="837"/>
      <c r="D43" s="837"/>
      <c r="E43" s="837"/>
      <c r="F43" s="837"/>
      <c r="G43" s="837"/>
      <c r="H43" s="838"/>
    </row>
    <row r="44" spans="2:8">
      <c r="B44" s="950"/>
      <c r="C44" s="315" t="s">
        <v>1032</v>
      </c>
      <c r="D44" s="315" t="s">
        <v>1033</v>
      </c>
      <c r="E44" s="315" t="s">
        <v>1034</v>
      </c>
      <c r="F44" s="315" t="s">
        <v>1035</v>
      </c>
      <c r="G44" s="315" t="s">
        <v>1036</v>
      </c>
      <c r="H44" s="840"/>
    </row>
    <row r="45" spans="2:8">
      <c r="B45" s="344" t="s">
        <v>1037</v>
      </c>
      <c r="C45" s="862">
        <f>'Reporting Summary'!D28</f>
        <v>0</v>
      </c>
      <c r="D45" s="862">
        <f>'Reporting Summary'!E28</f>
        <v>0</v>
      </c>
      <c r="E45" s="862">
        <f>'Reporting Summary'!F28</f>
        <v>0</v>
      </c>
      <c r="F45" s="862">
        <f>'Reporting Summary'!G28</f>
        <v>0</v>
      </c>
      <c r="G45" s="862">
        <f>'Reporting Summary'!H28</f>
        <v>0</v>
      </c>
      <c r="H45" s="840"/>
    </row>
    <row r="46" spans="2:8">
      <c r="B46" s="1024" t="s">
        <v>1316</v>
      </c>
      <c r="C46" s="328">
        <f>0.01*C45+7.5*(2)</f>
        <v>15</v>
      </c>
      <c r="D46" s="328">
        <f>0.01*D45+7.5*(2)</f>
        <v>15</v>
      </c>
      <c r="E46" s="328">
        <f>0.01*E45+7.5*(3)</f>
        <v>22.5</v>
      </c>
      <c r="F46" s="328">
        <f>0.01*F45+7.5*(4)</f>
        <v>30</v>
      </c>
      <c r="G46" s="328">
        <f>0.01*G45+7.5*(5)</f>
        <v>37.5</v>
      </c>
      <c r="H46" s="840"/>
    </row>
    <row r="47" spans="2:8">
      <c r="B47" s="344" t="s">
        <v>1317</v>
      </c>
      <c r="C47" s="1006"/>
      <c r="D47" s="1006"/>
      <c r="E47" s="1006"/>
      <c r="F47" s="1006"/>
      <c r="G47" s="1006"/>
      <c r="H47" s="840"/>
    </row>
    <row r="48" spans="2:8">
      <c r="B48" s="344" t="s">
        <v>1273</v>
      </c>
      <c r="C48" s="1006"/>
      <c r="D48" s="1006"/>
      <c r="E48" s="1006"/>
      <c r="F48" s="1006"/>
      <c r="G48" s="1006"/>
      <c r="H48" s="840"/>
    </row>
    <row r="49" spans="1:10">
      <c r="B49" s="344" t="s">
        <v>540</v>
      </c>
      <c r="C49" s="1001">
        <f>'Basic Info'!C4</f>
        <v>0</v>
      </c>
      <c r="D49" s="1001">
        <f>'Basic Info'!C5</f>
        <v>0</v>
      </c>
      <c r="E49" s="1001">
        <f>'Basic Info'!C6</f>
        <v>0</v>
      </c>
      <c r="F49" s="1001">
        <f>'Basic Info'!C7</f>
        <v>0</v>
      </c>
      <c r="G49" s="1001">
        <f>'Basic Info'!C8</f>
        <v>0</v>
      </c>
      <c r="H49" s="840"/>
    </row>
    <row r="50" spans="1:10">
      <c r="B50" s="344" t="s">
        <v>1315</v>
      </c>
      <c r="C50" s="1001">
        <f>C46*C49</f>
        <v>0</v>
      </c>
      <c r="D50" s="1001">
        <f t="shared" ref="D50:G50" si="0">D46*D49</f>
        <v>0</v>
      </c>
      <c r="E50" s="1001">
        <f t="shared" si="0"/>
        <v>0</v>
      </c>
      <c r="F50" s="1001">
        <f t="shared" si="0"/>
        <v>0</v>
      </c>
      <c r="G50" s="1001">
        <f t="shared" si="0"/>
        <v>0</v>
      </c>
      <c r="H50" s="840"/>
    </row>
    <row r="51" spans="1:10">
      <c r="B51" s="1009" t="s">
        <v>1318</v>
      </c>
      <c r="C51" s="1002">
        <f>MAX(C47,IF($C$35="Continuous",$C$37,0)+IF($D$35="Continuous",$D$37,0))*C49</f>
        <v>0</v>
      </c>
      <c r="D51" s="1002">
        <f t="shared" ref="D51:G51" si="1">MAX(D47,IF($C$35="Continuous",$C$37,0)+IF($D$35="Continuous",$D$37,0))*D49</f>
        <v>0</v>
      </c>
      <c r="E51" s="1002">
        <f t="shared" si="1"/>
        <v>0</v>
      </c>
      <c r="F51" s="1002">
        <f t="shared" si="1"/>
        <v>0</v>
      </c>
      <c r="G51" s="1002">
        <f t="shared" si="1"/>
        <v>0</v>
      </c>
      <c r="H51" s="840"/>
    </row>
    <row r="52" spans="1:10" ht="13.5" thickBot="1">
      <c r="B52" s="843"/>
      <c r="C52" s="959" t="str">
        <f>IF(C47="","",IF(C51&gt;C50, "", IF(C51&lt;C50, "Insufficient Ventilation", "")))</f>
        <v/>
      </c>
      <c r="D52" s="959" t="str">
        <f>IF(D47="","",IF(D51&gt;D50, "", IF(D51&lt;D50, "Insufficient Ventilation", "")))</f>
        <v/>
      </c>
      <c r="E52" s="959" t="str">
        <f>IF(E47="","",IF(E51&gt;E50, "", IF(E51&lt;E50, "Insufficient Ventilation", "")))</f>
        <v/>
      </c>
      <c r="F52" s="959" t="str">
        <f>IF(F47="","",IF(F51&gt;F50, "", IF(F51&lt;F50, "Insufficient Ventilation", "")))</f>
        <v/>
      </c>
      <c r="G52" s="959" t="str">
        <f>IF(G47="","",IF(G51&gt;G50, "", IF(G51&lt;G50, "Insufficient Ventilation", "")))</f>
        <v/>
      </c>
      <c r="H52" s="845"/>
    </row>
    <row r="54" spans="1:10">
      <c r="A54" s="885"/>
      <c r="B54" s="404"/>
      <c r="C54" s="960" t="s">
        <v>119</v>
      </c>
      <c r="D54" s="960" t="s">
        <v>120</v>
      </c>
      <c r="E54" s="960" t="s">
        <v>119</v>
      </c>
      <c r="F54" s="960" t="s">
        <v>120</v>
      </c>
      <c r="G54" s="960" t="s">
        <v>119</v>
      </c>
      <c r="H54" s="960" t="s">
        <v>120</v>
      </c>
      <c r="I54" s="960" t="s">
        <v>119</v>
      </c>
      <c r="J54" s="960" t="s">
        <v>120</v>
      </c>
    </row>
    <row r="55" spans="1:10" ht="12.75" customHeight="1">
      <c r="A55" s="947"/>
      <c r="B55" s="405" t="s">
        <v>188</v>
      </c>
      <c r="C55" s="1642" t="s">
        <v>877</v>
      </c>
      <c r="D55" s="1643"/>
      <c r="E55" s="1642" t="s">
        <v>1274</v>
      </c>
      <c r="F55" s="1643"/>
      <c r="G55" s="1642" t="s">
        <v>1030</v>
      </c>
      <c r="H55" s="1643"/>
      <c r="I55" s="1381"/>
      <c r="J55" s="1383"/>
    </row>
    <row r="56" spans="1:10">
      <c r="B56" s="405" t="s">
        <v>1275</v>
      </c>
      <c r="C56" s="940">
        <f>MIN(IF(C35="Continuous",C41,0)+IF(D35="Continuous",D41,0),D56)</f>
        <v>0</v>
      </c>
      <c r="D56" s="439">
        <f>IF(C35="Continuous",C40,0)+IF(D35="Continuous",D40,0)</f>
        <v>0</v>
      </c>
      <c r="E56" s="338"/>
      <c r="F56" s="338"/>
      <c r="G56" s="338"/>
      <c r="H56" s="338"/>
      <c r="I56" s="338"/>
      <c r="J56" s="338"/>
    </row>
    <row r="57" spans="1:10">
      <c r="B57" s="405" t="s">
        <v>1276</v>
      </c>
      <c r="C57" s="338"/>
      <c r="D57" s="338"/>
      <c r="E57" s="338"/>
      <c r="F57" s="338"/>
      <c r="G57" s="338"/>
      <c r="H57" s="338"/>
      <c r="I57" s="338"/>
      <c r="J57" s="338"/>
    </row>
    <row r="58" spans="1:10">
      <c r="B58" s="405" t="s">
        <v>1277</v>
      </c>
      <c r="C58" s="439" t="s">
        <v>1278</v>
      </c>
      <c r="D58" s="338"/>
      <c r="E58" s="439" t="s">
        <v>1278</v>
      </c>
      <c r="F58" s="338"/>
      <c r="G58" s="338"/>
      <c r="H58" s="338"/>
      <c r="I58" s="338"/>
      <c r="J58" s="338"/>
    </row>
    <row r="59" spans="1:10">
      <c r="B59" s="405" t="s">
        <v>1279</v>
      </c>
      <c r="C59" s="439">
        <f>MIN(IF(C35="Intermittent",C41,0)+IF(D35="Intermittent",D41,0),D59)</f>
        <v>0</v>
      </c>
      <c r="D59" s="439">
        <f>IF(C35="Continuous",0,C40)+IF(D35="Continuous",0,D40)</f>
        <v>0</v>
      </c>
      <c r="E59" s="439">
        <f>F59</f>
        <v>0</v>
      </c>
      <c r="F59" s="338"/>
      <c r="G59" s="338"/>
      <c r="H59" s="338"/>
      <c r="I59" s="338"/>
      <c r="J59" s="338"/>
    </row>
    <row r="60" spans="1:10" ht="12.75" customHeight="1">
      <c r="B60" s="405" t="s">
        <v>1280</v>
      </c>
      <c r="C60" s="338"/>
      <c r="D60" s="338"/>
      <c r="E60" s="439">
        <f>F60</f>
        <v>0</v>
      </c>
      <c r="F60" s="338"/>
      <c r="G60" s="338"/>
      <c r="H60" s="338"/>
      <c r="I60" s="338"/>
      <c r="J60" s="338"/>
    </row>
    <row r="61" spans="1:10">
      <c r="B61" s="405" t="s">
        <v>1427</v>
      </c>
      <c r="C61" s="439">
        <f>MIN(D61,SUMPRODUCT(C46:G46,C49:G49))</f>
        <v>0</v>
      </c>
      <c r="D61" s="439">
        <f>SUMPRODUCT(C47:G47,C49:G49)</f>
        <v>0</v>
      </c>
      <c r="E61" s="1010">
        <f>'Basic Info'!C16*0.06</f>
        <v>0</v>
      </c>
      <c r="F61" s="338"/>
      <c r="G61" s="338"/>
      <c r="H61" s="338"/>
      <c r="I61" s="338"/>
      <c r="J61" s="338"/>
    </row>
    <row r="62" spans="1:10">
      <c r="B62" s="405" t="s">
        <v>1319</v>
      </c>
      <c r="C62" s="439">
        <v>0</v>
      </c>
      <c r="D62" s="338"/>
      <c r="E62" s="1129">
        <v>0</v>
      </c>
      <c r="F62" s="1011"/>
      <c r="G62" s="1195"/>
      <c r="H62" s="1011"/>
      <c r="I62" s="1195"/>
      <c r="J62" s="1195"/>
    </row>
    <row r="63" spans="1:10">
      <c r="A63" s="954"/>
      <c r="B63" s="439" t="s">
        <v>1428</v>
      </c>
      <c r="C63" s="858">
        <f>IF($C$20=0,0,D16*$C$19/$C$20*60)</f>
        <v>0</v>
      </c>
      <c r="D63" s="858">
        <f>IF($C$20=0,0,E16*$C$19/$C$20*60)</f>
        <v>0</v>
      </c>
      <c r="E63" s="1636" t="s">
        <v>1281</v>
      </c>
      <c r="F63" s="1637"/>
      <c r="G63" s="1636" t="s">
        <v>1281</v>
      </c>
      <c r="H63" s="1637"/>
      <c r="I63" s="1636" t="s">
        <v>1281</v>
      </c>
      <c r="J63" s="1637"/>
    </row>
    <row r="64" spans="1:10">
      <c r="A64" s="954"/>
      <c r="B64" s="439" t="s">
        <v>1282</v>
      </c>
      <c r="C64" s="1632" t="s">
        <v>1283</v>
      </c>
      <c r="D64" s="1633"/>
      <c r="E64" s="1636" t="s">
        <v>1281</v>
      </c>
      <c r="F64" s="1637"/>
      <c r="G64" s="1636" t="s">
        <v>1281</v>
      </c>
      <c r="H64" s="1637"/>
      <c r="I64" s="1636" t="s">
        <v>1281</v>
      </c>
      <c r="J64" s="1637"/>
    </row>
    <row r="65" spans="1:10">
      <c r="B65" s="439" t="s">
        <v>1429</v>
      </c>
      <c r="C65" s="1012">
        <f>C56+C57+C59*2/24</f>
        <v>0</v>
      </c>
      <c r="D65" s="1012">
        <f>D56+D57+D59*2/24</f>
        <v>0</v>
      </c>
      <c r="E65" s="1013">
        <f t="shared" ref="E65:J65" si="2">E56</f>
        <v>0</v>
      </c>
      <c r="F65" s="1013">
        <f t="shared" si="2"/>
        <v>0</v>
      </c>
      <c r="G65" s="1013">
        <f t="shared" si="2"/>
        <v>0</v>
      </c>
      <c r="H65" s="1013">
        <f t="shared" si="2"/>
        <v>0</v>
      </c>
      <c r="I65" s="1013">
        <f t="shared" si="2"/>
        <v>0</v>
      </c>
      <c r="J65" s="1013">
        <f t="shared" si="2"/>
        <v>0</v>
      </c>
    </row>
    <row r="66" spans="1:10">
      <c r="B66" s="961" t="s">
        <v>1430</v>
      </c>
      <c r="C66" s="1632" t="s">
        <v>1284</v>
      </c>
      <c r="D66" s="1633"/>
      <c r="E66" s="1632" t="s">
        <v>1284</v>
      </c>
      <c r="F66" s="1633"/>
      <c r="G66" s="1632" t="s">
        <v>1284</v>
      </c>
      <c r="H66" s="1633"/>
      <c r="I66" s="1632" t="s">
        <v>1284</v>
      </c>
      <c r="J66" s="1633"/>
    </row>
    <row r="67" spans="1:10">
      <c r="B67" s="439" t="s">
        <v>1473</v>
      </c>
      <c r="C67" s="962">
        <v>0</v>
      </c>
      <c r="D67" s="963">
        <f>IF(D65=0,0,(D58+D60*2/24)/D65)</f>
        <v>0</v>
      </c>
      <c r="E67" s="962">
        <v>0</v>
      </c>
      <c r="F67" s="855">
        <f>F58</f>
        <v>0</v>
      </c>
      <c r="G67" s="962">
        <v>0</v>
      </c>
      <c r="H67" s="855">
        <f>H58</f>
        <v>0</v>
      </c>
      <c r="I67" s="962">
        <v>0</v>
      </c>
      <c r="J67" s="855">
        <f>J58</f>
        <v>0</v>
      </c>
    </row>
    <row r="68" spans="1:10">
      <c r="B68" s="439" t="s">
        <v>1474</v>
      </c>
      <c r="C68" s="962">
        <f>C60</f>
        <v>0</v>
      </c>
      <c r="D68" s="962">
        <f t="shared" ref="D68:J68" si="3">D60</f>
        <v>0</v>
      </c>
      <c r="E68" s="962">
        <f t="shared" si="3"/>
        <v>0</v>
      </c>
      <c r="F68" s="962">
        <f t="shared" si="3"/>
        <v>0</v>
      </c>
      <c r="G68" s="962">
        <f t="shared" si="3"/>
        <v>0</v>
      </c>
      <c r="H68" s="962">
        <f t="shared" si="3"/>
        <v>0</v>
      </c>
      <c r="I68" s="962">
        <f t="shared" si="3"/>
        <v>0</v>
      </c>
      <c r="J68" s="962">
        <f t="shared" si="3"/>
        <v>0</v>
      </c>
    </row>
    <row r="69" spans="1:10">
      <c r="B69" s="439" t="s">
        <v>1431</v>
      </c>
      <c r="C69" s="1634" t="s">
        <v>1320</v>
      </c>
      <c r="D69" s="1635"/>
      <c r="E69" s="1636" t="s">
        <v>1281</v>
      </c>
      <c r="F69" s="1637"/>
      <c r="G69" s="1636" t="s">
        <v>1281</v>
      </c>
      <c r="H69" s="1637"/>
      <c r="I69" s="1636" t="s">
        <v>1281</v>
      </c>
      <c r="J69" s="1637"/>
    </row>
    <row r="70" spans="1:10">
      <c r="B70" s="439" t="s">
        <v>1321</v>
      </c>
      <c r="C70" s="855">
        <v>0</v>
      </c>
      <c r="D70" s="855">
        <f>D62</f>
        <v>0</v>
      </c>
      <c r="E70" s="855">
        <v>0</v>
      </c>
      <c r="F70" s="855">
        <f>F62</f>
        <v>0</v>
      </c>
      <c r="G70" s="1004"/>
      <c r="H70" s="1005"/>
      <c r="I70" s="1004"/>
      <c r="J70" s="1005"/>
    </row>
    <row r="71" spans="1:10">
      <c r="B71" s="439" t="s">
        <v>1432</v>
      </c>
      <c r="C71" s="941">
        <f>C61</f>
        <v>0</v>
      </c>
      <c r="D71" s="941">
        <f>D61</f>
        <v>0</v>
      </c>
      <c r="E71" s="858">
        <f>'Basic Info'!C16*0.06</f>
        <v>0</v>
      </c>
      <c r="F71" s="858">
        <f>F61</f>
        <v>0</v>
      </c>
      <c r="G71" s="858">
        <f>G61</f>
        <v>0</v>
      </c>
      <c r="H71" s="858">
        <f>H61</f>
        <v>0</v>
      </c>
      <c r="I71" s="858">
        <f>I61</f>
        <v>0</v>
      </c>
      <c r="J71" s="858">
        <f>J61</f>
        <v>0</v>
      </c>
    </row>
    <row r="72" spans="1:10" ht="12.75">
      <c r="B72" s="954"/>
      <c r="E72" s="1027" t="str">
        <f>IF(F71&lt;E71,"Insufficient Ventilation","")</f>
        <v/>
      </c>
    </row>
    <row r="73" spans="1:10">
      <c r="B73" s="674" t="s">
        <v>138</v>
      </c>
    </row>
    <row r="74" spans="1:10">
      <c r="A74" s="312">
        <v>1</v>
      </c>
      <c r="B74" s="312" t="s">
        <v>1285</v>
      </c>
    </row>
    <row r="75" spans="1:10">
      <c r="A75" s="312">
        <v>2</v>
      </c>
      <c r="B75" s="312" t="s">
        <v>1286</v>
      </c>
    </row>
    <row r="77" spans="1:10">
      <c r="B77" s="1239" t="s">
        <v>1135</v>
      </c>
      <c r="C77" s="1240"/>
      <c r="D77" s="1240"/>
      <c r="E77" s="1240"/>
      <c r="F77" s="1240"/>
      <c r="G77" s="1241"/>
    </row>
    <row r="78" spans="1:10">
      <c r="B78" s="1014"/>
      <c r="C78" s="1015"/>
      <c r="D78" s="1015"/>
      <c r="E78" s="1015"/>
      <c r="F78" s="1015"/>
      <c r="G78" s="1016"/>
    </row>
    <row r="79" spans="1:10">
      <c r="B79" s="426"/>
      <c r="C79" s="427"/>
      <c r="D79" s="427"/>
      <c r="E79" s="427"/>
      <c r="F79" s="427"/>
      <c r="G79" s="428"/>
    </row>
    <row r="80" spans="1:10">
      <c r="B80" s="426"/>
      <c r="C80" s="427"/>
      <c r="D80" s="427"/>
      <c r="E80" s="427"/>
      <c r="F80" s="427"/>
      <c r="G80" s="428"/>
    </row>
    <row r="81" spans="2:7">
      <c r="B81" s="426"/>
      <c r="C81" s="427"/>
      <c r="D81" s="427"/>
      <c r="E81" s="427"/>
      <c r="F81" s="427"/>
      <c r="G81" s="428"/>
    </row>
    <row r="82" spans="2:7">
      <c r="B82" s="1017"/>
      <c r="C82" s="1018"/>
      <c r="D82" s="1018"/>
      <c r="E82" s="1018"/>
      <c r="F82" s="1018"/>
      <c r="G82" s="1019"/>
    </row>
  </sheetData>
  <sheetProtection sheet="1" objects="1" scenarios="1" formatCells="0" insertColumns="0" deleteColumns="0"/>
  <mergeCells count="22">
    <mergeCell ref="C19:D19"/>
    <mergeCell ref="C20:D20"/>
    <mergeCell ref="C55:D55"/>
    <mergeCell ref="E55:F55"/>
    <mergeCell ref="G55:H55"/>
    <mergeCell ref="I55:J55"/>
    <mergeCell ref="E63:F63"/>
    <mergeCell ref="G63:H63"/>
    <mergeCell ref="I63:J63"/>
    <mergeCell ref="C64:D64"/>
    <mergeCell ref="E64:F64"/>
    <mergeCell ref="G64:H64"/>
    <mergeCell ref="I64:J64"/>
    <mergeCell ref="B77:G77"/>
    <mergeCell ref="C66:D66"/>
    <mergeCell ref="E66:F66"/>
    <mergeCell ref="G66:H66"/>
    <mergeCell ref="I66:J66"/>
    <mergeCell ref="C69:D69"/>
    <mergeCell ref="E69:F69"/>
    <mergeCell ref="G69:H69"/>
    <mergeCell ref="I69:J69"/>
  </mergeCells>
  <conditionalFormatting sqref="C67">
    <cfRule type="cellIs" dxfId="8" priority="12" operator="notEqual">
      <formula>0</formula>
    </cfRule>
    <cfRule type="cellIs" priority="13" operator="notEqual">
      <formula>0</formula>
    </cfRule>
  </conditionalFormatting>
  <conditionalFormatting sqref="E71">
    <cfRule type="cellIs" dxfId="7" priority="11" operator="lessThan">
      <formula>#REF!*0.06</formula>
    </cfRule>
  </conditionalFormatting>
  <conditionalFormatting sqref="G67">
    <cfRule type="cellIs" dxfId="6" priority="9" operator="notEqual">
      <formula>0</formula>
    </cfRule>
    <cfRule type="cellIs" priority="10" operator="notEqual">
      <formula>0</formula>
    </cfRule>
  </conditionalFormatting>
  <conditionalFormatting sqref="E67">
    <cfRule type="cellIs" dxfId="5" priority="7" operator="notEqual">
      <formula>0</formula>
    </cfRule>
    <cfRule type="cellIs" priority="8" operator="notEqual">
      <formula>0</formula>
    </cfRule>
  </conditionalFormatting>
  <conditionalFormatting sqref="I67">
    <cfRule type="cellIs" dxfId="4" priority="5" operator="notEqual">
      <formula>0</formula>
    </cfRule>
    <cfRule type="cellIs" priority="6" operator="notEqual">
      <formula>0</formula>
    </cfRule>
  </conditionalFormatting>
  <conditionalFormatting sqref="D40">
    <cfRule type="cellIs" dxfId="3" priority="2" operator="notBetween">
      <formula>#REF!</formula>
      <formula>$D$41</formula>
    </cfRule>
  </conditionalFormatting>
  <conditionalFormatting sqref="C40">
    <cfRule type="cellIs" dxfId="2" priority="1" operator="notBetween">
      <formula>#REF!</formula>
      <formula>$C$41</formula>
    </cfRule>
  </conditionalFormatting>
  <conditionalFormatting sqref="D37">
    <cfRule type="cellIs" dxfId="1" priority="3" operator="lessThan">
      <formula>$D$38</formula>
    </cfRule>
  </conditionalFormatting>
  <conditionalFormatting sqref="C37">
    <cfRule type="cellIs" dxfId="0" priority="4" operator="lessThan">
      <formula>$C$38</formula>
    </cfRule>
  </conditionalFormatting>
  <dataValidations count="4">
    <dataValidation type="list" allowBlank="1" showInputMessage="1" showErrorMessage="1" sqref="C35:D35">
      <formula1>"Intermittent, Continuous"</formula1>
    </dataValidation>
    <dataValidation type="list" allowBlank="1" showInputMessage="1" showErrorMessage="1" sqref="C36:D36">
      <formula1>"Rooftop, Range Hood &lt;500CFM, Bathroom &amp; Utility 90-500 CFM, In-line, Other"</formula1>
    </dataValidation>
    <dataValidation type="list" allowBlank="1" showInputMessage="1" showErrorMessage="1" sqref="C48:G48">
      <formula1>"Yes, No"</formula1>
    </dataValidation>
    <dataValidation type="list" allowBlank="1" showInputMessage="1" showErrorMessage="1" sqref="C21">
      <formula1>"50 pa,75 pa"</formula1>
    </dataValidation>
  </dataValidations>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P44"/>
  <sheetViews>
    <sheetView showGridLines="0" workbookViewId="0">
      <selection activeCell="K3" sqref="K3"/>
    </sheetView>
  </sheetViews>
  <sheetFormatPr defaultRowHeight="12"/>
  <cols>
    <col min="1" max="1" width="2" style="411" bestFit="1" customWidth="1"/>
    <col min="2" max="2" width="33.7109375" style="411" customWidth="1"/>
    <col min="3" max="3" width="14.28515625" style="411" customWidth="1"/>
    <col min="4" max="4" width="12.42578125" style="411" customWidth="1"/>
    <col min="5" max="5" width="11.42578125" style="411" customWidth="1"/>
    <col min="6" max="11" width="10" style="411" customWidth="1"/>
    <col min="12" max="12" width="9.140625" style="411"/>
    <col min="13" max="15" width="14" style="411" customWidth="1"/>
    <col min="16" max="16" width="8.7109375" style="411" customWidth="1"/>
    <col min="17" max="16384" width="9.140625" style="411"/>
  </cols>
  <sheetData>
    <row r="1" spans="1:16" ht="18.75">
      <c r="B1" s="436" t="s">
        <v>1038</v>
      </c>
    </row>
    <row r="3" spans="1:16">
      <c r="A3" s="665"/>
      <c r="B3" s="674" t="s">
        <v>792</v>
      </c>
    </row>
    <row r="4" spans="1:16">
      <c r="A4" s="312">
        <v>1</v>
      </c>
      <c r="B4" s="333" t="s">
        <v>1039</v>
      </c>
      <c r="C4" s="842"/>
      <c r="D4" s="842"/>
      <c r="E4" s="842"/>
    </row>
    <row r="5" spans="1:16">
      <c r="A5" s="312">
        <v>2</v>
      </c>
      <c r="B5" s="333" t="s">
        <v>1040</v>
      </c>
      <c r="C5" s="842"/>
      <c r="D5" s="842"/>
      <c r="E5" s="842"/>
    </row>
    <row r="6" spans="1:16">
      <c r="A6" s="312">
        <v>3</v>
      </c>
      <c r="B6" s="312" t="s">
        <v>1041</v>
      </c>
      <c r="C6" s="842"/>
      <c r="D6" s="842"/>
    </row>
    <row r="7" spans="1:16">
      <c r="A7" s="312">
        <v>4</v>
      </c>
      <c r="B7" s="316" t="s">
        <v>186</v>
      </c>
      <c r="C7" s="842"/>
      <c r="D7" s="842"/>
    </row>
    <row r="8" spans="1:16">
      <c r="A8" s="312">
        <v>5</v>
      </c>
      <c r="B8" s="334" t="s">
        <v>1042</v>
      </c>
      <c r="C8" s="842"/>
    </row>
    <row r="9" spans="1:16">
      <c r="A9" s="312">
        <v>6</v>
      </c>
      <c r="B9" s="978" t="s">
        <v>1043</v>
      </c>
      <c r="C9" s="964"/>
      <c r="D9" s="964"/>
    </row>
    <row r="10" spans="1:16">
      <c r="B10" s="965"/>
      <c r="C10" s="965"/>
      <c r="D10" s="965"/>
    </row>
    <row r="11" spans="1:16" ht="12.75" thickBot="1">
      <c r="C11" s="1647" t="s">
        <v>89</v>
      </c>
      <c r="D11" s="1648"/>
      <c r="E11" s="1647" t="s">
        <v>191</v>
      </c>
      <c r="F11" s="1649"/>
      <c r="G11" s="1649"/>
      <c r="H11" s="1649"/>
      <c r="I11" s="1649"/>
      <c r="J11" s="1649"/>
      <c r="K11" s="1648"/>
    </row>
    <row r="12" spans="1:16" ht="36.75" thickBot="1">
      <c r="B12" s="979"/>
      <c r="C12" s="980" t="s">
        <v>1044</v>
      </c>
      <c r="D12" s="980" t="s">
        <v>1045</v>
      </c>
      <c r="E12" s="980" t="s">
        <v>1045</v>
      </c>
      <c r="F12" s="980" t="s">
        <v>1046</v>
      </c>
      <c r="G12" s="980" t="s">
        <v>1047</v>
      </c>
      <c r="H12" s="980" t="s">
        <v>1048</v>
      </c>
      <c r="I12" s="980" t="s">
        <v>1049</v>
      </c>
      <c r="J12" s="980" t="s">
        <v>1050</v>
      </c>
      <c r="K12" s="980" t="s">
        <v>1051</v>
      </c>
      <c r="M12" s="1644" t="s">
        <v>1420</v>
      </c>
      <c r="N12" s="1645"/>
      <c r="O12" s="1646"/>
      <c r="P12" s="26"/>
    </row>
    <row r="13" spans="1:16">
      <c r="B13" s="981" t="s">
        <v>1052</v>
      </c>
      <c r="C13" s="989" t="s">
        <v>1053</v>
      </c>
      <c r="D13" s="989" t="s">
        <v>1053</v>
      </c>
      <c r="E13" s="966"/>
      <c r="F13" s="967"/>
      <c r="G13" s="967"/>
      <c r="H13" s="967"/>
      <c r="I13" s="967"/>
      <c r="J13" s="967"/>
      <c r="K13" s="967"/>
      <c r="M13" s="1108" t="s">
        <v>264</v>
      </c>
      <c r="N13" s="1109" t="s">
        <v>1417</v>
      </c>
      <c r="O13" s="1110" t="s">
        <v>1416</v>
      </c>
      <c r="P13" s="44"/>
    </row>
    <row r="14" spans="1:16" ht="12.75" thickBot="1">
      <c r="B14" s="981" t="s">
        <v>132</v>
      </c>
      <c r="C14" s="990">
        <f>IF(C15&gt;15000,9.305,IF(C15&lt;7000,11.009,12.5-(0.213*C15/1000)))</f>
        <v>11.009</v>
      </c>
      <c r="D14" s="991">
        <f>IF(D15&gt;15000,9.305,IF(D15&lt;7000,11.009,12.5-(0.213*D15/1000)))</f>
        <v>11.009</v>
      </c>
      <c r="E14" s="966"/>
      <c r="F14" s="967"/>
      <c r="G14" s="967"/>
      <c r="H14" s="967"/>
      <c r="I14" s="967"/>
      <c r="J14" s="967"/>
      <c r="K14" s="967"/>
      <c r="M14" s="1104"/>
      <c r="N14" s="1105">
        <f>-0.0076*M14^2+0.3796*M14</f>
        <v>0</v>
      </c>
      <c r="O14" s="1106" t="e">
        <f>1/N14</f>
        <v>#DIV/0!</v>
      </c>
      <c r="P14" s="44"/>
    </row>
    <row r="15" spans="1:16" ht="12.75" thickBot="1">
      <c r="B15" s="982" t="s">
        <v>1054</v>
      </c>
      <c r="C15" s="968"/>
      <c r="D15" s="968"/>
      <c r="E15" s="968"/>
      <c r="F15" s="968"/>
      <c r="G15" s="968"/>
      <c r="H15" s="968"/>
      <c r="I15" s="968"/>
      <c r="J15" s="968"/>
      <c r="K15" s="968"/>
      <c r="M15" s="1115"/>
      <c r="N15" s="1116"/>
      <c r="O15" s="1117"/>
      <c r="P15" s="44"/>
    </row>
    <row r="16" spans="1:16">
      <c r="B16" s="983" t="s">
        <v>1055</v>
      </c>
      <c r="C16" s="873" t="s">
        <v>274</v>
      </c>
      <c r="D16" s="984" t="s">
        <v>274</v>
      </c>
      <c r="E16" s="967"/>
      <c r="F16" s="967"/>
      <c r="G16" s="967"/>
      <c r="H16" s="967"/>
      <c r="I16" s="967"/>
      <c r="J16" s="967"/>
      <c r="K16" s="967"/>
      <c r="M16" s="1108" t="s">
        <v>132</v>
      </c>
      <c r="N16" s="1109" t="s">
        <v>1418</v>
      </c>
      <c r="O16" s="1109" t="s">
        <v>1417</v>
      </c>
      <c r="P16" s="1110" t="s">
        <v>1416</v>
      </c>
    </row>
    <row r="17" spans="2:16" ht="12.75" thickBot="1">
      <c r="B17" s="983" t="s">
        <v>1056</v>
      </c>
      <c r="C17" s="873" t="s">
        <v>274</v>
      </c>
      <c r="D17" s="984" t="s">
        <v>274</v>
      </c>
      <c r="E17" s="969"/>
      <c r="F17" s="970"/>
      <c r="G17" s="970"/>
      <c r="H17" s="970"/>
      <c r="I17" s="970"/>
      <c r="J17" s="970"/>
      <c r="K17" s="970"/>
      <c r="M17" s="1104"/>
      <c r="N17" s="1107"/>
      <c r="O17" s="1105">
        <f>7.84*10^(-8)*N17+0.338*M17</f>
        <v>0</v>
      </c>
      <c r="P17" s="1106" t="e">
        <f>1/O17</f>
        <v>#DIV/0!</v>
      </c>
    </row>
    <row r="18" spans="2:16" ht="12.75" thickBot="1">
      <c r="B18" s="983" t="s">
        <v>1057</v>
      </c>
      <c r="C18" s="985" t="s">
        <v>274</v>
      </c>
      <c r="D18" s="985" t="s">
        <v>274</v>
      </c>
      <c r="E18" s="971"/>
      <c r="F18" s="972"/>
      <c r="G18" s="972"/>
      <c r="H18" s="972"/>
      <c r="I18" s="972"/>
      <c r="J18" s="972"/>
      <c r="K18" s="972"/>
      <c r="M18" s="1115"/>
      <c r="N18" s="1116"/>
      <c r="O18" s="1117"/>
      <c r="P18" s="1114"/>
    </row>
    <row r="19" spans="2:16">
      <c r="B19" s="983" t="s">
        <v>1058</v>
      </c>
      <c r="C19" s="986">
        <v>2.9999999999999997E-4</v>
      </c>
      <c r="D19" s="986">
        <v>2.9999999999999997E-4</v>
      </c>
      <c r="E19" s="988">
        <f>IF(E18+E17=0,0,E16*0.746/E18/E17)</f>
        <v>0</v>
      </c>
      <c r="F19" s="988">
        <f t="shared" ref="F19:K19" si="0">IF(F18+F17=0,0,F16*0.746/F18/F17)</f>
        <v>0</v>
      </c>
      <c r="G19" s="988">
        <f t="shared" si="0"/>
        <v>0</v>
      </c>
      <c r="H19" s="988">
        <f t="shared" si="0"/>
        <v>0</v>
      </c>
      <c r="I19" s="988">
        <f t="shared" si="0"/>
        <v>0</v>
      </c>
      <c r="J19" s="988">
        <f t="shared" si="0"/>
        <v>0</v>
      </c>
      <c r="K19" s="988">
        <f t="shared" si="0"/>
        <v>0</v>
      </c>
      <c r="M19" s="1111" t="s">
        <v>263</v>
      </c>
      <c r="N19" s="1112" t="s">
        <v>1419</v>
      </c>
      <c r="O19" s="1113" t="s">
        <v>1416</v>
      </c>
      <c r="P19" s="44"/>
    </row>
    <row r="20" spans="2:16" ht="12.75" thickBot="1">
      <c r="B20" s="983" t="s">
        <v>1059</v>
      </c>
      <c r="C20" s="987">
        <f>(1/C14-0.365*400/12000)/((1/3.413)+0.365*400/12000)</f>
        <v>0.2577895729181931</v>
      </c>
      <c r="D20" s="987">
        <f>(1/D14-0.365*400/12000)/((1/3.413)+0.365*400/12000)</f>
        <v>0.2577895729181931</v>
      </c>
      <c r="E20" s="987">
        <f>IF(E14=0,0,(1/E14-0.365*400/12000)/((1/3.413)+0.365*400/12000))</f>
        <v>0</v>
      </c>
      <c r="F20" s="987">
        <f t="shared" ref="F20:K20" si="1">IF(F14=0,0,(1/F14-0.365*400/12000)/((1/3.413)+0.365*400/12000))</f>
        <v>0</v>
      </c>
      <c r="G20" s="987">
        <f t="shared" si="1"/>
        <v>0</v>
      </c>
      <c r="H20" s="987">
        <f t="shared" si="1"/>
        <v>0</v>
      </c>
      <c r="I20" s="987">
        <f t="shared" si="1"/>
        <v>0</v>
      </c>
      <c r="J20" s="987">
        <f t="shared" si="1"/>
        <v>0</v>
      </c>
      <c r="K20" s="987">
        <f t="shared" si="1"/>
        <v>0</v>
      </c>
      <c r="M20" s="1104"/>
      <c r="N20" s="1105">
        <f>-0.0296*M20^2+0.7134*M20</f>
        <v>0</v>
      </c>
      <c r="O20" s="1106" t="e">
        <f>1/N20</f>
        <v>#DIV/0!</v>
      </c>
      <c r="P20" s="44"/>
    </row>
    <row r="23" spans="2:16" ht="15.75" customHeight="1"/>
    <row r="24" spans="2:16">
      <c r="C24" s="1647" t="s">
        <v>89</v>
      </c>
      <c r="D24" s="1648"/>
      <c r="E24" s="1647" t="s">
        <v>191</v>
      </c>
      <c r="F24" s="1649"/>
      <c r="G24" s="1649"/>
      <c r="H24" s="1649"/>
      <c r="I24" s="1649"/>
      <c r="J24" s="1649"/>
      <c r="K24" s="1648"/>
    </row>
    <row r="25" spans="2:16" ht="36" customHeight="1">
      <c r="B25" s="979"/>
      <c r="C25" s="980" t="s">
        <v>1044</v>
      </c>
      <c r="D25" s="980" t="s">
        <v>1045</v>
      </c>
      <c r="E25" s="980" t="s">
        <v>1045</v>
      </c>
      <c r="F25" s="980" t="s">
        <v>1046</v>
      </c>
      <c r="G25" s="980" t="s">
        <v>1047</v>
      </c>
      <c r="H25" s="980" t="s">
        <v>1048</v>
      </c>
      <c r="I25" s="980" t="s">
        <v>1049</v>
      </c>
      <c r="J25" s="980" t="s">
        <v>1050</v>
      </c>
      <c r="K25" s="980" t="s">
        <v>1051</v>
      </c>
    </row>
    <row r="26" spans="2:16">
      <c r="B26" s="981" t="s">
        <v>1052</v>
      </c>
      <c r="C26" s="989" t="s">
        <v>1060</v>
      </c>
      <c r="D26" s="989" t="s">
        <v>1060</v>
      </c>
      <c r="E26" s="966"/>
      <c r="F26" s="967"/>
      <c r="G26" s="967"/>
      <c r="H26" s="967"/>
      <c r="I26" s="967"/>
      <c r="J26" s="967"/>
      <c r="K26" s="967"/>
    </row>
    <row r="27" spans="2:16">
      <c r="B27" s="981" t="s">
        <v>132</v>
      </c>
      <c r="C27" s="990">
        <f>IF(C28&gt;15000,9.105,IF(C28&lt;7000,10.809,12.3-(0.213*C28/1000)))</f>
        <v>10.808999999999999</v>
      </c>
      <c r="D27" s="991">
        <f>IF(D28&gt;15000,9.105,IF(D28&lt;7000,10.809,12.3-(0.213*D28/1000)))</f>
        <v>10.808999999999999</v>
      </c>
      <c r="E27" s="966"/>
      <c r="F27" s="967"/>
      <c r="G27" s="967"/>
      <c r="H27" s="967"/>
      <c r="I27" s="967"/>
      <c r="J27" s="967"/>
      <c r="K27" s="967"/>
    </row>
    <row r="28" spans="2:16">
      <c r="B28" s="982" t="s">
        <v>1054</v>
      </c>
      <c r="C28" s="973"/>
      <c r="D28" s="973"/>
      <c r="E28" s="973"/>
      <c r="F28" s="973"/>
      <c r="G28" s="973"/>
      <c r="H28" s="973"/>
      <c r="I28" s="973"/>
      <c r="J28" s="973"/>
      <c r="K28" s="973"/>
    </row>
    <row r="29" spans="2:16">
      <c r="B29" s="983" t="s">
        <v>1055</v>
      </c>
      <c r="C29" s="873" t="s">
        <v>274</v>
      </c>
      <c r="D29" s="984" t="s">
        <v>274</v>
      </c>
      <c r="E29" s="967"/>
      <c r="F29" s="967"/>
      <c r="G29" s="967"/>
      <c r="H29" s="967"/>
      <c r="I29" s="967"/>
      <c r="J29" s="967"/>
      <c r="K29" s="967"/>
    </row>
    <row r="30" spans="2:16">
      <c r="B30" s="983" t="s">
        <v>1056</v>
      </c>
      <c r="C30" s="873" t="s">
        <v>274</v>
      </c>
      <c r="D30" s="984" t="s">
        <v>274</v>
      </c>
      <c r="E30" s="974"/>
      <c r="F30" s="975"/>
      <c r="G30" s="975"/>
      <c r="H30" s="975"/>
      <c r="I30" s="975"/>
      <c r="J30" s="975"/>
      <c r="K30" s="975"/>
    </row>
    <row r="31" spans="2:16" ht="12" customHeight="1">
      <c r="B31" s="983" t="s">
        <v>1057</v>
      </c>
      <c r="C31" s="985" t="s">
        <v>274</v>
      </c>
      <c r="D31" s="985" t="s">
        <v>274</v>
      </c>
      <c r="E31" s="969"/>
      <c r="F31" s="970"/>
      <c r="G31" s="970"/>
      <c r="H31" s="970"/>
      <c r="I31" s="970"/>
      <c r="J31" s="970"/>
      <c r="K31" s="970"/>
    </row>
    <row r="32" spans="2:16" ht="12" customHeight="1">
      <c r="B32" s="983" t="s">
        <v>1058</v>
      </c>
      <c r="C32" s="986">
        <v>2.9999999999999997E-4</v>
      </c>
      <c r="D32" s="986">
        <v>2.9999999999999997E-4</v>
      </c>
      <c r="E32" s="988">
        <f t="shared" ref="E32:K32" si="2">IF(E31+E30=0,0,E29*0.746/E31/E30)</f>
        <v>0</v>
      </c>
      <c r="F32" s="988">
        <f t="shared" si="2"/>
        <v>0</v>
      </c>
      <c r="G32" s="988">
        <f t="shared" si="2"/>
        <v>0</v>
      </c>
      <c r="H32" s="988">
        <f t="shared" si="2"/>
        <v>0</v>
      </c>
      <c r="I32" s="988">
        <f t="shared" si="2"/>
        <v>0</v>
      </c>
      <c r="J32" s="988">
        <f t="shared" si="2"/>
        <v>0</v>
      </c>
      <c r="K32" s="988">
        <f t="shared" si="2"/>
        <v>0</v>
      </c>
    </row>
    <row r="33" spans="2:11" ht="12" customHeight="1">
      <c r="B33" s="983" t="s">
        <v>1061</v>
      </c>
      <c r="C33" s="987">
        <f>(1/C27-0.365*400/12000)/((1/3.413)+0.365*400/12000)</f>
        <v>0.26329718401113056</v>
      </c>
      <c r="D33" s="987">
        <f>(1/D27-0.365*400/12000)/((1/3.413)+0.365*400/12000)</f>
        <v>0.26329718401113056</v>
      </c>
      <c r="E33" s="987">
        <f>IF(E27=0,0,(1/E27-0.365*400/12000)/((1/3.413)+0.365*400/12000))</f>
        <v>0</v>
      </c>
      <c r="F33" s="987">
        <f t="shared" ref="F33:K33" si="3">IF(F27=0,0,(1/F27-0.365*400/12000)/((1/3.413)+0.365*400/12000))</f>
        <v>0</v>
      </c>
      <c r="G33" s="987">
        <f t="shared" si="3"/>
        <v>0</v>
      </c>
      <c r="H33" s="987">
        <f t="shared" si="3"/>
        <v>0</v>
      </c>
      <c r="I33" s="987">
        <f t="shared" si="3"/>
        <v>0</v>
      </c>
      <c r="J33" s="987">
        <f t="shared" si="3"/>
        <v>0</v>
      </c>
      <c r="K33" s="987">
        <f t="shared" si="3"/>
        <v>0</v>
      </c>
    </row>
    <row r="34" spans="2:11" ht="12" customHeight="1">
      <c r="B34" s="983" t="s">
        <v>1062</v>
      </c>
      <c r="C34" s="973"/>
      <c r="D34" s="973"/>
      <c r="E34" s="973"/>
      <c r="F34" s="973"/>
      <c r="G34" s="973"/>
      <c r="H34" s="973"/>
      <c r="I34" s="973"/>
      <c r="J34" s="973"/>
      <c r="K34" s="973"/>
    </row>
    <row r="35" spans="2:11" ht="12" customHeight="1">
      <c r="B35" s="983" t="s">
        <v>1063</v>
      </c>
      <c r="C35" s="987">
        <f>IF(C34&gt;15000,2.81,IF(C34&lt;7000,3.018,3.2-(0.026*C34/1000)))</f>
        <v>3.0179999999999998</v>
      </c>
      <c r="D35" s="987">
        <f>IF(D34&gt;15000,2.81,IF(D34&lt;7000,3.018,3.2-(0.026*D34/1000)))</f>
        <v>3.0179999999999998</v>
      </c>
      <c r="E35" s="976"/>
      <c r="F35" s="977"/>
      <c r="G35" s="977"/>
      <c r="H35" s="977"/>
      <c r="I35" s="977"/>
      <c r="J35" s="977"/>
      <c r="K35" s="977"/>
    </row>
    <row r="36" spans="2:11" ht="12" customHeight="1">
      <c r="B36" s="983" t="s">
        <v>1064</v>
      </c>
      <c r="C36" s="987">
        <f t="shared" ref="C36:K36" si="4">1/C35</f>
        <v>0.3313452617627568</v>
      </c>
      <c r="D36" s="992">
        <f t="shared" si="4"/>
        <v>0.3313452617627568</v>
      </c>
      <c r="E36" s="992" t="e">
        <f t="shared" si="4"/>
        <v>#DIV/0!</v>
      </c>
      <c r="F36" s="992" t="e">
        <f t="shared" si="4"/>
        <v>#DIV/0!</v>
      </c>
      <c r="G36" s="992" t="e">
        <f t="shared" si="4"/>
        <v>#DIV/0!</v>
      </c>
      <c r="H36" s="992" t="e">
        <f t="shared" si="4"/>
        <v>#DIV/0!</v>
      </c>
      <c r="I36" s="992" t="e">
        <f t="shared" si="4"/>
        <v>#DIV/0!</v>
      </c>
      <c r="J36" s="992" t="e">
        <f t="shared" si="4"/>
        <v>#DIV/0!</v>
      </c>
      <c r="K36" s="992" t="e">
        <f t="shared" si="4"/>
        <v>#DIV/0!</v>
      </c>
    </row>
    <row r="39" spans="2:11">
      <c r="B39" s="1239" t="s">
        <v>1135</v>
      </c>
      <c r="C39" s="1240"/>
      <c r="D39" s="1240"/>
      <c r="E39" s="1240"/>
      <c r="F39" s="1240"/>
      <c r="G39" s="1241"/>
    </row>
    <row r="40" spans="2:11">
      <c r="B40" s="423"/>
      <c r="C40" s="424"/>
      <c r="D40" s="424"/>
      <c r="E40" s="424"/>
      <c r="F40" s="424"/>
      <c r="G40" s="425"/>
    </row>
    <row r="41" spans="2:11">
      <c r="B41" s="426"/>
      <c r="C41" s="427"/>
      <c r="D41" s="427"/>
      <c r="E41" s="427"/>
      <c r="F41" s="427"/>
      <c r="G41" s="428"/>
    </row>
    <row r="42" spans="2:11">
      <c r="B42" s="429"/>
      <c r="C42" s="427"/>
      <c r="D42" s="427"/>
      <c r="E42" s="427"/>
      <c r="F42" s="427"/>
      <c r="G42" s="428"/>
    </row>
    <row r="43" spans="2:11">
      <c r="B43" s="429"/>
      <c r="C43" s="427"/>
      <c r="D43" s="427"/>
      <c r="E43" s="427"/>
      <c r="F43" s="427"/>
      <c r="G43" s="428"/>
    </row>
    <row r="44" spans="2:11">
      <c r="B44" s="430"/>
      <c r="C44" s="431"/>
      <c r="D44" s="431"/>
      <c r="E44" s="431"/>
      <c r="F44" s="431"/>
      <c r="G44" s="432"/>
    </row>
  </sheetData>
  <sheetProtection sheet="1" objects="1" scenarios="1" formatCells="0" insertColumns="0" insertRows="0" deleteColumns="0" deleteRows="0"/>
  <mergeCells count="6">
    <mergeCell ref="B39:G39"/>
    <mergeCell ref="M12:O12"/>
    <mergeCell ref="C11:D11"/>
    <mergeCell ref="E11:K11"/>
    <mergeCell ref="C24:D24"/>
    <mergeCell ref="E24:K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B2:E18"/>
  <sheetViews>
    <sheetView showGridLines="0" workbookViewId="0">
      <selection activeCell="E18" sqref="E18"/>
    </sheetView>
  </sheetViews>
  <sheetFormatPr defaultRowHeight="12"/>
  <cols>
    <col min="1" max="1" width="9.140625" style="44"/>
    <col min="2" max="2" width="32.7109375" style="44" bestFit="1" customWidth="1"/>
    <col min="3" max="3" width="11.7109375" style="44" customWidth="1"/>
    <col min="4" max="4" width="16.7109375" style="44" bestFit="1" customWidth="1"/>
    <col min="5" max="16384" width="9.140625" style="44"/>
  </cols>
  <sheetData>
    <row r="2" spans="2:5">
      <c r="B2" s="68" t="s">
        <v>145</v>
      </c>
      <c r="C2" s="68" t="s">
        <v>21</v>
      </c>
      <c r="D2" s="68" t="s">
        <v>22</v>
      </c>
      <c r="E2" s="68" t="s">
        <v>279</v>
      </c>
    </row>
    <row r="3" spans="2:5">
      <c r="B3" s="47" t="s">
        <v>17</v>
      </c>
      <c r="C3" s="106">
        <f>'Basic Info'!C12</f>
        <v>0</v>
      </c>
      <c r="D3" s="106" t="str">
        <f>'Basic Info'!D12</f>
        <v>N/A</v>
      </c>
      <c r="E3" s="46">
        <f>IF(OR(D3="Heated &amp; Cooled",D3="Heated-Only")=TRUE,C3,0)</f>
        <v>0</v>
      </c>
    </row>
    <row r="4" spans="2:5">
      <c r="B4" s="47" t="s">
        <v>110</v>
      </c>
      <c r="C4" s="106">
        <f>'Basic Info'!C13</f>
        <v>0</v>
      </c>
      <c r="D4" s="106" t="str">
        <f>'Basic Info'!D13</f>
        <v>N/A</v>
      </c>
      <c r="E4" s="46">
        <f>IF(OR(D4="Heated &amp; Cooled",D4="Heated-Only")=TRUE,C4,0)</f>
        <v>0</v>
      </c>
    </row>
    <row r="5" spans="2:5">
      <c r="B5" s="47" t="s">
        <v>111</v>
      </c>
      <c r="C5" s="106">
        <f>'Basic Info'!C14</f>
        <v>0</v>
      </c>
      <c r="D5" s="106" t="str">
        <f>'Basic Info'!D14</f>
        <v>N/A</v>
      </c>
      <c r="E5" s="46">
        <f t="shared" ref="E5:E13" si="0">IF(OR(D5="Heated &amp; Cooled",D5="Heated-Only")=TRUE,C5,0)</f>
        <v>0</v>
      </c>
    </row>
    <row r="6" spans="2:5">
      <c r="B6" s="47" t="s">
        <v>112</v>
      </c>
      <c r="C6" s="106">
        <f>'Basic Info'!C15</f>
        <v>0</v>
      </c>
      <c r="D6" s="106" t="str">
        <f>'Basic Info'!D15</f>
        <v>N/A</v>
      </c>
      <c r="E6" s="46">
        <f t="shared" si="0"/>
        <v>0</v>
      </c>
    </row>
    <row r="7" spans="2:5">
      <c r="B7" s="47" t="s">
        <v>113</v>
      </c>
      <c r="C7" s="106">
        <f>'Basic Info'!C16</f>
        <v>0</v>
      </c>
      <c r="D7" s="106" t="str">
        <f>'Basic Info'!D16</f>
        <v>N/A</v>
      </c>
      <c r="E7" s="46">
        <f t="shared" si="0"/>
        <v>0</v>
      </c>
    </row>
    <row r="8" spans="2:5">
      <c r="B8" s="47" t="s">
        <v>114</v>
      </c>
      <c r="C8" s="106">
        <f>'Basic Info'!C17</f>
        <v>0</v>
      </c>
      <c r="D8" s="106" t="str">
        <f>'Basic Info'!D17</f>
        <v>N/A</v>
      </c>
      <c r="E8" s="46">
        <f t="shared" si="0"/>
        <v>0</v>
      </c>
    </row>
    <row r="9" spans="2:5">
      <c r="B9" s="47" t="s">
        <v>115</v>
      </c>
      <c r="C9" s="106">
        <f>'Basic Info'!C18</f>
        <v>0</v>
      </c>
      <c r="D9" s="106" t="str">
        <f>'Basic Info'!D18</f>
        <v>N/A</v>
      </c>
      <c r="E9" s="46">
        <f t="shared" si="0"/>
        <v>0</v>
      </c>
    </row>
    <row r="10" spans="2:5">
      <c r="B10" s="47" t="s">
        <v>134</v>
      </c>
      <c r="C10" s="106">
        <f>'Basic Info'!C19</f>
        <v>0</v>
      </c>
      <c r="D10" s="106" t="str">
        <f>'Basic Info'!D19</f>
        <v>N/A</v>
      </c>
      <c r="E10" s="46">
        <f t="shared" si="0"/>
        <v>0</v>
      </c>
    </row>
    <row r="11" spans="2:5">
      <c r="B11" s="47" t="s">
        <v>146</v>
      </c>
      <c r="C11" s="106">
        <f>'Basic Info'!C20</f>
        <v>0</v>
      </c>
      <c r="D11" s="106" t="str">
        <f>'Basic Info'!D20</f>
        <v>N/A</v>
      </c>
      <c r="E11" s="46">
        <f t="shared" si="0"/>
        <v>0</v>
      </c>
    </row>
    <row r="12" spans="2:5">
      <c r="B12" s="47" t="s">
        <v>116</v>
      </c>
      <c r="C12" s="106">
        <f>'Basic Info'!C21</f>
        <v>0</v>
      </c>
      <c r="D12" s="106" t="str">
        <f>'Basic Info'!D21</f>
        <v>N/A</v>
      </c>
      <c r="E12" s="46">
        <f t="shared" si="0"/>
        <v>0</v>
      </c>
    </row>
    <row r="13" spans="2:5">
      <c r="B13" s="47" t="s">
        <v>117</v>
      </c>
      <c r="C13" s="106">
        <f>'Basic Info'!C22</f>
        <v>0</v>
      </c>
      <c r="D13" s="106" t="str">
        <f>'Basic Info'!D22</f>
        <v>N/A</v>
      </c>
      <c r="E13" s="46">
        <f t="shared" si="0"/>
        <v>0</v>
      </c>
    </row>
    <row r="14" spans="2:5">
      <c r="B14" s="47" t="s">
        <v>1098</v>
      </c>
      <c r="C14" s="106">
        <f>'Basic Info'!C23</f>
        <v>0</v>
      </c>
      <c r="D14" s="106" t="str">
        <f>'Basic Info'!D23</f>
        <v>N/A</v>
      </c>
      <c r="E14" s="46">
        <f t="shared" ref="E14:E15" si="1">IF(OR(D14="Heated &amp; Cooled",D14="Heated-Only")=TRUE,C14,0)</f>
        <v>0</v>
      </c>
    </row>
    <row r="15" spans="2:5">
      <c r="B15" s="47" t="s">
        <v>1099</v>
      </c>
      <c r="C15" s="106">
        <f>'Basic Info'!C24</f>
        <v>0</v>
      </c>
      <c r="D15" s="106" t="str">
        <f>'Basic Info'!D24</f>
        <v>N/A</v>
      </c>
      <c r="E15" s="46">
        <f t="shared" si="1"/>
        <v>0</v>
      </c>
    </row>
    <row r="16" spans="2:5">
      <c r="B16" s="107" t="s">
        <v>118</v>
      </c>
      <c r="C16" s="108">
        <f>'Basic Info'!C25</f>
        <v>0</v>
      </c>
      <c r="D16" s="108" t="str">
        <f>'Basic Info'!D25</f>
        <v>N/A</v>
      </c>
      <c r="E16" s="349">
        <v>0</v>
      </c>
    </row>
    <row r="17" spans="2:5" ht="12.75" thickBot="1">
      <c r="B17" s="107" t="s">
        <v>252</v>
      </c>
      <c r="C17" s="108">
        <f>'Basic Info'!C26</f>
        <v>0</v>
      </c>
      <c r="D17" s="108" t="str">
        <f>'Basic Info'!D26</f>
        <v>N/A</v>
      </c>
      <c r="E17" s="109">
        <v>0</v>
      </c>
    </row>
    <row r="18" spans="2:5" ht="12.75" thickBot="1">
      <c r="D18" s="44" t="s">
        <v>524</v>
      </c>
      <c r="E18" s="49">
        <f>SUM(E3:E15)</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79998168889431442"/>
  </sheetPr>
  <dimension ref="A1:N52"/>
  <sheetViews>
    <sheetView showGridLines="0" workbookViewId="0">
      <selection activeCell="A18" sqref="A18"/>
    </sheetView>
  </sheetViews>
  <sheetFormatPr defaultRowHeight="12.75"/>
  <cols>
    <col min="1" max="1" width="37.5703125" bestFit="1" customWidth="1"/>
    <col min="2" max="2" width="17.140625" customWidth="1"/>
    <col min="3" max="3" width="9.140625" style="26"/>
    <col min="7" max="7" width="10.28515625" customWidth="1"/>
    <col min="8" max="8" width="24.28515625" customWidth="1"/>
    <col min="9" max="9" width="15.85546875" customWidth="1"/>
    <col min="10" max="10" width="7.42578125" customWidth="1"/>
  </cols>
  <sheetData>
    <row r="1" spans="1:14" ht="39" thickBot="1">
      <c r="A1" s="1130" t="s">
        <v>316</v>
      </c>
      <c r="B1" s="1130" t="s">
        <v>464</v>
      </c>
      <c r="C1" s="1130" t="s">
        <v>465</v>
      </c>
      <c r="D1" s="1130" t="s">
        <v>466</v>
      </c>
      <c r="E1" s="1130" t="s">
        <v>467</v>
      </c>
      <c r="F1" s="23" t="s">
        <v>478</v>
      </c>
      <c r="G1" s="23" t="s">
        <v>44</v>
      </c>
    </row>
    <row r="2" spans="1:14">
      <c r="A2" s="21" t="s">
        <v>509</v>
      </c>
      <c r="B2" s="1131">
        <v>1.1400000000000001E-4</v>
      </c>
      <c r="C2" s="1132">
        <v>1.8500000000000001E-3</v>
      </c>
      <c r="D2" s="1131">
        <v>1.1400000000000001E-4</v>
      </c>
      <c r="E2" s="1132">
        <v>1.1299999999999999E-3</v>
      </c>
      <c r="F2" s="356">
        <v>14</v>
      </c>
      <c r="G2" s="1133" t="s">
        <v>320</v>
      </c>
    </row>
    <row r="3" spans="1:14">
      <c r="A3" s="19" t="s">
        <v>507</v>
      </c>
      <c r="B3" s="1131">
        <v>1.1400000000000001E-4</v>
      </c>
      <c r="C3" s="1132">
        <v>1.8500000000000001E-3</v>
      </c>
      <c r="D3" s="1131">
        <v>1.1400000000000001E-4</v>
      </c>
      <c r="E3" s="1132">
        <v>1.1299999999999999E-3</v>
      </c>
      <c r="F3" s="356">
        <v>13</v>
      </c>
      <c r="G3" s="1133" t="s">
        <v>320</v>
      </c>
      <c r="K3" s="31"/>
      <c r="L3" s="30"/>
      <c r="M3" s="31"/>
      <c r="N3" s="28"/>
    </row>
    <row r="4" spans="1:14" s="26" customFormat="1">
      <c r="A4" s="21" t="s">
        <v>508</v>
      </c>
      <c r="B4" s="1131">
        <v>1.1400000000000001E-4</v>
      </c>
      <c r="C4" s="1132">
        <v>1.8500000000000001E-3</v>
      </c>
      <c r="D4" s="1131">
        <v>1.1400000000000001E-4</v>
      </c>
      <c r="E4" s="1132">
        <v>1.1299999999999999E-3</v>
      </c>
      <c r="F4" s="356">
        <v>15</v>
      </c>
      <c r="G4" s="1133" t="s">
        <v>320</v>
      </c>
      <c r="K4" s="31"/>
      <c r="L4" s="30"/>
      <c r="M4" s="31"/>
      <c r="N4" s="28"/>
    </row>
    <row r="5" spans="1:14">
      <c r="A5" s="19" t="s">
        <v>513</v>
      </c>
      <c r="B5" s="1131">
        <v>1.1400000000000001E-4</v>
      </c>
      <c r="C5" s="1132">
        <v>1.8500000000000001E-3</v>
      </c>
      <c r="D5" s="1131">
        <v>1.1400000000000001E-4</v>
      </c>
      <c r="E5" s="1132">
        <v>1.1299999999999999E-3</v>
      </c>
      <c r="F5" s="356">
        <v>13</v>
      </c>
      <c r="G5" s="1133" t="s">
        <v>458</v>
      </c>
      <c r="H5" s="27"/>
      <c r="I5" s="28"/>
      <c r="J5" s="29"/>
      <c r="K5" s="31"/>
      <c r="L5" s="30"/>
      <c r="M5" s="31"/>
      <c r="N5" s="28"/>
    </row>
    <row r="6" spans="1:14">
      <c r="A6" s="19" t="s">
        <v>515</v>
      </c>
      <c r="B6" s="1131">
        <v>1.1400000000000001E-4</v>
      </c>
      <c r="C6" s="1132">
        <v>1.8500000000000001E-3</v>
      </c>
      <c r="D6" s="1131">
        <v>1.1400000000000001E-4</v>
      </c>
      <c r="E6" s="1132">
        <v>1.1299999999999999E-3</v>
      </c>
      <c r="F6" s="356">
        <v>13</v>
      </c>
      <c r="G6" s="1133" t="s">
        <v>458</v>
      </c>
      <c r="H6" s="27"/>
      <c r="I6" s="28"/>
      <c r="J6" s="32"/>
      <c r="K6" s="31"/>
      <c r="L6" s="30"/>
      <c r="M6" s="31"/>
      <c r="N6" s="28"/>
    </row>
    <row r="7" spans="1:14">
      <c r="A7" s="19" t="s">
        <v>514</v>
      </c>
      <c r="B7" s="1131">
        <v>1.1400000000000001E-4</v>
      </c>
      <c r="C7" s="1132">
        <v>1.8500000000000001E-3</v>
      </c>
      <c r="D7" s="1131">
        <v>1.1400000000000001E-4</v>
      </c>
      <c r="E7" s="1132">
        <v>1.1299999999999999E-3</v>
      </c>
      <c r="F7" s="356">
        <v>15</v>
      </c>
      <c r="G7" s="1133" t="s">
        <v>458</v>
      </c>
      <c r="H7" s="27"/>
      <c r="I7" s="28"/>
      <c r="J7" s="32"/>
      <c r="K7" s="31"/>
      <c r="L7" s="33"/>
      <c r="M7" s="31"/>
      <c r="N7" s="28"/>
    </row>
    <row r="8" spans="1:14">
      <c r="A8" s="19" t="s">
        <v>516</v>
      </c>
      <c r="B8" s="1131">
        <v>1.1400000000000001E-4</v>
      </c>
      <c r="C8" s="1132">
        <v>1.8500000000000001E-3</v>
      </c>
      <c r="D8" s="1131">
        <v>1.1400000000000001E-4</v>
      </c>
      <c r="E8" s="1132">
        <v>1.1299999999999999E-3</v>
      </c>
      <c r="F8" s="356">
        <v>7</v>
      </c>
      <c r="G8" s="1133" t="s">
        <v>320</v>
      </c>
      <c r="H8" s="27"/>
      <c r="I8" s="28"/>
      <c r="J8" s="32"/>
      <c r="K8" s="31"/>
      <c r="L8" s="33"/>
      <c r="M8" s="31"/>
      <c r="N8" s="28"/>
    </row>
    <row r="9" spans="1:14">
      <c r="A9" s="19" t="s">
        <v>501</v>
      </c>
      <c r="B9" s="1134">
        <v>0</v>
      </c>
      <c r="C9" s="1132">
        <v>1.8500000000000001E-3</v>
      </c>
      <c r="D9" s="1134">
        <v>0</v>
      </c>
      <c r="E9" s="1132">
        <v>1.1299999999999999E-3</v>
      </c>
      <c r="F9" s="356">
        <v>25</v>
      </c>
      <c r="G9" s="1133" t="s">
        <v>106</v>
      </c>
      <c r="H9" s="27"/>
      <c r="I9" s="28"/>
      <c r="J9" s="32"/>
      <c r="K9" s="31"/>
      <c r="L9" s="33"/>
      <c r="M9" s="31"/>
      <c r="N9" s="28"/>
    </row>
    <row r="10" spans="1:14">
      <c r="A10" s="19" t="s">
        <v>500</v>
      </c>
      <c r="B10" s="1134">
        <v>0</v>
      </c>
      <c r="C10" s="1132">
        <v>1.8500000000000001E-3</v>
      </c>
      <c r="D10" s="1134">
        <v>0</v>
      </c>
      <c r="E10" s="1132">
        <v>1.1299999999999999E-3</v>
      </c>
      <c r="F10" s="356">
        <v>25</v>
      </c>
      <c r="G10" s="1133" t="s">
        <v>106</v>
      </c>
      <c r="H10" s="27"/>
      <c r="I10" s="35"/>
      <c r="J10" s="32"/>
      <c r="K10" s="31"/>
      <c r="L10" s="33"/>
      <c r="M10" s="31"/>
      <c r="N10" s="36"/>
    </row>
    <row r="11" spans="1:14">
      <c r="A11" s="19" t="s">
        <v>499</v>
      </c>
      <c r="B11" s="1134">
        <v>0</v>
      </c>
      <c r="C11" s="1132">
        <v>1.8500000000000001E-3</v>
      </c>
      <c r="D11" s="1134">
        <v>0</v>
      </c>
      <c r="E11" s="1132">
        <v>1.1299999999999999E-3</v>
      </c>
      <c r="F11" s="356">
        <v>20</v>
      </c>
      <c r="G11" s="1133" t="s">
        <v>320</v>
      </c>
      <c r="H11" s="34"/>
      <c r="I11" s="36"/>
      <c r="J11" s="32"/>
      <c r="K11" s="31"/>
      <c r="L11" s="33"/>
      <c r="M11" s="31"/>
      <c r="N11" s="36"/>
    </row>
    <row r="12" spans="1:14" s="26" customFormat="1">
      <c r="A12" s="19" t="s">
        <v>1124</v>
      </c>
      <c r="B12" s="1134">
        <v>0</v>
      </c>
      <c r="C12" s="1132">
        <v>1.8500000000000001E-3</v>
      </c>
      <c r="D12" s="1134">
        <v>0</v>
      </c>
      <c r="E12" s="1132">
        <v>1.1299999999999999E-3</v>
      </c>
      <c r="F12" s="356">
        <v>25</v>
      </c>
      <c r="G12" s="1133" t="s">
        <v>106</v>
      </c>
      <c r="H12" s="34"/>
      <c r="I12" s="36"/>
      <c r="J12" s="32"/>
      <c r="K12" s="31"/>
      <c r="L12" s="33"/>
      <c r="M12" s="31"/>
      <c r="N12" s="36"/>
    </row>
    <row r="13" spans="1:14">
      <c r="A13" s="19" t="s">
        <v>502</v>
      </c>
      <c r="B13" s="1134">
        <v>0</v>
      </c>
      <c r="C13" s="1132">
        <v>1.8500000000000001E-3</v>
      </c>
      <c r="D13" s="1134">
        <v>0</v>
      </c>
      <c r="E13" s="1132">
        <v>1.1299999999999999E-3</v>
      </c>
      <c r="F13" s="356">
        <v>25</v>
      </c>
      <c r="G13" s="1133" t="s">
        <v>106</v>
      </c>
      <c r="H13" s="27"/>
      <c r="I13" s="28"/>
      <c r="J13" s="32"/>
      <c r="K13" s="31"/>
      <c r="L13" s="33"/>
      <c r="M13" s="31"/>
      <c r="N13" s="36"/>
    </row>
    <row r="14" spans="1:14">
      <c r="A14" s="19" t="s">
        <v>503</v>
      </c>
      <c r="B14" s="1134">
        <v>0</v>
      </c>
      <c r="C14" s="1132">
        <v>1.8500000000000001E-3</v>
      </c>
      <c r="D14" s="1134">
        <v>0</v>
      </c>
      <c r="E14" s="1132">
        <v>1.1299999999999999E-3</v>
      </c>
      <c r="F14" s="356">
        <v>25</v>
      </c>
      <c r="G14" s="1133" t="s">
        <v>106</v>
      </c>
      <c r="H14" s="34"/>
      <c r="I14" s="36"/>
      <c r="J14" s="32"/>
      <c r="K14" s="31"/>
      <c r="L14" s="33"/>
      <c r="M14" s="31"/>
      <c r="N14" s="36"/>
    </row>
    <row r="15" spans="1:14" s="26" customFormat="1">
      <c r="A15" s="19" t="s">
        <v>561</v>
      </c>
      <c r="B15" s="1134">
        <v>0</v>
      </c>
      <c r="C15" s="1132">
        <v>1.8500000000000001E-3</v>
      </c>
      <c r="D15" s="1134">
        <v>0</v>
      </c>
      <c r="E15" s="1132">
        <v>1.1299999999999999E-3</v>
      </c>
      <c r="F15" s="356">
        <v>25</v>
      </c>
      <c r="G15" s="1133" t="s">
        <v>320</v>
      </c>
      <c r="H15" s="34"/>
      <c r="I15" s="36"/>
      <c r="J15" s="32"/>
      <c r="K15" s="31"/>
      <c r="L15" s="33"/>
      <c r="M15" s="31"/>
      <c r="N15" s="36"/>
    </row>
    <row r="16" spans="1:14">
      <c r="A16" s="21" t="s">
        <v>459</v>
      </c>
      <c r="B16" s="1131">
        <v>1.1400000000000001E-4</v>
      </c>
      <c r="C16" s="1132">
        <v>1.8500000000000001E-3</v>
      </c>
      <c r="D16" s="1131">
        <v>1.1400000000000001E-4</v>
      </c>
      <c r="E16" s="1132">
        <v>1.1299999999999999E-3</v>
      </c>
      <c r="F16" s="356">
        <v>25</v>
      </c>
      <c r="G16" s="1133" t="s">
        <v>458</v>
      </c>
      <c r="H16" s="34"/>
      <c r="I16" s="36"/>
      <c r="J16" s="32"/>
      <c r="K16" s="31"/>
      <c r="L16" s="33"/>
      <c r="M16" s="31"/>
      <c r="N16" s="36"/>
    </row>
    <row r="17" spans="1:14">
      <c r="A17" s="21" t="s">
        <v>511</v>
      </c>
      <c r="B17" s="1134">
        <v>0</v>
      </c>
      <c r="C17" s="1132">
        <v>1.8500000000000001E-3</v>
      </c>
      <c r="D17" s="1134">
        <v>0</v>
      </c>
      <c r="E17" s="1132">
        <v>1.1299999999999999E-3</v>
      </c>
      <c r="F17" s="356">
        <v>24</v>
      </c>
      <c r="G17" s="1133" t="s">
        <v>324</v>
      </c>
      <c r="H17" s="34"/>
      <c r="I17" s="36"/>
      <c r="J17" s="32"/>
      <c r="K17" s="31"/>
      <c r="L17" s="33"/>
      <c r="M17" s="31"/>
      <c r="N17" s="28"/>
    </row>
    <row r="18" spans="1:14" s="26" customFormat="1">
      <c r="A18" s="21" t="s">
        <v>1126</v>
      </c>
      <c r="B18" s="1131">
        <v>1.1400000000000001E-4</v>
      </c>
      <c r="C18" s="1132">
        <v>1.8500000000000001E-3</v>
      </c>
      <c r="D18" s="1131">
        <v>1.1400000000000001E-4</v>
      </c>
      <c r="E18" s="1132">
        <v>1.1299999999999999E-3</v>
      </c>
      <c r="F18" s="356">
        <v>10</v>
      </c>
      <c r="G18" s="1133" t="s">
        <v>320</v>
      </c>
      <c r="H18" s="34"/>
      <c r="I18" s="36"/>
      <c r="J18" s="32"/>
      <c r="K18" s="31"/>
      <c r="L18" s="33"/>
      <c r="M18" s="31"/>
      <c r="N18" s="28"/>
    </row>
    <row r="19" spans="1:14" s="26" customFormat="1">
      <c r="A19" s="21" t="s">
        <v>1125</v>
      </c>
      <c r="B19" s="1134">
        <v>0</v>
      </c>
      <c r="C19" s="1132">
        <v>1.8500000000000001E-3</v>
      </c>
      <c r="D19" s="1134">
        <v>0</v>
      </c>
      <c r="E19" s="1132">
        <v>1.1299999999999999E-3</v>
      </c>
      <c r="F19" s="356">
        <v>25</v>
      </c>
      <c r="G19" s="1133" t="s">
        <v>320</v>
      </c>
      <c r="H19" s="34"/>
      <c r="I19" s="36"/>
      <c r="J19" s="32"/>
      <c r="K19" s="31"/>
      <c r="L19" s="33"/>
      <c r="M19" s="31"/>
      <c r="N19" s="28"/>
    </row>
    <row r="20" spans="1:14" s="26" customFormat="1">
      <c r="A20" s="21" t="s">
        <v>460</v>
      </c>
      <c r="B20" s="1131">
        <v>1.1400000000000001E-4</v>
      </c>
      <c r="C20" s="1132">
        <v>1.8500000000000001E-3</v>
      </c>
      <c r="D20" s="1131">
        <v>1.1400000000000001E-4</v>
      </c>
      <c r="E20" s="1132">
        <v>1.1299999999999999E-3</v>
      </c>
      <c r="F20" s="356">
        <v>25</v>
      </c>
      <c r="G20" s="1133" t="s">
        <v>106</v>
      </c>
      <c r="H20" s="34"/>
      <c r="I20" s="36"/>
      <c r="J20" s="32"/>
      <c r="K20" s="31"/>
      <c r="L20" s="33"/>
      <c r="M20" s="31"/>
      <c r="N20" s="28"/>
    </row>
    <row r="21" spans="1:14" s="26" customFormat="1">
      <c r="A21" s="21" t="s">
        <v>1438</v>
      </c>
      <c r="B21" s="1131">
        <v>1.1400000000000001E-4</v>
      </c>
      <c r="C21" s="1132">
        <v>1.8500000000000001E-3</v>
      </c>
      <c r="D21" s="1131">
        <v>1.1400000000000001E-4</v>
      </c>
      <c r="E21" s="1132">
        <v>1.1299999999999999E-3</v>
      </c>
      <c r="F21" s="356">
        <v>15</v>
      </c>
      <c r="G21" s="1133" t="s">
        <v>458</v>
      </c>
      <c r="H21" s="34"/>
      <c r="I21" s="36"/>
      <c r="J21" s="32"/>
      <c r="K21" s="31"/>
      <c r="L21" s="33"/>
      <c r="M21" s="31"/>
      <c r="N21" s="28"/>
    </row>
    <row r="22" spans="1:14">
      <c r="A22" s="20" t="s">
        <v>1123</v>
      </c>
      <c r="B22" s="1131">
        <v>1.1400000000000001E-4</v>
      </c>
      <c r="C22" s="1132">
        <v>1.8500000000000001E-3</v>
      </c>
      <c r="D22" s="1131">
        <v>1.1400000000000001E-4</v>
      </c>
      <c r="E22" s="1132">
        <v>1.1299999999999999E-3</v>
      </c>
      <c r="F22" s="356">
        <v>20</v>
      </c>
      <c r="G22" s="1133" t="s">
        <v>458</v>
      </c>
    </row>
    <row r="23" spans="1:14">
      <c r="A23" s="21" t="s">
        <v>461</v>
      </c>
      <c r="B23" s="1131">
        <v>1.1400000000000001E-4</v>
      </c>
      <c r="C23" s="1132">
        <v>1.8500000000000001E-3</v>
      </c>
      <c r="D23" s="1131">
        <v>1.1400000000000001E-4</v>
      </c>
      <c r="E23" s="1132">
        <v>1.1299999999999999E-3</v>
      </c>
      <c r="F23" s="356">
        <v>20</v>
      </c>
      <c r="G23" s="1133" t="s">
        <v>458</v>
      </c>
      <c r="H23" s="34"/>
      <c r="I23" s="36"/>
      <c r="J23" s="32"/>
      <c r="K23" s="31"/>
      <c r="L23" s="33"/>
      <c r="M23" s="31"/>
      <c r="N23" s="28"/>
    </row>
    <row r="24" spans="1:14">
      <c r="A24" s="21" t="s">
        <v>1446</v>
      </c>
      <c r="B24" s="1134">
        <v>0</v>
      </c>
      <c r="C24" s="1132">
        <v>1.8500000000000001E-3</v>
      </c>
      <c r="D24" s="1134">
        <v>0</v>
      </c>
      <c r="E24" s="1132">
        <v>1.1299999999999999E-3</v>
      </c>
      <c r="F24" s="356">
        <v>15</v>
      </c>
      <c r="G24" s="1133" t="s">
        <v>458</v>
      </c>
      <c r="H24" s="27"/>
      <c r="I24" s="28"/>
      <c r="J24" s="32"/>
      <c r="K24" s="31"/>
      <c r="L24" s="30"/>
      <c r="M24" s="31"/>
      <c r="N24" s="28"/>
    </row>
    <row r="25" spans="1:14">
      <c r="A25" s="21" t="s">
        <v>1447</v>
      </c>
      <c r="B25" s="1131">
        <v>1.1400000000000001E-4</v>
      </c>
      <c r="C25" s="1134">
        <v>0</v>
      </c>
      <c r="D25" s="1131">
        <v>1.1400000000000001E-4</v>
      </c>
      <c r="E25" s="1134">
        <v>0</v>
      </c>
      <c r="F25" s="356">
        <v>15</v>
      </c>
      <c r="G25" s="1133" t="s">
        <v>458</v>
      </c>
      <c r="H25" s="27"/>
      <c r="I25" s="28"/>
      <c r="J25" s="32"/>
      <c r="K25" s="31"/>
      <c r="L25" s="30"/>
      <c r="M25" s="31"/>
      <c r="N25" s="36"/>
    </row>
    <row r="26" spans="1:14" s="26" customFormat="1">
      <c r="A26" s="21" t="s">
        <v>462</v>
      </c>
      <c r="B26" s="1131">
        <v>1.1400000000000001E-4</v>
      </c>
      <c r="C26" s="1132">
        <v>1.8500000000000001E-3</v>
      </c>
      <c r="D26" s="1131">
        <v>1.1400000000000001E-4</v>
      </c>
      <c r="E26" s="1132">
        <v>1.1299999999999999E-3</v>
      </c>
      <c r="F26" s="356">
        <v>15</v>
      </c>
      <c r="G26" s="1133" t="s">
        <v>458</v>
      </c>
      <c r="H26" s="27"/>
      <c r="I26" s="28"/>
      <c r="J26" s="32"/>
      <c r="K26" s="31"/>
      <c r="L26" s="30"/>
      <c r="M26" s="31"/>
      <c r="N26" s="36"/>
    </row>
    <row r="27" spans="1:14" s="26" customFormat="1">
      <c r="A27" s="21" t="s">
        <v>1444</v>
      </c>
      <c r="B27" s="1131">
        <v>1.1400000000000001E-4</v>
      </c>
      <c r="C27" s="1132">
        <v>1.8500000000000001E-3</v>
      </c>
      <c r="D27" s="1131">
        <v>1.1400000000000001E-4</v>
      </c>
      <c r="E27" s="1132">
        <v>1.1299999999999999E-3</v>
      </c>
      <c r="F27" s="356">
        <v>15</v>
      </c>
      <c r="G27" s="1133" t="s">
        <v>458</v>
      </c>
      <c r="H27" s="27"/>
      <c r="I27" s="28"/>
      <c r="J27" s="32"/>
      <c r="K27" s="31"/>
      <c r="L27" s="30"/>
      <c r="M27" s="31"/>
      <c r="N27" s="36"/>
    </row>
    <row r="28" spans="1:14" s="26" customFormat="1">
      <c r="A28" s="21" t="s">
        <v>463</v>
      </c>
      <c r="B28" s="1131">
        <v>1.1400000000000001E-4</v>
      </c>
      <c r="C28" s="1132">
        <v>1.8500000000000001E-3</v>
      </c>
      <c r="D28" s="1131">
        <v>1.1400000000000001E-4</v>
      </c>
      <c r="E28" s="1132">
        <v>1.1299999999999999E-3</v>
      </c>
      <c r="F28" s="356">
        <v>15</v>
      </c>
      <c r="G28" s="1133" t="s">
        <v>458</v>
      </c>
      <c r="H28" s="27"/>
      <c r="I28" s="28"/>
      <c r="J28" s="32"/>
      <c r="K28" s="31"/>
      <c r="L28" s="30"/>
      <c r="M28" s="31"/>
      <c r="N28" s="36"/>
    </row>
    <row r="29" spans="1:14" s="26" customFormat="1">
      <c r="A29" s="21" t="s">
        <v>1439</v>
      </c>
      <c r="B29" s="1134">
        <v>0</v>
      </c>
      <c r="C29" s="1132">
        <v>1.8500000000000001E-3</v>
      </c>
      <c r="D29" s="1134">
        <v>0</v>
      </c>
      <c r="E29" s="1132">
        <v>1.1299999999999999E-3</v>
      </c>
      <c r="F29" s="356">
        <v>15</v>
      </c>
      <c r="G29" s="1133" t="s">
        <v>458</v>
      </c>
      <c r="H29" s="27"/>
      <c r="I29" s="28"/>
      <c r="J29" s="32"/>
      <c r="K29" s="31"/>
      <c r="L29" s="30"/>
      <c r="M29" s="31"/>
      <c r="N29" s="36"/>
    </row>
    <row r="30" spans="1:14">
      <c r="A30" s="21" t="s">
        <v>1449</v>
      </c>
      <c r="B30" s="1131">
        <v>1.1400000000000001E-4</v>
      </c>
      <c r="C30" s="1132">
        <v>1.8500000000000001E-3</v>
      </c>
      <c r="D30" s="1131">
        <v>1.1400000000000001E-4</v>
      </c>
      <c r="E30" s="1132">
        <v>1.1299999999999999E-3</v>
      </c>
      <c r="F30" s="356">
        <v>15</v>
      </c>
      <c r="G30" s="1133" t="s">
        <v>458</v>
      </c>
      <c r="H30" s="27"/>
      <c r="I30" s="28"/>
      <c r="J30" s="32"/>
      <c r="K30" s="31"/>
      <c r="L30" s="30"/>
      <c r="M30" s="31"/>
      <c r="N30" s="28"/>
    </row>
    <row r="31" spans="1:14" s="26" customFormat="1">
      <c r="A31" s="21" t="s">
        <v>1440</v>
      </c>
      <c r="B31" s="1131">
        <v>1.1400000000000001E-4</v>
      </c>
      <c r="C31" s="1134">
        <v>0</v>
      </c>
      <c r="D31" s="1131">
        <v>1.1400000000000001E-4</v>
      </c>
      <c r="E31" s="1134">
        <v>0</v>
      </c>
      <c r="F31" s="356">
        <v>15</v>
      </c>
      <c r="G31" s="1133" t="s">
        <v>458</v>
      </c>
      <c r="H31" s="27"/>
      <c r="I31" s="28"/>
      <c r="J31" s="32"/>
      <c r="K31" s="31"/>
      <c r="L31" s="30"/>
      <c r="M31" s="31"/>
      <c r="N31" s="28"/>
    </row>
    <row r="32" spans="1:14" s="26" customFormat="1">
      <c r="A32" s="21" t="s">
        <v>1441</v>
      </c>
      <c r="B32" s="1134">
        <v>0</v>
      </c>
      <c r="C32" s="1132">
        <v>1.8500000000000001E-3</v>
      </c>
      <c r="D32" s="1134">
        <v>0</v>
      </c>
      <c r="E32" s="1132">
        <v>1.1299999999999999E-3</v>
      </c>
      <c r="F32" s="356">
        <v>15</v>
      </c>
      <c r="G32" s="1133" t="s">
        <v>458</v>
      </c>
      <c r="H32" s="27"/>
      <c r="I32" s="28"/>
      <c r="J32" s="32"/>
      <c r="K32" s="31"/>
      <c r="L32" s="30"/>
      <c r="M32" s="31"/>
      <c r="N32" s="36"/>
    </row>
    <row r="33" spans="1:14" s="26" customFormat="1">
      <c r="A33" s="21" t="s">
        <v>1448</v>
      </c>
      <c r="B33" s="1131">
        <v>1.1400000000000001E-4</v>
      </c>
      <c r="C33" s="1132">
        <v>1.8500000000000001E-3</v>
      </c>
      <c r="D33" s="1131">
        <v>1.1400000000000001E-4</v>
      </c>
      <c r="E33" s="1132">
        <v>1.1299999999999999E-3</v>
      </c>
      <c r="F33" s="356">
        <v>15</v>
      </c>
      <c r="G33" s="1133" t="s">
        <v>458</v>
      </c>
      <c r="H33" s="27"/>
      <c r="I33" s="28"/>
      <c r="J33" s="32"/>
      <c r="K33" s="31"/>
      <c r="L33" s="30"/>
      <c r="M33" s="31"/>
      <c r="N33" s="28"/>
    </row>
    <row r="34" spans="1:14" s="26" customFormat="1">
      <c r="A34" s="21" t="s">
        <v>1442</v>
      </c>
      <c r="B34" s="1131">
        <v>1.1400000000000001E-4</v>
      </c>
      <c r="C34" s="1134">
        <v>0</v>
      </c>
      <c r="D34" s="1131">
        <v>1.1400000000000001E-4</v>
      </c>
      <c r="E34" s="1134">
        <v>0</v>
      </c>
      <c r="F34" s="356">
        <v>15</v>
      </c>
      <c r="G34" s="1133" t="s">
        <v>458</v>
      </c>
      <c r="H34" s="27"/>
      <c r="I34" s="28"/>
      <c r="J34" s="32"/>
      <c r="K34" s="31"/>
      <c r="L34" s="30"/>
      <c r="M34" s="31"/>
      <c r="N34" s="28"/>
    </row>
    <row r="35" spans="1:14">
      <c r="A35" s="21" t="s">
        <v>1450</v>
      </c>
      <c r="B35" s="1134">
        <v>0</v>
      </c>
      <c r="C35" s="1132">
        <v>1.8500000000000001E-3</v>
      </c>
      <c r="D35" s="1134">
        <v>0</v>
      </c>
      <c r="E35" s="1132">
        <v>1.1299999999999999E-3</v>
      </c>
      <c r="F35" s="356">
        <v>15</v>
      </c>
      <c r="G35" s="1133" t="s">
        <v>458</v>
      </c>
      <c r="H35" s="27"/>
      <c r="I35" s="28"/>
      <c r="J35" s="32"/>
      <c r="K35" s="31"/>
      <c r="L35" s="30"/>
      <c r="M35" s="31"/>
      <c r="N35" s="36"/>
    </row>
    <row r="36" spans="1:14">
      <c r="A36" s="21" t="s">
        <v>1451</v>
      </c>
      <c r="B36" s="1131">
        <v>1.1400000000000001E-4</v>
      </c>
      <c r="C36" s="1134">
        <v>0</v>
      </c>
      <c r="D36" s="1131">
        <v>1.1400000000000001E-4</v>
      </c>
      <c r="E36" s="1134">
        <v>0</v>
      </c>
      <c r="F36" s="356">
        <v>15</v>
      </c>
      <c r="G36" s="1133" t="s">
        <v>458</v>
      </c>
      <c r="H36" s="41"/>
      <c r="I36" s="39"/>
      <c r="J36" s="32"/>
    </row>
    <row r="37" spans="1:14" s="26" customFormat="1">
      <c r="A37" s="19" t="s">
        <v>510</v>
      </c>
      <c r="B37" s="1134">
        <v>0</v>
      </c>
      <c r="C37" s="1132">
        <v>1.8500000000000001E-3</v>
      </c>
      <c r="D37" s="1134">
        <v>0</v>
      </c>
      <c r="E37" s="1132">
        <v>1.1299999999999999E-3</v>
      </c>
      <c r="F37" s="356">
        <v>13</v>
      </c>
      <c r="G37" s="1133" t="s">
        <v>320</v>
      </c>
      <c r="H37" s="41"/>
      <c r="I37" s="39"/>
      <c r="J37" s="32"/>
    </row>
    <row r="38" spans="1:14">
      <c r="A38" s="19" t="s">
        <v>1435</v>
      </c>
      <c r="B38" s="1131">
        <v>2.1000000000000001E-4</v>
      </c>
      <c r="C38" s="1132">
        <v>1.8500000000000001E-3</v>
      </c>
      <c r="D38" s="1131">
        <v>2.1000000000000001E-4</v>
      </c>
      <c r="E38" s="1132">
        <v>1.1299999999999999E-3</v>
      </c>
      <c r="F38" s="356">
        <v>12</v>
      </c>
      <c r="G38" s="1133" t="s">
        <v>320</v>
      </c>
      <c r="H38" s="41"/>
      <c r="I38" s="39"/>
      <c r="J38" s="32"/>
    </row>
    <row r="39" spans="1:14" s="26" customFormat="1">
      <c r="A39" s="19" t="s">
        <v>1434</v>
      </c>
      <c r="B39" s="1131">
        <v>2.1000000000000001E-4</v>
      </c>
      <c r="C39" s="1132">
        <v>1.8500000000000001E-3</v>
      </c>
      <c r="D39" s="1131">
        <v>2.1000000000000001E-4</v>
      </c>
      <c r="E39" s="1132">
        <v>1.1299999999999999E-3</v>
      </c>
      <c r="F39" s="356">
        <v>12</v>
      </c>
      <c r="G39" s="1133" t="s">
        <v>320</v>
      </c>
      <c r="H39" s="41"/>
      <c r="I39" s="40"/>
      <c r="J39" s="32"/>
    </row>
    <row r="40" spans="1:14">
      <c r="A40" s="19" t="s">
        <v>512</v>
      </c>
      <c r="B40" s="1135">
        <v>0</v>
      </c>
      <c r="C40" s="1132">
        <v>1.8500000000000001E-3</v>
      </c>
      <c r="D40" s="1134">
        <v>0</v>
      </c>
      <c r="E40" s="1132">
        <v>1.1299999999999999E-3</v>
      </c>
      <c r="F40" s="356">
        <v>10</v>
      </c>
      <c r="G40" s="1133" t="s">
        <v>320</v>
      </c>
      <c r="H40" s="38"/>
      <c r="I40" s="38"/>
    </row>
    <row r="41" spans="1:14" s="26" customFormat="1">
      <c r="A41" s="19" t="s">
        <v>1127</v>
      </c>
      <c r="B41" s="1135">
        <v>0</v>
      </c>
      <c r="C41" s="1132">
        <v>1.8500000000000001E-3</v>
      </c>
      <c r="D41" s="1134">
        <v>0</v>
      </c>
      <c r="E41" s="1132">
        <v>1.1299999999999999E-3</v>
      </c>
      <c r="F41" s="356">
        <v>15</v>
      </c>
      <c r="G41" s="1133" t="s">
        <v>320</v>
      </c>
      <c r="H41" s="38"/>
      <c r="I41" s="38"/>
    </row>
    <row r="42" spans="1:14" s="26" customFormat="1">
      <c r="A42" s="19" t="s">
        <v>1437</v>
      </c>
      <c r="B42" s="1131">
        <v>2.1000000000000001E-4</v>
      </c>
      <c r="C42" s="1132">
        <v>1.8500000000000001E-3</v>
      </c>
      <c r="D42" s="1131">
        <v>2.1000000000000001E-4</v>
      </c>
      <c r="E42" s="1132">
        <v>1.1299999999999999E-3</v>
      </c>
      <c r="F42" s="356">
        <v>15</v>
      </c>
      <c r="G42" s="1133" t="s">
        <v>320</v>
      </c>
      <c r="H42" s="38"/>
      <c r="I42" s="38"/>
    </row>
    <row r="43" spans="1:14" s="26" customFormat="1">
      <c r="A43" s="19" t="s">
        <v>1436</v>
      </c>
      <c r="B43" s="1131">
        <v>2.1000000000000001E-4</v>
      </c>
      <c r="C43" s="1132">
        <v>1.8500000000000001E-3</v>
      </c>
      <c r="D43" s="1131">
        <v>2.1000000000000001E-4</v>
      </c>
      <c r="E43" s="1132">
        <v>1.1299999999999999E-3</v>
      </c>
      <c r="F43" s="356">
        <v>15</v>
      </c>
      <c r="G43" s="1133" t="s">
        <v>320</v>
      </c>
      <c r="H43" s="38"/>
      <c r="I43" s="38"/>
    </row>
    <row r="44" spans="1:14">
      <c r="A44" s="19" t="s">
        <v>700</v>
      </c>
      <c r="B44" s="1131">
        <v>1.1400000000000001E-4</v>
      </c>
      <c r="C44" s="1132">
        <v>1.8500000000000001E-3</v>
      </c>
      <c r="D44" s="1131">
        <v>1.1400000000000001E-4</v>
      </c>
      <c r="E44" s="1132">
        <v>1.1299999999999999E-3</v>
      </c>
      <c r="F44" s="356">
        <v>15</v>
      </c>
      <c r="G44" s="1133" t="s">
        <v>320</v>
      </c>
    </row>
    <row r="45" spans="1:14">
      <c r="A45" s="19" t="s">
        <v>1128</v>
      </c>
      <c r="B45" s="1131">
        <v>1.1400000000000001E-4</v>
      </c>
      <c r="C45" s="1132">
        <v>1.8500000000000001E-3</v>
      </c>
      <c r="D45" s="1131">
        <v>1.1400000000000001E-4</v>
      </c>
      <c r="E45" s="1132">
        <v>1.1299999999999999E-3</v>
      </c>
      <c r="F45" s="356">
        <v>20</v>
      </c>
      <c r="G45" s="1133" t="s">
        <v>187</v>
      </c>
    </row>
    <row r="46" spans="1:14">
      <c r="A46" s="19" t="s">
        <v>504</v>
      </c>
      <c r="B46" s="1131">
        <v>1.1400000000000001E-4</v>
      </c>
      <c r="C46" s="1132">
        <v>1.8500000000000001E-3</v>
      </c>
      <c r="D46" s="1131">
        <v>1.1400000000000001E-4</v>
      </c>
      <c r="E46" s="1132">
        <v>1.1299999999999999E-3</v>
      </c>
      <c r="F46" s="356">
        <v>20</v>
      </c>
      <c r="G46" s="1133" t="s">
        <v>320</v>
      </c>
    </row>
    <row r="47" spans="1:14">
      <c r="A47" s="19" t="s">
        <v>1129</v>
      </c>
      <c r="B47" s="1131">
        <v>1.1400000000000001E-4</v>
      </c>
      <c r="C47" s="1132">
        <v>1.8500000000000001E-3</v>
      </c>
      <c r="D47" s="1131">
        <v>1.1400000000000001E-4</v>
      </c>
      <c r="E47" s="1132">
        <v>1.1299999999999999E-3</v>
      </c>
      <c r="F47" s="356">
        <v>10</v>
      </c>
      <c r="G47" s="1133" t="s">
        <v>187</v>
      </c>
    </row>
    <row r="48" spans="1:14">
      <c r="A48" s="20" t="s">
        <v>505</v>
      </c>
      <c r="B48" s="1131">
        <v>1.1400000000000001E-4</v>
      </c>
      <c r="C48" s="1132">
        <v>1.8500000000000001E-3</v>
      </c>
      <c r="D48" s="1131">
        <v>1.1400000000000001E-4</v>
      </c>
      <c r="E48" s="1132">
        <v>1.1299999999999999E-3</v>
      </c>
      <c r="F48" s="356">
        <v>20</v>
      </c>
      <c r="G48" s="1133" t="s">
        <v>320</v>
      </c>
    </row>
    <row r="49" spans="1:7">
      <c r="A49" s="20" t="s">
        <v>1445</v>
      </c>
      <c r="B49" s="1131">
        <v>1.1400000000000001E-4</v>
      </c>
      <c r="C49" s="1132">
        <v>1.8500000000000001E-3</v>
      </c>
      <c r="D49" s="1131">
        <v>1.1400000000000001E-4</v>
      </c>
      <c r="E49" s="1132">
        <v>1.1299999999999999E-3</v>
      </c>
      <c r="F49" s="356">
        <v>15</v>
      </c>
      <c r="G49" s="1133" t="s">
        <v>320</v>
      </c>
    </row>
    <row r="50" spans="1:7">
      <c r="A50" s="19" t="s">
        <v>1443</v>
      </c>
      <c r="B50" s="1131">
        <v>1.1400000000000001E-4</v>
      </c>
      <c r="C50" s="1132">
        <v>1.8500000000000001E-3</v>
      </c>
      <c r="D50" s="1131">
        <v>1.1400000000000001E-4</v>
      </c>
      <c r="E50" s="1132">
        <v>1.1299999999999999E-3</v>
      </c>
      <c r="F50" s="356">
        <v>10</v>
      </c>
      <c r="G50" s="1133" t="s">
        <v>187</v>
      </c>
    </row>
    <row r="51" spans="1:7">
      <c r="A51" s="20" t="s">
        <v>506</v>
      </c>
      <c r="B51" s="1131">
        <v>1.1400000000000001E-4</v>
      </c>
      <c r="C51" s="1132">
        <v>1.8500000000000001E-3</v>
      </c>
      <c r="D51" s="1131">
        <v>1.1400000000000001E-4</v>
      </c>
      <c r="E51" s="1132">
        <v>1.1299999999999999E-3</v>
      </c>
      <c r="F51" s="356">
        <v>10</v>
      </c>
      <c r="G51" s="1133" t="s">
        <v>187</v>
      </c>
    </row>
    <row r="52" spans="1:7" ht="13.5" thickBot="1">
      <c r="A52" s="1136" t="s">
        <v>148</v>
      </c>
      <c r="B52" s="1137"/>
      <c r="C52" s="1137"/>
      <c r="D52" s="1137"/>
      <c r="E52" s="1137"/>
      <c r="F52" s="1137"/>
      <c r="G52" s="1138"/>
    </row>
  </sheetData>
  <sortState ref="A3:G52">
    <sortCondition ref="A3:A52"/>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2:Q49"/>
  <sheetViews>
    <sheetView topLeftCell="A4" workbookViewId="0">
      <selection activeCell="G18" sqref="G18"/>
    </sheetView>
  </sheetViews>
  <sheetFormatPr defaultRowHeight="12.75"/>
  <cols>
    <col min="1" max="1" width="29.140625" bestFit="1" customWidth="1"/>
    <col min="2" max="2" width="14.42578125" bestFit="1" customWidth="1"/>
    <col min="3" max="3" width="29.140625" bestFit="1" customWidth="1"/>
    <col min="11" max="11" width="31.140625" bestFit="1" customWidth="1"/>
  </cols>
  <sheetData>
    <row r="2" spans="1:17" ht="63.75">
      <c r="A2" s="24" t="s">
        <v>287</v>
      </c>
    </row>
    <row r="3" spans="1:17" ht="51">
      <c r="A3" s="24" t="s">
        <v>427</v>
      </c>
    </row>
    <row r="4" spans="1:17" ht="25.5">
      <c r="A4" s="298" t="s">
        <v>735</v>
      </c>
    </row>
    <row r="5" spans="1:17" ht="25.5">
      <c r="A5" s="298" t="s">
        <v>736</v>
      </c>
    </row>
    <row r="8" spans="1:17" ht="38.25">
      <c r="A8" s="358"/>
      <c r="B8" s="354"/>
      <c r="C8" s="359"/>
      <c r="D8" s="360" t="s">
        <v>1137</v>
      </c>
      <c r="E8" s="360" t="s">
        <v>1138</v>
      </c>
      <c r="F8" s="360" t="s">
        <v>1139</v>
      </c>
      <c r="G8" s="360" t="s">
        <v>1140</v>
      </c>
      <c r="H8" s="361" t="s">
        <v>1141</v>
      </c>
      <c r="I8" s="362" t="s">
        <v>1142</v>
      </c>
      <c r="J8" s="354"/>
      <c r="K8" s="363" t="s">
        <v>1143</v>
      </c>
      <c r="L8" s="364" t="s">
        <v>1144</v>
      </c>
      <c r="M8" s="364" t="s">
        <v>1145</v>
      </c>
      <c r="N8" s="364" t="s">
        <v>1146</v>
      </c>
      <c r="O8" s="365" t="s">
        <v>1147</v>
      </c>
      <c r="P8" s="365" t="s">
        <v>1148</v>
      </c>
      <c r="Q8" s="366" t="s">
        <v>1149</v>
      </c>
    </row>
    <row r="9" spans="1:17">
      <c r="A9" s="358" t="s">
        <v>110</v>
      </c>
      <c r="B9" s="351" t="s">
        <v>17</v>
      </c>
      <c r="C9" s="359" t="s">
        <v>1150</v>
      </c>
      <c r="D9" s="367">
        <v>1.2</v>
      </c>
      <c r="E9" s="367">
        <v>1.1100000000000001</v>
      </c>
      <c r="F9" s="367">
        <v>0.7</v>
      </c>
      <c r="G9" s="367">
        <v>0.6</v>
      </c>
      <c r="H9" s="368">
        <v>30</v>
      </c>
      <c r="I9" s="369" t="s">
        <v>893</v>
      </c>
      <c r="J9" s="354"/>
      <c r="K9" s="359" t="s">
        <v>1151</v>
      </c>
      <c r="L9" s="370">
        <v>0.63400000000000001</v>
      </c>
      <c r="M9" s="370">
        <v>0.45900000000000002</v>
      </c>
      <c r="N9" s="370">
        <v>0.38100000000000001</v>
      </c>
      <c r="O9" s="371">
        <v>0.66</v>
      </c>
      <c r="P9" s="371">
        <v>58.8</v>
      </c>
      <c r="Q9" s="372">
        <v>521</v>
      </c>
    </row>
    <row r="10" spans="1:17">
      <c r="A10" s="358" t="s">
        <v>111</v>
      </c>
      <c r="B10" s="351" t="s">
        <v>270</v>
      </c>
      <c r="C10" s="359" t="s">
        <v>146</v>
      </c>
      <c r="D10" s="359">
        <v>1.3</v>
      </c>
      <c r="E10" s="359">
        <v>1.23</v>
      </c>
      <c r="F10" s="359">
        <v>0.7</v>
      </c>
      <c r="G10" s="359">
        <v>0.6</v>
      </c>
      <c r="H10" s="372">
        <v>30</v>
      </c>
      <c r="I10" s="369" t="s">
        <v>893</v>
      </c>
      <c r="J10" s="354"/>
      <c r="K10" s="359" t="s">
        <v>1152</v>
      </c>
      <c r="L10" s="370">
        <v>0.54500000000000004</v>
      </c>
      <c r="M10" s="370">
        <v>0.32500000000000001</v>
      </c>
      <c r="N10" s="370">
        <v>0.26</v>
      </c>
      <c r="O10" s="371">
        <v>0.61</v>
      </c>
      <c r="P10" s="371">
        <v>58.8</v>
      </c>
      <c r="Q10" s="372">
        <v>523</v>
      </c>
    </row>
    <row r="11" spans="1:17">
      <c r="A11" s="358" t="s">
        <v>112</v>
      </c>
      <c r="B11" s="351" t="s">
        <v>68</v>
      </c>
      <c r="C11" s="359" t="s">
        <v>113</v>
      </c>
      <c r="D11" s="359">
        <v>0.5</v>
      </c>
      <c r="E11" s="359">
        <v>0.66</v>
      </c>
      <c r="F11" s="359">
        <v>0.7</v>
      </c>
      <c r="G11" s="359">
        <v>0.6</v>
      </c>
      <c r="H11" s="372">
        <v>10</v>
      </c>
      <c r="I11" s="369" t="s">
        <v>894</v>
      </c>
      <c r="J11" s="354"/>
      <c r="K11" s="359" t="s">
        <v>1153</v>
      </c>
      <c r="L11" s="373">
        <v>0.53</v>
      </c>
      <c r="M11" s="373">
        <v>0.315</v>
      </c>
      <c r="N11" s="373">
        <v>0.255</v>
      </c>
      <c r="O11" s="374">
        <v>0.62</v>
      </c>
      <c r="P11" s="374">
        <v>58.8</v>
      </c>
      <c r="Q11" s="372">
        <v>524</v>
      </c>
    </row>
    <row r="12" spans="1:17">
      <c r="A12" s="358" t="s">
        <v>113</v>
      </c>
      <c r="B12" s="351"/>
      <c r="C12" s="359" t="s">
        <v>116</v>
      </c>
      <c r="D12" s="359">
        <v>1.5</v>
      </c>
      <c r="E12" s="359">
        <v>0.95</v>
      </c>
      <c r="F12" s="359">
        <v>0.7</v>
      </c>
      <c r="G12" s="359">
        <v>0.6</v>
      </c>
      <c r="H12" s="372">
        <v>30</v>
      </c>
      <c r="I12" s="369" t="s">
        <v>894</v>
      </c>
      <c r="J12" s="354"/>
      <c r="K12" s="359" t="s">
        <v>1154</v>
      </c>
      <c r="L12" s="370">
        <v>0.82</v>
      </c>
      <c r="M12" s="370">
        <v>0.51</v>
      </c>
      <c r="N12" s="370">
        <v>0.41</v>
      </c>
      <c r="O12" s="371">
        <v>0.78</v>
      </c>
      <c r="P12" s="371">
        <v>81.75</v>
      </c>
      <c r="Q12" s="372">
        <v>535</v>
      </c>
    </row>
    <row r="13" spans="1:17">
      <c r="A13" s="358" t="s">
        <v>114</v>
      </c>
      <c r="B13" s="351"/>
      <c r="C13" s="359" t="s">
        <v>1099</v>
      </c>
      <c r="D13" s="359">
        <v>0.9</v>
      </c>
      <c r="E13" s="359">
        <v>0.72</v>
      </c>
      <c r="F13" s="359">
        <v>0.7</v>
      </c>
      <c r="G13" s="359">
        <v>0.6</v>
      </c>
      <c r="H13" s="375">
        <v>30</v>
      </c>
      <c r="I13" s="369" t="s">
        <v>893</v>
      </c>
      <c r="J13" s="354"/>
      <c r="K13" s="359" t="s">
        <v>1155</v>
      </c>
      <c r="L13" s="370">
        <v>0.88</v>
      </c>
      <c r="M13" s="370">
        <v>0.49</v>
      </c>
      <c r="N13" s="370">
        <v>0.39</v>
      </c>
      <c r="O13" s="371">
        <v>0.65</v>
      </c>
      <c r="P13" s="371">
        <v>81.8</v>
      </c>
      <c r="Q13" s="372">
        <v>538</v>
      </c>
    </row>
    <row r="14" spans="1:17">
      <c r="A14" s="358" t="s">
        <v>115</v>
      </c>
      <c r="B14" s="351"/>
      <c r="C14" s="359" t="s">
        <v>185</v>
      </c>
      <c r="D14" s="359" t="s">
        <v>261</v>
      </c>
      <c r="E14" s="359" t="s">
        <v>261</v>
      </c>
      <c r="F14" s="359" t="s">
        <v>261</v>
      </c>
      <c r="G14" s="359" t="s">
        <v>261</v>
      </c>
      <c r="H14" s="375" t="s">
        <v>41</v>
      </c>
      <c r="I14" s="369"/>
      <c r="J14" s="354"/>
      <c r="K14" s="359" t="s">
        <v>1156</v>
      </c>
      <c r="L14" s="376">
        <v>0.77</v>
      </c>
      <c r="M14" s="376">
        <v>0.5</v>
      </c>
      <c r="N14" s="376">
        <v>0.4</v>
      </c>
      <c r="O14" s="371">
        <v>0.79</v>
      </c>
      <c r="P14" s="371">
        <v>81.75</v>
      </c>
      <c r="Q14" s="372">
        <v>530</v>
      </c>
    </row>
    <row r="15" spans="1:17">
      <c r="A15" s="358" t="s">
        <v>134</v>
      </c>
      <c r="B15" s="351"/>
      <c r="C15" s="359" t="s">
        <v>112</v>
      </c>
      <c r="D15" s="359">
        <v>1.3</v>
      </c>
      <c r="E15" s="359">
        <v>0.9</v>
      </c>
      <c r="F15" s="359">
        <v>0.7</v>
      </c>
      <c r="G15" s="359">
        <v>0.6</v>
      </c>
      <c r="H15" s="372">
        <v>16</v>
      </c>
      <c r="I15" s="369" t="s">
        <v>893</v>
      </c>
      <c r="J15" s="354"/>
      <c r="K15" s="359" t="s">
        <v>1157</v>
      </c>
      <c r="L15" s="376">
        <v>0.72</v>
      </c>
      <c r="M15" s="376">
        <v>0.48</v>
      </c>
      <c r="N15" s="376">
        <v>0.4</v>
      </c>
      <c r="O15" s="371">
        <v>0.79</v>
      </c>
      <c r="P15" s="371">
        <v>81.75</v>
      </c>
      <c r="Q15" s="372">
        <v>531</v>
      </c>
    </row>
    <row r="16" spans="1:17">
      <c r="A16" s="358" t="s">
        <v>146</v>
      </c>
      <c r="B16" s="351"/>
      <c r="C16" s="359" t="s">
        <v>1098</v>
      </c>
      <c r="D16" s="359">
        <v>1.2</v>
      </c>
      <c r="E16" s="359">
        <v>0.73</v>
      </c>
      <c r="F16" s="359">
        <v>0.7</v>
      </c>
      <c r="G16" s="359">
        <v>0.6</v>
      </c>
      <c r="H16" s="372">
        <v>21</v>
      </c>
      <c r="I16" s="369" t="s">
        <v>893</v>
      </c>
      <c r="J16" s="354"/>
      <c r="K16" s="359" t="s">
        <v>1158</v>
      </c>
      <c r="L16" s="377">
        <v>0.26</v>
      </c>
      <c r="M16" s="377">
        <v>0.19</v>
      </c>
      <c r="N16" s="377">
        <v>0.16</v>
      </c>
      <c r="O16" s="371">
        <v>0.79</v>
      </c>
      <c r="P16" s="371">
        <v>81.75</v>
      </c>
      <c r="Q16" s="378" t="s">
        <v>1159</v>
      </c>
    </row>
    <row r="17" spans="1:17">
      <c r="A17" s="358" t="s">
        <v>116</v>
      </c>
      <c r="B17" s="351"/>
      <c r="C17" s="359" t="s">
        <v>134</v>
      </c>
      <c r="D17" s="359">
        <v>1.1000000000000001</v>
      </c>
      <c r="E17" s="359">
        <v>1.1100000000000001</v>
      </c>
      <c r="F17" s="359">
        <v>0.7</v>
      </c>
      <c r="G17" s="359">
        <v>0.6</v>
      </c>
      <c r="H17" s="372">
        <v>35</v>
      </c>
      <c r="I17" s="369" t="s">
        <v>893</v>
      </c>
      <c r="J17" s="354"/>
      <c r="K17" s="359" t="s">
        <v>1160</v>
      </c>
      <c r="L17" s="373">
        <v>0.33</v>
      </c>
      <c r="M17" s="373">
        <v>0.25</v>
      </c>
      <c r="N17" s="373">
        <v>0.23</v>
      </c>
      <c r="O17" s="371">
        <v>0.79</v>
      </c>
      <c r="P17" s="371">
        <v>81.75</v>
      </c>
      <c r="Q17" s="378" t="s">
        <v>1161</v>
      </c>
    </row>
    <row r="18" spans="1:17">
      <c r="A18" s="358" t="s">
        <v>117</v>
      </c>
      <c r="B18" s="351"/>
      <c r="C18" s="359" t="s">
        <v>118</v>
      </c>
      <c r="D18" s="359">
        <v>0.2</v>
      </c>
      <c r="E18" s="359">
        <v>0.19</v>
      </c>
      <c r="F18" s="359">
        <v>0.7</v>
      </c>
      <c r="G18" s="359">
        <v>0.25</v>
      </c>
      <c r="H18" s="372">
        <v>7</v>
      </c>
      <c r="I18" s="369" t="s">
        <v>892</v>
      </c>
      <c r="J18" s="354"/>
      <c r="K18" s="359" t="s">
        <v>1162</v>
      </c>
      <c r="L18" s="377">
        <v>0.47</v>
      </c>
      <c r="M18" s="377">
        <v>0.26</v>
      </c>
      <c r="N18" s="377">
        <v>0.23</v>
      </c>
      <c r="O18" s="371">
        <v>0.79</v>
      </c>
      <c r="P18" s="371">
        <v>81.75</v>
      </c>
      <c r="Q18" s="378" t="s">
        <v>1163</v>
      </c>
    </row>
    <row r="19" spans="1:17">
      <c r="A19" s="358" t="s">
        <v>131</v>
      </c>
      <c r="B19" s="351"/>
      <c r="C19" s="359" t="s">
        <v>115</v>
      </c>
      <c r="D19" s="359">
        <v>0.9</v>
      </c>
      <c r="E19" s="359">
        <v>0.98</v>
      </c>
      <c r="F19" s="359">
        <v>0.7</v>
      </c>
      <c r="G19" s="359">
        <v>0.6</v>
      </c>
      <c r="H19" s="372">
        <v>12</v>
      </c>
      <c r="I19" s="369" t="s">
        <v>894</v>
      </c>
      <c r="J19" s="354"/>
      <c r="K19" s="359" t="s">
        <v>1164</v>
      </c>
      <c r="L19" s="373">
        <v>0.64</v>
      </c>
      <c r="M19" s="373">
        <v>0.64</v>
      </c>
      <c r="N19" s="373">
        <v>0.64</v>
      </c>
      <c r="O19" s="371">
        <v>0.79</v>
      </c>
      <c r="P19" s="371">
        <v>81.75</v>
      </c>
      <c r="Q19" s="372">
        <v>539</v>
      </c>
    </row>
    <row r="20" spans="1:17">
      <c r="A20" s="358" t="s">
        <v>185</v>
      </c>
      <c r="B20" s="351"/>
      <c r="C20" s="359" t="s">
        <v>114</v>
      </c>
      <c r="D20" s="359">
        <v>0.6</v>
      </c>
      <c r="E20" s="359">
        <v>0.69</v>
      </c>
      <c r="F20" s="359">
        <v>0.7</v>
      </c>
      <c r="G20" s="359">
        <v>0.6</v>
      </c>
      <c r="H20" s="372">
        <v>15</v>
      </c>
      <c r="I20" s="369" t="s">
        <v>894</v>
      </c>
      <c r="J20" s="354"/>
      <c r="K20" s="359" t="s">
        <v>1165</v>
      </c>
      <c r="L20" s="370">
        <v>0.50600000000000001</v>
      </c>
      <c r="M20" s="370">
        <v>0.28799999999999998</v>
      </c>
      <c r="N20" s="370">
        <v>0.223</v>
      </c>
      <c r="O20" s="371">
        <v>0.69</v>
      </c>
      <c r="P20" s="371">
        <v>16</v>
      </c>
      <c r="Q20" s="372">
        <v>503</v>
      </c>
    </row>
    <row r="21" spans="1:17">
      <c r="A21" s="358" t="s">
        <v>1097</v>
      </c>
      <c r="B21" s="351"/>
      <c r="C21" s="359" t="s">
        <v>110</v>
      </c>
      <c r="D21" s="359">
        <v>0.8</v>
      </c>
      <c r="E21" s="359">
        <v>0.63</v>
      </c>
      <c r="F21" s="359">
        <v>0.7</v>
      </c>
      <c r="G21" s="359">
        <v>0.6</v>
      </c>
      <c r="H21" s="372">
        <v>20</v>
      </c>
      <c r="I21" s="369" t="s">
        <v>894</v>
      </c>
      <c r="J21" s="354"/>
      <c r="K21" s="359" t="s">
        <v>1166</v>
      </c>
      <c r="L21" s="373">
        <v>0.89</v>
      </c>
      <c r="M21" s="373">
        <v>0.86</v>
      </c>
      <c r="N21" s="373">
        <v>0.83</v>
      </c>
      <c r="O21" s="374">
        <v>0.9</v>
      </c>
      <c r="P21" s="374">
        <v>70</v>
      </c>
      <c r="Q21" s="378" t="s">
        <v>1114</v>
      </c>
    </row>
    <row r="22" spans="1:17">
      <c r="A22" s="358" t="s">
        <v>1098</v>
      </c>
      <c r="B22" s="351"/>
      <c r="C22" s="359" t="s">
        <v>111</v>
      </c>
      <c r="D22" s="359">
        <v>0.3</v>
      </c>
      <c r="E22" s="359">
        <v>0.63</v>
      </c>
      <c r="F22" s="359">
        <v>0.7</v>
      </c>
      <c r="G22" s="359">
        <v>0.6</v>
      </c>
      <c r="H22" s="372">
        <v>8</v>
      </c>
      <c r="I22" s="369" t="s">
        <v>894</v>
      </c>
      <c r="J22" s="354"/>
      <c r="K22" s="359" t="s">
        <v>1167</v>
      </c>
      <c r="L22" s="373">
        <v>0.45</v>
      </c>
      <c r="M22" s="373">
        <v>0.26</v>
      </c>
      <c r="N22" s="373">
        <v>0.2</v>
      </c>
      <c r="O22" s="374">
        <v>0.53</v>
      </c>
      <c r="P22" s="374">
        <v>94.17</v>
      </c>
      <c r="Q22" s="378">
        <v>553</v>
      </c>
    </row>
    <row r="23" spans="1:17">
      <c r="A23" s="358" t="s">
        <v>1099</v>
      </c>
      <c r="B23" s="354"/>
      <c r="C23" s="359" t="s">
        <v>1097</v>
      </c>
      <c r="D23" s="379">
        <v>0</v>
      </c>
      <c r="E23" s="379">
        <v>0</v>
      </c>
      <c r="F23" s="359">
        <v>0</v>
      </c>
      <c r="G23" s="359">
        <v>0</v>
      </c>
      <c r="H23" s="372" t="s">
        <v>41</v>
      </c>
      <c r="I23" s="380"/>
      <c r="J23" s="354"/>
      <c r="K23" s="359" t="s">
        <v>1168</v>
      </c>
      <c r="L23" s="370">
        <v>0.72</v>
      </c>
      <c r="M23" s="370">
        <v>0.41</v>
      </c>
      <c r="N23" s="370">
        <v>0.31</v>
      </c>
      <c r="O23" s="371">
        <v>0.55000000000000004</v>
      </c>
      <c r="P23" s="371">
        <v>94.17</v>
      </c>
      <c r="Q23" s="378" t="s">
        <v>1169</v>
      </c>
    </row>
    <row r="24" spans="1:17">
      <c r="A24" s="358" t="s">
        <v>1150</v>
      </c>
      <c r="B24" s="354"/>
      <c r="C24" s="359" t="s">
        <v>117</v>
      </c>
      <c r="D24" s="359">
        <v>1.9</v>
      </c>
      <c r="E24" s="359">
        <v>1.59</v>
      </c>
      <c r="F24" s="359">
        <v>0.7</v>
      </c>
      <c r="G24" s="359">
        <v>0.6</v>
      </c>
      <c r="H24" s="372">
        <v>50</v>
      </c>
      <c r="I24" s="369" t="s">
        <v>893</v>
      </c>
      <c r="J24" s="354"/>
      <c r="K24" s="359" t="s">
        <v>1170</v>
      </c>
      <c r="L24" s="370">
        <v>1</v>
      </c>
      <c r="M24" s="370">
        <v>0.85899999999999999</v>
      </c>
      <c r="N24" s="370">
        <v>0.81</v>
      </c>
      <c r="O24" s="371">
        <v>0.75</v>
      </c>
      <c r="P24" s="371">
        <v>18.78</v>
      </c>
      <c r="Q24" s="372">
        <v>511</v>
      </c>
    </row>
    <row r="25" spans="1:17">
      <c r="A25" s="2"/>
    </row>
    <row r="26" spans="1:17">
      <c r="A26" s="2"/>
    </row>
    <row r="27" spans="1:17">
      <c r="A27" s="2"/>
    </row>
    <row r="28" spans="1:17">
      <c r="A28" s="2"/>
    </row>
    <row r="29" spans="1:17">
      <c r="A29" s="2"/>
    </row>
    <row r="30" spans="1:17">
      <c r="A30" s="2"/>
    </row>
    <row r="31" spans="1:17">
      <c r="A31" s="2"/>
    </row>
    <row r="32" spans="1:17">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AK34"/>
  <sheetViews>
    <sheetView topLeftCell="R1" workbookViewId="0">
      <selection activeCell="Y16" sqref="Y16"/>
    </sheetView>
  </sheetViews>
  <sheetFormatPr defaultRowHeight="12.75"/>
  <cols>
    <col min="1" max="1" width="19.42578125" bestFit="1" customWidth="1"/>
    <col min="2" max="2" width="15.140625" bestFit="1" customWidth="1"/>
    <col min="4" max="4" width="20" bestFit="1" customWidth="1"/>
    <col min="6" max="6" width="43.42578125" bestFit="1" customWidth="1"/>
    <col min="7" max="7" width="12.5703125" bestFit="1" customWidth="1"/>
    <col min="8" max="8" width="15.7109375" bestFit="1" customWidth="1"/>
    <col min="9" max="9" width="12.5703125" bestFit="1" customWidth="1"/>
    <col min="10" max="10" width="17.42578125" bestFit="1" customWidth="1"/>
    <col min="11" max="11" width="12.28515625" customWidth="1"/>
    <col min="12" max="12" width="14.85546875" bestFit="1" customWidth="1"/>
    <col min="13" max="13" width="13.7109375" bestFit="1" customWidth="1"/>
    <col min="14" max="14" width="13.42578125" bestFit="1" customWidth="1"/>
    <col min="15" max="15" width="16.42578125" bestFit="1" customWidth="1"/>
    <col min="16" max="16" width="13.85546875" bestFit="1" customWidth="1"/>
    <col min="17" max="17" width="18.7109375" bestFit="1" customWidth="1"/>
    <col min="19" max="19" width="14.140625" customWidth="1"/>
    <col min="20" max="20" width="12" customWidth="1"/>
    <col min="21" max="21" width="30.140625" customWidth="1"/>
    <col min="22" max="22" width="25.28515625" bestFit="1" customWidth="1"/>
    <col min="23" max="23" width="27.42578125" bestFit="1" customWidth="1"/>
    <col min="24" max="24" width="10.28515625" style="26" bestFit="1" customWidth="1"/>
    <col min="25" max="25" width="10.28515625" style="26" customWidth="1"/>
    <col min="26" max="26" width="10.28515625" style="26" bestFit="1" customWidth="1"/>
    <col min="27" max="27" width="11.140625" bestFit="1" customWidth="1"/>
    <col min="28" max="28" width="12.5703125" bestFit="1" customWidth="1"/>
    <col min="29" max="29" width="13.85546875" bestFit="1" customWidth="1"/>
    <col min="30" max="30" width="11.7109375" bestFit="1" customWidth="1"/>
    <col min="31" max="31" width="12.28515625" bestFit="1" customWidth="1"/>
    <col min="32" max="32" width="13.140625" bestFit="1" customWidth="1"/>
  </cols>
  <sheetData>
    <row r="1" spans="1:37">
      <c r="A1" t="s">
        <v>147</v>
      </c>
      <c r="B1" t="s">
        <v>272</v>
      </c>
      <c r="C1" t="s">
        <v>273</v>
      </c>
      <c r="D1" s="2" t="s">
        <v>276</v>
      </c>
      <c r="E1" s="3" t="s">
        <v>278</v>
      </c>
      <c r="F1" s="2" t="s">
        <v>282</v>
      </c>
      <c r="G1" s="2" t="s">
        <v>294</v>
      </c>
      <c r="H1" s="2" t="s">
        <v>298</v>
      </c>
      <c r="I1" s="2" t="s">
        <v>123</v>
      </c>
      <c r="J1" s="2" t="s">
        <v>300</v>
      </c>
      <c r="K1" s="2" t="s">
        <v>44</v>
      </c>
      <c r="L1" s="2" t="s">
        <v>388</v>
      </c>
      <c r="M1" s="2" t="s">
        <v>398</v>
      </c>
      <c r="N1" s="2" t="s">
        <v>400</v>
      </c>
      <c r="O1" s="2" t="s">
        <v>362</v>
      </c>
      <c r="P1" s="2" t="s">
        <v>411</v>
      </c>
      <c r="Q1" s="2" t="s">
        <v>444</v>
      </c>
      <c r="R1" s="296" t="s">
        <v>1104</v>
      </c>
      <c r="S1" s="26" t="s">
        <v>365</v>
      </c>
      <c r="T1" s="1" t="s">
        <v>230</v>
      </c>
      <c r="U1" s="352" t="s">
        <v>450</v>
      </c>
      <c r="V1" s="350" t="s">
        <v>1101</v>
      </c>
      <c r="W1" s="352" t="s">
        <v>451</v>
      </c>
      <c r="X1" s="355" t="s">
        <v>1497</v>
      </c>
      <c r="Y1" s="355" t="s">
        <v>1501</v>
      </c>
      <c r="Z1" s="355" t="s">
        <v>1498</v>
      </c>
      <c r="AA1" s="352" t="s">
        <v>452</v>
      </c>
      <c r="AB1" s="1" t="s">
        <v>453</v>
      </c>
      <c r="AC1" s="37" t="s">
        <v>473</v>
      </c>
      <c r="AD1" s="37" t="s">
        <v>475</v>
      </c>
      <c r="AE1" s="17" t="s">
        <v>123</v>
      </c>
      <c r="AF1" s="17" t="s">
        <v>483</v>
      </c>
      <c r="AG1" s="42" t="s">
        <v>485</v>
      </c>
      <c r="AI1" s="296" t="s">
        <v>1134</v>
      </c>
      <c r="AJ1" s="296" t="s">
        <v>1356</v>
      </c>
      <c r="AK1" s="296" t="s">
        <v>1350</v>
      </c>
    </row>
    <row r="2" spans="1:37" ht="15">
      <c r="A2" s="3" t="s">
        <v>274</v>
      </c>
      <c r="B2" s="3" t="s">
        <v>274</v>
      </c>
      <c r="C2" s="3" t="s">
        <v>274</v>
      </c>
      <c r="D2" s="3" t="s">
        <v>271</v>
      </c>
      <c r="E2" s="4">
        <v>0</v>
      </c>
      <c r="F2" s="18" t="s">
        <v>283</v>
      </c>
      <c r="G2" s="18" t="s">
        <v>271</v>
      </c>
      <c r="H2" s="18" t="s">
        <v>271</v>
      </c>
      <c r="I2" s="18" t="s">
        <v>271</v>
      </c>
      <c r="J2" s="18" t="s">
        <v>271</v>
      </c>
      <c r="L2" s="18" t="s">
        <v>271</v>
      </c>
      <c r="M2" s="18" t="s">
        <v>271</v>
      </c>
      <c r="N2" s="18" t="s">
        <v>271</v>
      </c>
      <c r="O2" s="25" t="s">
        <v>271</v>
      </c>
      <c r="P2" s="18" t="s">
        <v>271</v>
      </c>
      <c r="Q2" s="26" t="s">
        <v>271</v>
      </c>
      <c r="R2" t="s">
        <v>41</v>
      </c>
      <c r="S2">
        <v>1</v>
      </c>
      <c r="T2" s="1" t="s">
        <v>449</v>
      </c>
      <c r="U2" s="353" t="s">
        <v>146</v>
      </c>
      <c r="V2" s="351" t="s">
        <v>1502</v>
      </c>
      <c r="W2" s="353" t="s">
        <v>146</v>
      </c>
      <c r="X2" s="355">
        <v>1.23</v>
      </c>
      <c r="Y2" s="355" t="s">
        <v>978</v>
      </c>
      <c r="Z2" s="353">
        <v>0.51</v>
      </c>
      <c r="AA2" s="352">
        <v>30</v>
      </c>
      <c r="AB2" s="1" t="s">
        <v>271</v>
      </c>
      <c r="AC2" s="17" t="s">
        <v>474</v>
      </c>
      <c r="AD2" s="17">
        <v>1</v>
      </c>
      <c r="AE2" s="26" t="s">
        <v>274</v>
      </c>
      <c r="AF2" s="37" t="s">
        <v>283</v>
      </c>
      <c r="AG2" s="26" t="s">
        <v>469</v>
      </c>
      <c r="AH2" s="26">
        <v>2</v>
      </c>
      <c r="AI2" s="296" t="s">
        <v>1131</v>
      </c>
      <c r="AJ2" s="296" t="s">
        <v>945</v>
      </c>
      <c r="AK2" s="411" t="s">
        <v>1347</v>
      </c>
    </row>
    <row r="3" spans="1:37" ht="15">
      <c r="A3" s="4" t="s">
        <v>179</v>
      </c>
      <c r="B3" s="4" t="s">
        <v>23</v>
      </c>
      <c r="C3" s="4" t="s">
        <v>164</v>
      </c>
      <c r="D3" s="4" t="s">
        <v>191</v>
      </c>
      <c r="E3" s="4">
        <v>1</v>
      </c>
      <c r="F3" s="3" t="s">
        <v>285</v>
      </c>
      <c r="G3" s="18" t="s">
        <v>295</v>
      </c>
      <c r="H3" s="18" t="s">
        <v>296</v>
      </c>
      <c r="I3" s="3" t="s">
        <v>438</v>
      </c>
      <c r="J3" s="18" t="s">
        <v>301</v>
      </c>
      <c r="K3" s="22" t="s">
        <v>325</v>
      </c>
      <c r="L3" s="18" t="s">
        <v>390</v>
      </c>
      <c r="M3" s="18" t="s">
        <v>394</v>
      </c>
      <c r="N3" s="18" t="s">
        <v>282</v>
      </c>
      <c r="O3" s="25" t="s">
        <v>396</v>
      </c>
      <c r="P3" s="18" t="s">
        <v>412</v>
      </c>
      <c r="Q3" s="296" t="s">
        <v>1105</v>
      </c>
      <c r="R3">
        <v>1.2</v>
      </c>
      <c r="S3">
        <v>2</v>
      </c>
      <c r="T3" s="1" t="s">
        <v>148</v>
      </c>
      <c r="U3" s="353" t="s">
        <v>113</v>
      </c>
      <c r="V3" s="351" t="s">
        <v>1503</v>
      </c>
      <c r="W3" s="353" t="s">
        <v>113</v>
      </c>
      <c r="X3" s="355">
        <v>0.66</v>
      </c>
      <c r="Y3" s="355" t="s">
        <v>978</v>
      </c>
      <c r="Z3" s="353">
        <v>0.51</v>
      </c>
      <c r="AA3" s="352">
        <v>10</v>
      </c>
      <c r="AB3" s="1" t="s">
        <v>164</v>
      </c>
      <c r="AC3" s="17" t="s">
        <v>469</v>
      </c>
      <c r="AD3" s="17">
        <v>2</v>
      </c>
      <c r="AE3" s="2" t="s">
        <v>476</v>
      </c>
      <c r="AF3" s="2" t="s">
        <v>479</v>
      </c>
      <c r="AG3" s="296" t="s">
        <v>1475</v>
      </c>
      <c r="AH3" s="26">
        <v>5</v>
      </c>
      <c r="AI3" s="357" t="s">
        <v>1132</v>
      </c>
      <c r="AJ3" s="357" t="s">
        <v>947</v>
      </c>
      <c r="AK3" s="411" t="s">
        <v>1348</v>
      </c>
    </row>
    <row r="4" spans="1:37" ht="15">
      <c r="A4" s="4" t="s">
        <v>180</v>
      </c>
      <c r="B4" s="4" t="s">
        <v>25</v>
      </c>
      <c r="C4" s="4" t="s">
        <v>165</v>
      </c>
      <c r="D4" s="18" t="s">
        <v>277</v>
      </c>
      <c r="E4" s="4">
        <v>2</v>
      </c>
      <c r="F4" s="3" t="s">
        <v>284</v>
      </c>
      <c r="G4" s="1047" t="s">
        <v>1386</v>
      </c>
      <c r="H4" s="3" t="s">
        <v>297</v>
      </c>
      <c r="I4" s="3" t="s">
        <v>439</v>
      </c>
      <c r="J4" s="3" t="s">
        <v>302</v>
      </c>
      <c r="K4" s="22" t="s">
        <v>318</v>
      </c>
      <c r="L4" s="18" t="s">
        <v>262</v>
      </c>
      <c r="M4" s="18" t="s">
        <v>395</v>
      </c>
      <c r="N4" s="18" t="s">
        <v>401</v>
      </c>
      <c r="O4" s="25" t="s">
        <v>404</v>
      </c>
      <c r="P4" s="18" t="s">
        <v>413</v>
      </c>
      <c r="Q4" s="2" t="s">
        <v>269</v>
      </c>
      <c r="R4">
        <v>2.2999999999999998</v>
      </c>
      <c r="S4">
        <v>3</v>
      </c>
      <c r="T4" s="1"/>
      <c r="U4" s="353" t="s">
        <v>116</v>
      </c>
      <c r="V4" s="1"/>
      <c r="W4" s="353" t="s">
        <v>116</v>
      </c>
      <c r="X4" s="355">
        <v>0.42</v>
      </c>
      <c r="Y4" s="355" t="s">
        <v>907</v>
      </c>
      <c r="Z4" s="353">
        <v>0.51</v>
      </c>
      <c r="AA4" s="352">
        <v>30</v>
      </c>
      <c r="AB4" s="1" t="s">
        <v>165</v>
      </c>
      <c r="AC4" s="42" t="s">
        <v>616</v>
      </c>
      <c r="AD4" s="17">
        <v>3</v>
      </c>
      <c r="AE4" s="2" t="s">
        <v>477</v>
      </c>
      <c r="AF4" s="2" t="s">
        <v>480</v>
      </c>
      <c r="AG4" s="26" t="s">
        <v>470</v>
      </c>
      <c r="AH4" s="26">
        <v>7</v>
      </c>
      <c r="AI4" s="357" t="s">
        <v>1133</v>
      </c>
      <c r="AK4" s="411" t="s">
        <v>1349</v>
      </c>
    </row>
    <row r="5" spans="1:37" ht="15">
      <c r="A5" s="4" t="s">
        <v>181</v>
      </c>
      <c r="B5" s="4" t="s">
        <v>26</v>
      </c>
      <c r="C5" s="4"/>
      <c r="E5" s="4">
        <v>3</v>
      </c>
      <c r="I5" s="3" t="s">
        <v>440</v>
      </c>
      <c r="K5" s="22" t="s">
        <v>319</v>
      </c>
      <c r="L5" s="18" t="s">
        <v>389</v>
      </c>
      <c r="M5" s="18" t="s">
        <v>396</v>
      </c>
      <c r="N5" s="18" t="s">
        <v>402</v>
      </c>
      <c r="O5" s="25" t="s">
        <v>405</v>
      </c>
      <c r="P5" s="18" t="s">
        <v>414</v>
      </c>
      <c r="Q5" s="296" t="s">
        <v>1102</v>
      </c>
      <c r="R5">
        <v>2.2999999999999998</v>
      </c>
      <c r="S5">
        <v>4</v>
      </c>
      <c r="T5" s="1"/>
      <c r="U5" s="355" t="s">
        <v>1099</v>
      </c>
      <c r="V5" s="1"/>
      <c r="W5" s="355" t="s">
        <v>1099</v>
      </c>
      <c r="X5" s="355">
        <v>0.72</v>
      </c>
      <c r="Y5" s="355" t="s">
        <v>907</v>
      </c>
      <c r="Z5" s="353">
        <v>0.51</v>
      </c>
      <c r="AA5" s="355">
        <v>30</v>
      </c>
      <c r="AB5" s="1"/>
      <c r="AC5" s="17" t="s">
        <v>472</v>
      </c>
      <c r="AD5" s="17">
        <v>4</v>
      </c>
      <c r="AE5" s="2" t="s">
        <v>439</v>
      </c>
      <c r="AF5" s="2" t="s">
        <v>481</v>
      </c>
      <c r="AG5" s="26" t="s">
        <v>484</v>
      </c>
      <c r="AH5" s="26">
        <v>6</v>
      </c>
    </row>
    <row r="6" spans="1:37" ht="15">
      <c r="B6" s="4" t="s">
        <v>24</v>
      </c>
      <c r="E6" s="4">
        <v>4</v>
      </c>
      <c r="I6" s="3" t="s">
        <v>441</v>
      </c>
      <c r="K6" s="22" t="s">
        <v>320</v>
      </c>
      <c r="L6" s="3" t="s">
        <v>388</v>
      </c>
      <c r="M6" s="18" t="s">
        <v>397</v>
      </c>
      <c r="O6" s="25" t="s">
        <v>406</v>
      </c>
      <c r="P6" s="18" t="s">
        <v>415</v>
      </c>
      <c r="Q6" s="296" t="s">
        <v>1103</v>
      </c>
      <c r="R6" s="2" t="s">
        <v>41</v>
      </c>
      <c r="S6">
        <v>5</v>
      </c>
      <c r="T6" s="1"/>
      <c r="U6" s="353" t="s">
        <v>185</v>
      </c>
      <c r="V6" s="1"/>
      <c r="W6" s="353" t="s">
        <v>185</v>
      </c>
      <c r="X6" s="353" t="s">
        <v>261</v>
      </c>
      <c r="Y6" s="355" t="s">
        <v>907</v>
      </c>
      <c r="Z6" s="353" t="s">
        <v>261</v>
      </c>
      <c r="AA6" s="353" t="s">
        <v>41</v>
      </c>
      <c r="AB6" s="1"/>
      <c r="AC6" s="37" t="s">
        <v>470</v>
      </c>
      <c r="AD6" s="37">
        <v>5</v>
      </c>
      <c r="AE6" s="2" t="s">
        <v>440</v>
      </c>
      <c r="AF6" s="296" t="s">
        <v>482</v>
      </c>
      <c r="AG6" s="26" t="s">
        <v>148</v>
      </c>
    </row>
    <row r="7" spans="1:37" ht="15">
      <c r="E7" s="4">
        <v>5</v>
      </c>
      <c r="I7" s="3" t="s">
        <v>442</v>
      </c>
      <c r="K7" s="22" t="s">
        <v>321</v>
      </c>
      <c r="O7" s="25" t="s">
        <v>407</v>
      </c>
      <c r="P7" s="18" t="s">
        <v>274</v>
      </c>
      <c r="S7">
        <v>6</v>
      </c>
      <c r="T7" s="1"/>
      <c r="U7" s="353" t="s">
        <v>112</v>
      </c>
      <c r="V7" s="1"/>
      <c r="W7" s="353" t="s">
        <v>112</v>
      </c>
      <c r="X7" s="355">
        <v>0.9</v>
      </c>
      <c r="Y7" s="355" t="s">
        <v>978</v>
      </c>
      <c r="Z7" s="353">
        <v>0.51</v>
      </c>
      <c r="AA7" s="352">
        <v>16</v>
      </c>
      <c r="AB7" s="1"/>
      <c r="AC7" s="37" t="s">
        <v>471</v>
      </c>
      <c r="AD7" s="37">
        <v>6</v>
      </c>
      <c r="AE7" s="37" t="s">
        <v>441</v>
      </c>
      <c r="AF7" s="296" t="s">
        <v>733</v>
      </c>
    </row>
    <row r="8" spans="1:37" ht="15">
      <c r="E8" s="4">
        <v>6</v>
      </c>
      <c r="I8" s="3"/>
      <c r="K8" s="22" t="s">
        <v>322</v>
      </c>
      <c r="O8" s="25" t="s">
        <v>408</v>
      </c>
      <c r="S8">
        <v>7</v>
      </c>
      <c r="T8" s="1"/>
      <c r="U8" s="354" t="s">
        <v>1098</v>
      </c>
      <c r="V8" s="1"/>
      <c r="W8" s="354" t="s">
        <v>1098</v>
      </c>
      <c r="X8" s="355">
        <v>0.73</v>
      </c>
      <c r="Y8" s="355" t="s">
        <v>978</v>
      </c>
      <c r="Z8" s="353">
        <v>0.51</v>
      </c>
      <c r="AA8" s="355">
        <v>20</v>
      </c>
      <c r="AB8" s="1"/>
      <c r="AC8" s="1"/>
      <c r="AF8" s="296" t="s">
        <v>734</v>
      </c>
    </row>
    <row r="9" spans="1:37">
      <c r="K9" s="22" t="s">
        <v>323</v>
      </c>
      <c r="S9">
        <v>8</v>
      </c>
      <c r="T9" s="1"/>
      <c r="U9" s="353" t="s">
        <v>134</v>
      </c>
      <c r="V9" s="1"/>
      <c r="W9" s="353" t="s">
        <v>134</v>
      </c>
      <c r="X9" s="355">
        <v>1.1100000000000001</v>
      </c>
      <c r="Y9" s="355" t="s">
        <v>978</v>
      </c>
      <c r="Z9" s="353">
        <v>0.51</v>
      </c>
      <c r="AA9" s="352">
        <v>35</v>
      </c>
      <c r="AB9" s="1"/>
      <c r="AC9" s="1"/>
    </row>
    <row r="10" spans="1:37">
      <c r="K10" s="22" t="s">
        <v>324</v>
      </c>
      <c r="T10" s="1"/>
      <c r="U10" s="353" t="s">
        <v>118</v>
      </c>
      <c r="V10" s="1"/>
      <c r="W10" s="353" t="s">
        <v>118</v>
      </c>
      <c r="X10" s="355">
        <v>0.19</v>
      </c>
      <c r="Y10" s="355" t="s">
        <v>907</v>
      </c>
      <c r="Z10" s="353">
        <v>0.51</v>
      </c>
      <c r="AA10" s="352">
        <v>7</v>
      </c>
      <c r="AB10" s="1"/>
      <c r="AC10" s="1"/>
    </row>
    <row r="11" spans="1:37">
      <c r="T11" s="1"/>
      <c r="U11" s="353" t="s">
        <v>115</v>
      </c>
      <c r="V11" s="1"/>
      <c r="W11" s="353" t="s">
        <v>115</v>
      </c>
      <c r="X11" s="355">
        <v>0.98</v>
      </c>
      <c r="Y11" s="355" t="s">
        <v>978</v>
      </c>
      <c r="Z11" s="353">
        <v>0.51</v>
      </c>
      <c r="AA11" s="352">
        <v>12</v>
      </c>
      <c r="AB11" s="1"/>
      <c r="AC11" s="1"/>
    </row>
    <row r="12" spans="1:37">
      <c r="T12" s="1"/>
      <c r="U12" s="353" t="s">
        <v>114</v>
      </c>
      <c r="V12" s="1"/>
      <c r="W12" s="353" t="s">
        <v>114</v>
      </c>
      <c r="X12" s="355">
        <v>0.69</v>
      </c>
      <c r="Y12" s="355" t="s">
        <v>978</v>
      </c>
      <c r="Z12" s="353">
        <v>0.51</v>
      </c>
      <c r="AA12" s="352">
        <v>15</v>
      </c>
      <c r="AB12" s="1"/>
      <c r="AC12" s="1"/>
    </row>
    <row r="13" spans="1:37" ht="14.25">
      <c r="T13" s="1"/>
      <c r="U13" s="355" t="s">
        <v>1499</v>
      </c>
      <c r="V13" s="1"/>
      <c r="W13" s="355" t="s">
        <v>1499</v>
      </c>
      <c r="X13" s="355">
        <v>1.24</v>
      </c>
      <c r="Y13" s="355" t="s">
        <v>978</v>
      </c>
      <c r="Z13" s="353">
        <v>0.51</v>
      </c>
      <c r="AA13" s="352">
        <v>20</v>
      </c>
      <c r="AB13" s="1"/>
      <c r="AC13" s="1"/>
    </row>
    <row r="14" spans="1:37" ht="15" thickBot="1">
      <c r="K14" s="22"/>
      <c r="T14" s="1"/>
      <c r="U14" s="355" t="s">
        <v>1500</v>
      </c>
      <c r="V14" s="1"/>
      <c r="W14" s="355" t="s">
        <v>1500</v>
      </c>
      <c r="X14" s="355">
        <v>0.63</v>
      </c>
      <c r="Y14" s="355" t="s">
        <v>978</v>
      </c>
      <c r="Z14" s="353">
        <v>0.51</v>
      </c>
      <c r="AA14" s="352">
        <v>8</v>
      </c>
      <c r="AB14" s="1"/>
      <c r="AC14" s="1"/>
    </row>
    <row r="15" spans="1:37" ht="15.75" thickBot="1">
      <c r="A15" s="1225" t="s">
        <v>93</v>
      </c>
      <c r="B15" s="1226"/>
      <c r="C15" s="5"/>
      <c r="D15" s="5"/>
      <c r="E15" s="5"/>
      <c r="F15" s="5"/>
      <c r="T15" s="1"/>
      <c r="U15" s="354" t="s">
        <v>1097</v>
      </c>
      <c r="V15" s="1"/>
      <c r="W15" s="354" t="s">
        <v>1097</v>
      </c>
      <c r="X15" s="355">
        <v>0</v>
      </c>
      <c r="Y15" s="355" t="s">
        <v>907</v>
      </c>
      <c r="Z15" s="355">
        <v>0</v>
      </c>
      <c r="AA15" s="355" t="s">
        <v>41</v>
      </c>
      <c r="AB15" s="1"/>
      <c r="AC15" s="1"/>
    </row>
    <row r="16" spans="1:37" ht="15">
      <c r="A16" s="6" t="s">
        <v>94</v>
      </c>
      <c r="B16" s="7" t="s">
        <v>95</v>
      </c>
      <c r="C16" s="5"/>
      <c r="D16" s="5"/>
      <c r="E16" s="5"/>
      <c r="F16" s="5"/>
      <c r="T16" s="1"/>
      <c r="U16" s="353" t="s">
        <v>117</v>
      </c>
      <c r="W16" s="353" t="s">
        <v>117</v>
      </c>
      <c r="X16" s="355">
        <v>1.59</v>
      </c>
      <c r="Y16" s="355" t="s">
        <v>907</v>
      </c>
      <c r="Z16" s="353">
        <v>0.51</v>
      </c>
      <c r="AA16" s="352">
        <v>50</v>
      </c>
      <c r="AB16" s="1"/>
      <c r="AC16" s="1"/>
    </row>
    <row r="17" spans="1:29" ht="15">
      <c r="A17" s="8" t="s">
        <v>96</v>
      </c>
      <c r="B17" s="9">
        <v>1.6</v>
      </c>
      <c r="C17" s="5"/>
      <c r="D17" s="5"/>
      <c r="E17" s="5"/>
      <c r="F17" s="5"/>
      <c r="T17" s="1"/>
      <c r="U17" s="1"/>
      <c r="W17" s="1"/>
      <c r="X17" s="1"/>
      <c r="Y17" s="1"/>
      <c r="Z17" s="1"/>
      <c r="AA17" s="1"/>
      <c r="AB17" s="1"/>
      <c r="AC17" s="1"/>
    </row>
    <row r="18" spans="1:29" ht="15">
      <c r="A18" s="8" t="s">
        <v>97</v>
      </c>
      <c r="B18" s="9">
        <v>1</v>
      </c>
      <c r="C18" s="5"/>
      <c r="D18" s="5"/>
      <c r="E18" s="5"/>
      <c r="F18" s="5"/>
    </row>
    <row r="19" spans="1:29" ht="15">
      <c r="A19" s="8" t="s">
        <v>98</v>
      </c>
      <c r="B19" s="9">
        <f>'Water Savings'!D18</f>
        <v>2.5</v>
      </c>
      <c r="C19" s="5"/>
      <c r="D19" s="5"/>
      <c r="E19" s="5"/>
      <c r="F19" s="5"/>
    </row>
    <row r="20" spans="1:29" ht="15">
      <c r="A20" s="8" t="s">
        <v>99</v>
      </c>
      <c r="B20" s="9">
        <f>'Water Savings'!D19</f>
        <v>2.5</v>
      </c>
      <c r="C20" s="5"/>
      <c r="D20" s="5"/>
      <c r="E20" s="5"/>
      <c r="F20" s="5"/>
    </row>
    <row r="21" spans="1:29" ht="15.75" thickBot="1">
      <c r="A21" s="10" t="s">
        <v>100</v>
      </c>
      <c r="B21" s="9">
        <f>'Water Savings'!D20</f>
        <v>2.5</v>
      </c>
      <c r="C21" s="5"/>
      <c r="D21" s="5"/>
      <c r="E21" s="5"/>
      <c r="F21" s="5"/>
    </row>
    <row r="22" spans="1:29" ht="15">
      <c r="A22" s="5"/>
      <c r="B22" s="5"/>
      <c r="C22" s="5"/>
      <c r="D22" s="5"/>
      <c r="E22" s="5"/>
      <c r="F22" s="5"/>
    </row>
    <row r="23" spans="1:29" ht="15.75" thickBot="1">
      <c r="A23" s="5"/>
      <c r="B23" s="5"/>
      <c r="C23" s="5"/>
      <c r="D23" s="5"/>
      <c r="E23" s="5"/>
      <c r="F23" s="5"/>
    </row>
    <row r="24" spans="1:29" ht="15.75" thickBot="1">
      <c r="A24" s="1225" t="s">
        <v>101</v>
      </c>
      <c r="B24" s="1232"/>
      <c r="C24" s="1232"/>
      <c r="D24" s="1232"/>
      <c r="E24" s="1226"/>
      <c r="F24" s="5"/>
    </row>
    <row r="25" spans="1:29" ht="15">
      <c r="A25" s="1227" t="s">
        <v>102</v>
      </c>
      <c r="B25" s="1229" t="s">
        <v>103</v>
      </c>
      <c r="C25" s="1230"/>
      <c r="D25" s="1231"/>
      <c r="E25" s="385" t="s">
        <v>104</v>
      </c>
      <c r="F25" s="5"/>
    </row>
    <row r="26" spans="1:29" ht="15">
      <c r="A26" s="1228"/>
      <c r="B26" s="384" t="s">
        <v>953</v>
      </c>
      <c r="C26" s="381" t="s">
        <v>955</v>
      </c>
      <c r="D26" s="381" t="s">
        <v>956</v>
      </c>
      <c r="E26" s="7"/>
      <c r="F26" s="5"/>
    </row>
    <row r="27" spans="1:29" ht="15">
      <c r="A27" s="11" t="s">
        <v>135</v>
      </c>
      <c r="B27" s="12" t="s">
        <v>105</v>
      </c>
      <c r="C27" s="382"/>
      <c r="D27" s="382"/>
      <c r="E27" s="13">
        <v>5</v>
      </c>
      <c r="F27" s="5"/>
    </row>
    <row r="28" spans="1:29" ht="15.75" thickBot="1">
      <c r="A28" s="390" t="s">
        <v>136</v>
      </c>
      <c r="B28" s="391" t="s">
        <v>105</v>
      </c>
      <c r="C28" s="392"/>
      <c r="D28" s="392"/>
      <c r="E28" s="393" t="s">
        <v>105</v>
      </c>
      <c r="F28" s="5"/>
    </row>
    <row r="29" spans="1:29" ht="16.5" thickTop="1" thickBot="1">
      <c r="A29" s="394" t="s">
        <v>1188</v>
      </c>
      <c r="B29" s="395">
        <v>12</v>
      </c>
      <c r="C29" s="396">
        <v>25</v>
      </c>
      <c r="D29" s="396">
        <v>44</v>
      </c>
      <c r="E29" s="397"/>
      <c r="F29" s="5"/>
    </row>
    <row r="30" spans="1:29" ht="15.75" thickTop="1">
      <c r="A30" s="386" t="s">
        <v>90</v>
      </c>
      <c r="B30" s="387">
        <v>150</v>
      </c>
      <c r="C30" s="388">
        <v>300</v>
      </c>
      <c r="D30" s="388">
        <v>600</v>
      </c>
      <c r="E30" s="389">
        <v>1</v>
      </c>
      <c r="F30" s="5"/>
    </row>
    <row r="31" spans="1:29" ht="15">
      <c r="A31" s="11" t="s">
        <v>91</v>
      </c>
      <c r="B31" s="12">
        <v>8</v>
      </c>
      <c r="C31" s="382">
        <v>15</v>
      </c>
      <c r="D31" s="382">
        <v>30</v>
      </c>
      <c r="E31" s="13">
        <v>5</v>
      </c>
      <c r="F31" s="5"/>
    </row>
    <row r="32" spans="1:29" ht="15.75" thickBot="1">
      <c r="A32" s="14" t="s">
        <v>92</v>
      </c>
      <c r="B32" s="15">
        <v>30</v>
      </c>
      <c r="C32" s="383">
        <v>60</v>
      </c>
      <c r="D32" s="383">
        <v>80</v>
      </c>
      <c r="E32" s="16">
        <v>4</v>
      </c>
      <c r="F32" s="5"/>
    </row>
    <row r="33" spans="1:6" ht="15">
      <c r="A33" s="5"/>
      <c r="B33" s="5"/>
      <c r="C33" s="5"/>
      <c r="D33" s="5"/>
      <c r="E33" s="5"/>
      <c r="F33" s="5"/>
    </row>
    <row r="34" spans="1:6" ht="15">
      <c r="A34" s="5"/>
      <c r="B34" s="5"/>
      <c r="C34" s="5"/>
      <c r="D34" s="5"/>
      <c r="E34" s="5"/>
      <c r="F34" s="5"/>
    </row>
  </sheetData>
  <mergeCells count="4">
    <mergeCell ref="A15:B15"/>
    <mergeCell ref="A25:A26"/>
    <mergeCell ref="B25:D25"/>
    <mergeCell ref="A24:E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CC"/>
    <pageSetUpPr fitToPage="1"/>
  </sheetPr>
  <dimension ref="B1:C25"/>
  <sheetViews>
    <sheetView showGridLines="0" tabSelected="1" workbookViewId="0">
      <selection activeCell="B7" sqref="B7:C7"/>
    </sheetView>
  </sheetViews>
  <sheetFormatPr defaultRowHeight="12"/>
  <cols>
    <col min="1" max="1" width="2.42578125" style="44" customWidth="1"/>
    <col min="2" max="2" width="9.140625" style="44"/>
    <col min="3" max="3" width="112.85546875" style="44" customWidth="1"/>
    <col min="4" max="258" width="9.140625" style="44"/>
    <col min="259" max="259" width="112.7109375" style="44" customWidth="1"/>
    <col min="260" max="514" width="9.140625" style="44"/>
    <col min="515" max="515" width="112.7109375" style="44" customWidth="1"/>
    <col min="516" max="770" width="9.140625" style="44"/>
    <col min="771" max="771" width="112.7109375" style="44" customWidth="1"/>
    <col min="772" max="1026" width="9.140625" style="44"/>
    <col min="1027" max="1027" width="112.7109375" style="44" customWidth="1"/>
    <col min="1028" max="1282" width="9.140625" style="44"/>
    <col min="1283" max="1283" width="112.7109375" style="44" customWidth="1"/>
    <col min="1284" max="1538" width="9.140625" style="44"/>
    <col min="1539" max="1539" width="112.7109375" style="44" customWidth="1"/>
    <col min="1540" max="1794" width="9.140625" style="44"/>
    <col min="1795" max="1795" width="112.7109375" style="44" customWidth="1"/>
    <col min="1796" max="2050" width="9.140625" style="44"/>
    <col min="2051" max="2051" width="112.7109375" style="44" customWidth="1"/>
    <col min="2052" max="2306" width="9.140625" style="44"/>
    <col min="2307" max="2307" width="112.7109375" style="44" customWidth="1"/>
    <col min="2308" max="2562" width="9.140625" style="44"/>
    <col min="2563" max="2563" width="112.7109375" style="44" customWidth="1"/>
    <col min="2564" max="2818" width="9.140625" style="44"/>
    <col min="2819" max="2819" width="112.7109375" style="44" customWidth="1"/>
    <col min="2820" max="3074" width="9.140625" style="44"/>
    <col min="3075" max="3075" width="112.7109375" style="44" customWidth="1"/>
    <col min="3076" max="3330" width="9.140625" style="44"/>
    <col min="3331" max="3331" width="112.7109375" style="44" customWidth="1"/>
    <col min="3332" max="3586" width="9.140625" style="44"/>
    <col min="3587" max="3587" width="112.7109375" style="44" customWidth="1"/>
    <col min="3588" max="3842" width="9.140625" style="44"/>
    <col min="3843" max="3843" width="112.7109375" style="44" customWidth="1"/>
    <col min="3844" max="4098" width="9.140625" style="44"/>
    <col min="4099" max="4099" width="112.7109375" style="44" customWidth="1"/>
    <col min="4100" max="4354" width="9.140625" style="44"/>
    <col min="4355" max="4355" width="112.7109375" style="44" customWidth="1"/>
    <col min="4356" max="4610" width="9.140625" style="44"/>
    <col min="4611" max="4611" width="112.7109375" style="44" customWidth="1"/>
    <col min="4612" max="4866" width="9.140625" style="44"/>
    <col min="4867" max="4867" width="112.7109375" style="44" customWidth="1"/>
    <col min="4868" max="5122" width="9.140625" style="44"/>
    <col min="5123" max="5123" width="112.7109375" style="44" customWidth="1"/>
    <col min="5124" max="5378" width="9.140625" style="44"/>
    <col min="5379" max="5379" width="112.7109375" style="44" customWidth="1"/>
    <col min="5380" max="5634" width="9.140625" style="44"/>
    <col min="5635" max="5635" width="112.7109375" style="44" customWidth="1"/>
    <col min="5636" max="5890" width="9.140625" style="44"/>
    <col min="5891" max="5891" width="112.7109375" style="44" customWidth="1"/>
    <col min="5892" max="6146" width="9.140625" style="44"/>
    <col min="6147" max="6147" width="112.7109375" style="44" customWidth="1"/>
    <col min="6148" max="6402" width="9.140625" style="44"/>
    <col min="6403" max="6403" width="112.7109375" style="44" customWidth="1"/>
    <col min="6404" max="6658" width="9.140625" style="44"/>
    <col min="6659" max="6659" width="112.7109375" style="44" customWidth="1"/>
    <col min="6660" max="6914" width="9.140625" style="44"/>
    <col min="6915" max="6915" width="112.7109375" style="44" customWidth="1"/>
    <col min="6916" max="7170" width="9.140625" style="44"/>
    <col min="7171" max="7171" width="112.7109375" style="44" customWidth="1"/>
    <col min="7172" max="7426" width="9.140625" style="44"/>
    <col min="7427" max="7427" width="112.7109375" style="44" customWidth="1"/>
    <col min="7428" max="7682" width="9.140625" style="44"/>
    <col min="7683" max="7683" width="112.7109375" style="44" customWidth="1"/>
    <col min="7684" max="7938" width="9.140625" style="44"/>
    <col min="7939" max="7939" width="112.7109375" style="44" customWidth="1"/>
    <col min="7940" max="8194" width="9.140625" style="44"/>
    <col min="8195" max="8195" width="112.7109375" style="44" customWidth="1"/>
    <col min="8196" max="8450" width="9.140625" style="44"/>
    <col min="8451" max="8451" width="112.7109375" style="44" customWidth="1"/>
    <col min="8452" max="8706" width="9.140625" style="44"/>
    <col min="8707" max="8707" width="112.7109375" style="44" customWidth="1"/>
    <col min="8708" max="8962" width="9.140625" style="44"/>
    <col min="8963" max="8963" width="112.7109375" style="44" customWidth="1"/>
    <col min="8964" max="9218" width="9.140625" style="44"/>
    <col min="9219" max="9219" width="112.7109375" style="44" customWidth="1"/>
    <col min="9220" max="9474" width="9.140625" style="44"/>
    <col min="9475" max="9475" width="112.7109375" style="44" customWidth="1"/>
    <col min="9476" max="9730" width="9.140625" style="44"/>
    <col min="9731" max="9731" width="112.7109375" style="44" customWidth="1"/>
    <col min="9732" max="9986" width="9.140625" style="44"/>
    <col min="9987" max="9987" width="112.7109375" style="44" customWidth="1"/>
    <col min="9988" max="10242" width="9.140625" style="44"/>
    <col min="10243" max="10243" width="112.7109375" style="44" customWidth="1"/>
    <col min="10244" max="10498" width="9.140625" style="44"/>
    <col min="10499" max="10499" width="112.7109375" style="44" customWidth="1"/>
    <col min="10500" max="10754" width="9.140625" style="44"/>
    <col min="10755" max="10755" width="112.7109375" style="44" customWidth="1"/>
    <col min="10756" max="11010" width="9.140625" style="44"/>
    <col min="11011" max="11011" width="112.7109375" style="44" customWidth="1"/>
    <col min="11012" max="11266" width="9.140625" style="44"/>
    <col min="11267" max="11267" width="112.7109375" style="44" customWidth="1"/>
    <col min="11268" max="11522" width="9.140625" style="44"/>
    <col min="11523" max="11523" width="112.7109375" style="44" customWidth="1"/>
    <col min="11524" max="11778" width="9.140625" style="44"/>
    <col min="11779" max="11779" width="112.7109375" style="44" customWidth="1"/>
    <col min="11780" max="12034" width="9.140625" style="44"/>
    <col min="12035" max="12035" width="112.7109375" style="44" customWidth="1"/>
    <col min="12036" max="12290" width="9.140625" style="44"/>
    <col min="12291" max="12291" width="112.7109375" style="44" customWidth="1"/>
    <col min="12292" max="12546" width="9.140625" style="44"/>
    <col min="12547" max="12547" width="112.7109375" style="44" customWidth="1"/>
    <col min="12548" max="12802" width="9.140625" style="44"/>
    <col min="12803" max="12803" width="112.7109375" style="44" customWidth="1"/>
    <col min="12804" max="13058" width="9.140625" style="44"/>
    <col min="13059" max="13059" width="112.7109375" style="44" customWidth="1"/>
    <col min="13060" max="13314" width="9.140625" style="44"/>
    <col min="13315" max="13315" width="112.7109375" style="44" customWidth="1"/>
    <col min="13316" max="13570" width="9.140625" style="44"/>
    <col min="13571" max="13571" width="112.7109375" style="44" customWidth="1"/>
    <col min="13572" max="13826" width="9.140625" style="44"/>
    <col min="13827" max="13827" width="112.7109375" style="44" customWidth="1"/>
    <col min="13828" max="14082" width="9.140625" style="44"/>
    <col min="14083" max="14083" width="112.7109375" style="44" customWidth="1"/>
    <col min="14084" max="14338" width="9.140625" style="44"/>
    <col min="14339" max="14339" width="112.7109375" style="44" customWidth="1"/>
    <col min="14340" max="14594" width="9.140625" style="44"/>
    <col min="14595" max="14595" width="112.7109375" style="44" customWidth="1"/>
    <col min="14596" max="14850" width="9.140625" style="44"/>
    <col min="14851" max="14851" width="112.7109375" style="44" customWidth="1"/>
    <col min="14852" max="15106" width="9.140625" style="44"/>
    <col min="15107" max="15107" width="112.7109375" style="44" customWidth="1"/>
    <col min="15108" max="15362" width="9.140625" style="44"/>
    <col min="15363" max="15363" width="112.7109375" style="44" customWidth="1"/>
    <col min="15364" max="15618" width="9.140625" style="44"/>
    <col min="15619" max="15619" width="112.7109375" style="44" customWidth="1"/>
    <col min="15620" max="15874" width="9.140625" style="44"/>
    <col min="15875" max="15875" width="112.7109375" style="44" customWidth="1"/>
    <col min="15876" max="16130" width="9.140625" style="44"/>
    <col min="16131" max="16131" width="112.7109375" style="44" customWidth="1"/>
    <col min="16132" max="16384" width="9.140625" style="44"/>
  </cols>
  <sheetData>
    <row r="1" spans="2:3" ht="18.75">
      <c r="B1" s="121" t="s">
        <v>1518</v>
      </c>
      <c r="C1" s="110"/>
    </row>
    <row r="2" spans="2:3" ht="18.75">
      <c r="B2" s="121" t="s">
        <v>1379</v>
      </c>
      <c r="C2" s="110"/>
    </row>
    <row r="3" spans="2:3" ht="18.75">
      <c r="B3" s="121" t="s">
        <v>1513</v>
      </c>
      <c r="C3" s="110"/>
    </row>
    <row r="4" spans="2:3" ht="7.5" customHeight="1" thickBot="1">
      <c r="B4" s="111"/>
      <c r="C4" s="112"/>
    </row>
    <row r="5" spans="2:3" ht="25.5" customHeight="1">
      <c r="B5" s="1233" t="s">
        <v>1380</v>
      </c>
      <c r="C5" s="1234"/>
    </row>
    <row r="6" spans="2:3" ht="6.75" customHeight="1">
      <c r="B6" s="113"/>
      <c r="C6" s="114"/>
    </row>
    <row r="7" spans="2:3" ht="36.75" customHeight="1">
      <c r="B7" s="1235" t="s">
        <v>702</v>
      </c>
      <c r="C7" s="1236"/>
    </row>
    <row r="8" spans="2:3" ht="5.25" customHeight="1">
      <c r="B8" s="113"/>
      <c r="C8" s="114"/>
    </row>
    <row r="9" spans="2:3">
      <c r="B9" s="115" t="s">
        <v>445</v>
      </c>
      <c r="C9" s="116"/>
    </row>
    <row r="10" spans="2:3">
      <c r="B10" s="115"/>
      <c r="C10" s="117" t="s">
        <v>525</v>
      </c>
    </row>
    <row r="11" spans="2:3" ht="6" customHeight="1">
      <c r="B11" s="115"/>
      <c r="C11" s="116"/>
    </row>
    <row r="12" spans="2:3">
      <c r="B12" s="115" t="s">
        <v>526</v>
      </c>
      <c r="C12" s="116"/>
    </row>
    <row r="13" spans="2:3" ht="24">
      <c r="B13" s="115"/>
      <c r="C13" s="117" t="s">
        <v>527</v>
      </c>
    </row>
    <row r="14" spans="2:3" ht="5.25" customHeight="1">
      <c r="B14" s="115"/>
      <c r="C14" s="116"/>
    </row>
    <row r="15" spans="2:3">
      <c r="B15" s="118" t="s">
        <v>446</v>
      </c>
      <c r="C15" s="119"/>
    </row>
    <row r="16" spans="2:3" ht="24">
      <c r="B16" s="122"/>
      <c r="C16" s="117" t="s">
        <v>707</v>
      </c>
    </row>
    <row r="17" spans="2:3" ht="6" customHeight="1">
      <c r="B17" s="115"/>
      <c r="C17" s="120"/>
    </row>
    <row r="18" spans="2:3">
      <c r="B18" s="115" t="s">
        <v>721</v>
      </c>
      <c r="C18" s="116"/>
    </row>
    <row r="19" spans="2:3" ht="24">
      <c r="B19" s="115"/>
      <c r="C19" s="117" t="s">
        <v>1455</v>
      </c>
    </row>
    <row r="20" spans="2:3" ht="2.25" customHeight="1">
      <c r="B20" s="115"/>
      <c r="C20" s="116"/>
    </row>
    <row r="21" spans="2:3">
      <c r="B21" s="115" t="s">
        <v>447</v>
      </c>
      <c r="C21" s="116"/>
    </row>
    <row r="22" spans="2:3" ht="24">
      <c r="B22" s="115"/>
      <c r="C22" s="117" t="s">
        <v>528</v>
      </c>
    </row>
    <row r="23" spans="2:3">
      <c r="B23" s="115"/>
      <c r="C23" s="116"/>
    </row>
    <row r="24" spans="2:3" ht="6.75" customHeight="1">
      <c r="B24" s="115"/>
      <c r="C24" s="116"/>
    </row>
    <row r="25" spans="2:3" ht="24.75" customHeight="1" thickBot="1">
      <c r="B25" s="1237" t="s">
        <v>708</v>
      </c>
      <c r="C25" s="1238"/>
    </row>
  </sheetData>
  <sheetProtection sheet="1" objects="1" scenarios="1"/>
  <mergeCells count="3">
    <mergeCell ref="B5:C5"/>
    <mergeCell ref="B7:C7"/>
    <mergeCell ref="B25:C25"/>
  </mergeCells>
  <pageMargins left="0.7" right="0.7" top="0.75" bottom="0.75" header="0.3" footer="0.3"/>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CC"/>
  </sheetPr>
  <dimension ref="A1:F80"/>
  <sheetViews>
    <sheetView workbookViewId="0"/>
  </sheetViews>
  <sheetFormatPr defaultRowHeight="14.25"/>
  <cols>
    <col min="1" max="1" width="43.5703125" style="994" customWidth="1"/>
    <col min="2" max="2" width="149.140625" style="994" customWidth="1"/>
    <col min="3" max="16384" width="9.140625" style="994"/>
  </cols>
  <sheetData>
    <row r="1" spans="1:2" ht="15">
      <c r="A1" s="993" t="s">
        <v>1486</v>
      </c>
      <c r="B1" s="993" t="s">
        <v>1485</v>
      </c>
    </row>
    <row r="3" spans="1:2">
      <c r="A3" s="995" t="s">
        <v>526</v>
      </c>
      <c r="B3" s="994" t="s">
        <v>1487</v>
      </c>
    </row>
    <row r="4" spans="1:2">
      <c r="A4" s="995" t="s">
        <v>776</v>
      </c>
      <c r="B4" s="994" t="s">
        <v>1493</v>
      </c>
    </row>
    <row r="5" spans="1:2">
      <c r="A5" s="995" t="s">
        <v>783</v>
      </c>
      <c r="B5" s="994" t="s">
        <v>1494</v>
      </c>
    </row>
    <row r="6" spans="1:2">
      <c r="B6" s="994" t="s">
        <v>1507</v>
      </c>
    </row>
    <row r="7" spans="1:2">
      <c r="A7" s="995" t="s">
        <v>745</v>
      </c>
      <c r="B7" s="994" t="s">
        <v>1511</v>
      </c>
    </row>
    <row r="9" spans="1:2" ht="15">
      <c r="A9" s="993" t="s">
        <v>1415</v>
      </c>
      <c r="B9" s="993" t="s">
        <v>1381</v>
      </c>
    </row>
    <row r="11" spans="1:2">
      <c r="A11" s="995" t="s">
        <v>445</v>
      </c>
      <c r="B11" s="994" t="s">
        <v>1385</v>
      </c>
    </row>
    <row r="12" spans="1:2">
      <c r="B12" s="994" t="s">
        <v>1387</v>
      </c>
    </row>
    <row r="13" spans="1:2">
      <c r="A13" s="995" t="s">
        <v>526</v>
      </c>
      <c r="B13" s="994" t="s">
        <v>1390</v>
      </c>
    </row>
    <row r="14" spans="1:2">
      <c r="A14" s="995" t="s">
        <v>721</v>
      </c>
      <c r="B14" s="994" t="s">
        <v>1402</v>
      </c>
    </row>
    <row r="15" spans="1:2">
      <c r="A15" s="995"/>
      <c r="B15" s="994" t="s">
        <v>1403</v>
      </c>
    </row>
    <row r="16" spans="1:2">
      <c r="A16" s="995"/>
      <c r="B16" s="994" t="s">
        <v>1452</v>
      </c>
    </row>
    <row r="17" spans="1:6">
      <c r="A17" s="995" t="s">
        <v>1400</v>
      </c>
      <c r="B17" s="994" t="s">
        <v>1401</v>
      </c>
    </row>
    <row r="18" spans="1:6">
      <c r="B18" s="994" t="s">
        <v>1404</v>
      </c>
    </row>
    <row r="19" spans="1:6">
      <c r="A19" s="995" t="s">
        <v>783</v>
      </c>
      <c r="B19" s="994" t="s">
        <v>1412</v>
      </c>
    </row>
    <row r="20" spans="1:6">
      <c r="B20" s="994" t="s">
        <v>1453</v>
      </c>
    </row>
    <row r="21" spans="1:6">
      <c r="A21" s="995" t="s">
        <v>1433</v>
      </c>
      <c r="B21" s="994" t="s">
        <v>1454</v>
      </c>
    </row>
    <row r="22" spans="1:6">
      <c r="A22" s="995" t="s">
        <v>1211</v>
      </c>
      <c r="B22" s="994" t="s">
        <v>1421</v>
      </c>
    </row>
    <row r="24" spans="1:6" ht="15">
      <c r="A24" s="993" t="s">
        <v>1363</v>
      </c>
      <c r="B24" s="993" t="s">
        <v>1300</v>
      </c>
      <c r="E24" s="993"/>
      <c r="F24" s="993"/>
    </row>
    <row r="26" spans="1:6">
      <c r="A26" s="995" t="s">
        <v>526</v>
      </c>
      <c r="B26" s="994" t="s">
        <v>1301</v>
      </c>
    </row>
    <row r="27" spans="1:6" ht="28.5">
      <c r="B27" s="996" t="s">
        <v>1303</v>
      </c>
    </row>
    <row r="28" spans="1:6">
      <c r="B28" s="994" t="s">
        <v>1341</v>
      </c>
    </row>
    <row r="29" spans="1:6">
      <c r="B29" s="994" t="s">
        <v>1362</v>
      </c>
    </row>
    <row r="30" spans="1:6">
      <c r="B30" s="994" t="s">
        <v>1342</v>
      </c>
    </row>
    <row r="31" spans="1:6" ht="28.5">
      <c r="A31" s="995" t="s">
        <v>745</v>
      </c>
      <c r="B31" s="996" t="s">
        <v>1357</v>
      </c>
    </row>
    <row r="32" spans="1:6">
      <c r="A32" s="995" t="s">
        <v>1214</v>
      </c>
      <c r="B32" s="996" t="s">
        <v>1358</v>
      </c>
    </row>
    <row r="33" spans="1:2">
      <c r="B33" s="994" t="s">
        <v>1361</v>
      </c>
    </row>
    <row r="34" spans="1:2">
      <c r="B34" s="994" t="s">
        <v>1362</v>
      </c>
    </row>
    <row r="35" spans="1:2">
      <c r="B35" s="994" t="s">
        <v>1366</v>
      </c>
    </row>
    <row r="37" spans="1:2" ht="28.5">
      <c r="A37" s="1045">
        <v>42039</v>
      </c>
      <c r="B37" s="996" t="s">
        <v>1378</v>
      </c>
    </row>
    <row r="38" spans="1:2">
      <c r="A38" s="1045"/>
    </row>
    <row r="39" spans="1:2" ht="15">
      <c r="A39" s="993" t="s">
        <v>1364</v>
      </c>
      <c r="B39" s="993" t="s">
        <v>1257</v>
      </c>
    </row>
    <row r="41" spans="1:2" ht="28.5">
      <c r="A41" s="995" t="s">
        <v>1213</v>
      </c>
      <c r="B41" s="996" t="s">
        <v>1256</v>
      </c>
    </row>
    <row r="42" spans="1:2">
      <c r="A42" s="995" t="s">
        <v>445</v>
      </c>
      <c r="B42" s="996" t="s">
        <v>1194</v>
      </c>
    </row>
    <row r="43" spans="1:2">
      <c r="A43" s="995"/>
      <c r="B43" s="996" t="s">
        <v>1195</v>
      </c>
    </row>
    <row r="44" spans="1:2">
      <c r="A44" s="995"/>
      <c r="B44" s="996" t="s">
        <v>1196</v>
      </c>
    </row>
    <row r="45" spans="1:2">
      <c r="A45" s="995"/>
      <c r="B45" s="996" t="s">
        <v>1246</v>
      </c>
    </row>
    <row r="46" spans="1:2">
      <c r="A46" s="995"/>
      <c r="B46" s="996" t="s">
        <v>1302</v>
      </c>
    </row>
    <row r="47" spans="1:2" ht="28.5">
      <c r="A47" s="995"/>
      <c r="B47" s="996" t="s">
        <v>1197</v>
      </c>
    </row>
    <row r="48" spans="1:2">
      <c r="A48" s="995" t="s">
        <v>526</v>
      </c>
      <c r="B48" s="996" t="s">
        <v>1287</v>
      </c>
    </row>
    <row r="49" spans="1:2">
      <c r="A49" s="995"/>
      <c r="B49" s="996" t="s">
        <v>1288</v>
      </c>
    </row>
    <row r="50" spans="1:2">
      <c r="A50" s="995" t="s">
        <v>446</v>
      </c>
      <c r="B50" s="996" t="s">
        <v>1198</v>
      </c>
    </row>
    <row r="51" spans="1:2">
      <c r="A51" s="995"/>
      <c r="B51" s="996" t="s">
        <v>1199</v>
      </c>
    </row>
    <row r="52" spans="1:2">
      <c r="A52" s="995"/>
      <c r="B52" s="996" t="s">
        <v>1227</v>
      </c>
    </row>
    <row r="53" spans="1:2">
      <c r="A53" s="995"/>
      <c r="B53" s="996" t="s">
        <v>1254</v>
      </c>
    </row>
    <row r="54" spans="1:2">
      <c r="A54" s="995"/>
      <c r="B54" s="996" t="s">
        <v>1289</v>
      </c>
    </row>
    <row r="55" spans="1:2">
      <c r="A55" s="995"/>
      <c r="B55" s="996" t="s">
        <v>1292</v>
      </c>
    </row>
    <row r="56" spans="1:2">
      <c r="A56" s="995" t="s">
        <v>721</v>
      </c>
      <c r="B56" s="996" t="s">
        <v>1247</v>
      </c>
    </row>
    <row r="57" spans="1:2">
      <c r="A57" s="995" t="s">
        <v>789</v>
      </c>
      <c r="B57" s="996" t="s">
        <v>1225</v>
      </c>
    </row>
    <row r="58" spans="1:2">
      <c r="A58" s="995" t="s">
        <v>778</v>
      </c>
      <c r="B58" s="996" t="s">
        <v>1200</v>
      </c>
    </row>
    <row r="59" spans="1:2">
      <c r="A59" s="995"/>
      <c r="B59" s="996" t="s">
        <v>1226</v>
      </c>
    </row>
    <row r="60" spans="1:2">
      <c r="A60" s="995" t="s">
        <v>783</v>
      </c>
      <c r="B60" s="996" t="s">
        <v>1201</v>
      </c>
    </row>
    <row r="61" spans="1:2">
      <c r="A61" s="995"/>
      <c r="B61" s="996" t="s">
        <v>1202</v>
      </c>
    </row>
    <row r="62" spans="1:2">
      <c r="A62" s="995"/>
      <c r="B62" s="996" t="s">
        <v>1217</v>
      </c>
    </row>
    <row r="63" spans="1:2">
      <c r="A63" s="995"/>
      <c r="B63" s="996" t="s">
        <v>1203</v>
      </c>
    </row>
    <row r="64" spans="1:2">
      <c r="A64" s="995"/>
      <c r="B64" s="996" t="s">
        <v>1204</v>
      </c>
    </row>
    <row r="65" spans="1:2">
      <c r="A65" s="995"/>
      <c r="B65" s="996" t="s">
        <v>1205</v>
      </c>
    </row>
    <row r="66" spans="1:2">
      <c r="A66" s="995"/>
      <c r="B66" s="996" t="s">
        <v>1206</v>
      </c>
    </row>
    <row r="67" spans="1:2">
      <c r="A67" s="995"/>
      <c r="B67" s="996" t="s">
        <v>1207</v>
      </c>
    </row>
    <row r="68" spans="1:2" ht="28.5">
      <c r="A68" s="995"/>
      <c r="B68" s="996" t="s">
        <v>1208</v>
      </c>
    </row>
    <row r="69" spans="1:2">
      <c r="A69" s="995"/>
      <c r="B69" s="996" t="s">
        <v>1219</v>
      </c>
    </row>
    <row r="70" spans="1:2">
      <c r="A70" s="995"/>
      <c r="B70" s="996" t="s">
        <v>1218</v>
      </c>
    </row>
    <row r="71" spans="1:2">
      <c r="A71" s="995"/>
      <c r="B71" s="996" t="s">
        <v>1220</v>
      </c>
    </row>
    <row r="72" spans="1:2">
      <c r="A72" s="995"/>
      <c r="B72" s="996" t="s">
        <v>1221</v>
      </c>
    </row>
    <row r="73" spans="1:2">
      <c r="A73" s="995" t="s">
        <v>1222</v>
      </c>
      <c r="B73" s="996" t="s">
        <v>1223</v>
      </c>
    </row>
    <row r="74" spans="1:2">
      <c r="A74" s="995"/>
      <c r="B74" s="996" t="s">
        <v>1224</v>
      </c>
    </row>
    <row r="75" spans="1:2" ht="28.5">
      <c r="A75" s="995" t="s">
        <v>745</v>
      </c>
      <c r="B75" s="996" t="s">
        <v>1215</v>
      </c>
    </row>
    <row r="76" spans="1:2">
      <c r="B76" s="996" t="s">
        <v>1216</v>
      </c>
    </row>
    <row r="77" spans="1:2">
      <c r="A77" s="995" t="s">
        <v>1214</v>
      </c>
      <c r="B77" s="994" t="s">
        <v>1255</v>
      </c>
    </row>
    <row r="78" spans="1:2">
      <c r="B78" s="996" t="s">
        <v>1209</v>
      </c>
    </row>
    <row r="79" spans="1:2">
      <c r="B79" s="994" t="s">
        <v>1210</v>
      </c>
    </row>
    <row r="80" spans="1:2">
      <c r="A80" s="997" t="s">
        <v>1211</v>
      </c>
      <c r="B80" s="994" t="s">
        <v>1212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0" tint="-0.249977111117893"/>
    <pageSetUpPr fitToPage="1"/>
  </sheetPr>
  <dimension ref="A1:G89"/>
  <sheetViews>
    <sheetView showGridLines="0" zoomScaleNormal="100" workbookViewId="0"/>
  </sheetViews>
  <sheetFormatPr defaultRowHeight="12"/>
  <cols>
    <col min="1" max="1" width="3" style="411" customWidth="1"/>
    <col min="2" max="2" width="35.42578125" style="411" customWidth="1"/>
    <col min="3" max="3" width="20.7109375" style="411" customWidth="1"/>
    <col min="4" max="4" width="23.140625" style="411" customWidth="1"/>
    <col min="5" max="5" width="32.5703125" style="411" customWidth="1"/>
    <col min="6" max="6" width="41.85546875" style="411" customWidth="1"/>
    <col min="7" max="7" width="33.42578125" style="411" customWidth="1"/>
    <col min="8" max="8" width="9.140625" style="411"/>
    <col min="9" max="10" width="9.140625" style="411" customWidth="1"/>
    <col min="11" max="16384" width="9.140625" style="411"/>
  </cols>
  <sheetData>
    <row r="1" spans="2:6" ht="18.75">
      <c r="B1" s="436" t="s">
        <v>108</v>
      </c>
    </row>
    <row r="3" spans="2:6">
      <c r="B3" s="437"/>
      <c r="C3" s="322" t="s">
        <v>540</v>
      </c>
    </row>
    <row r="4" spans="2:6">
      <c r="B4" s="438" t="s">
        <v>142</v>
      </c>
      <c r="C4" s="67"/>
    </row>
    <row r="5" spans="2:6">
      <c r="B5" s="438" t="s">
        <v>143</v>
      </c>
      <c r="C5" s="67"/>
      <c r="F5" s="413"/>
    </row>
    <row r="6" spans="2:6">
      <c r="B6" s="438" t="s">
        <v>144</v>
      </c>
      <c r="C6" s="67"/>
      <c r="F6" s="414"/>
    </row>
    <row r="7" spans="2:6">
      <c r="B7" s="438" t="s">
        <v>19</v>
      </c>
      <c r="C7" s="67"/>
      <c r="E7" s="414"/>
    </row>
    <row r="8" spans="2:6">
      <c r="B8" s="438" t="s">
        <v>20</v>
      </c>
      <c r="C8" s="67"/>
      <c r="E8" s="414"/>
    </row>
    <row r="9" spans="2:6">
      <c r="B9" s="1139" t="s">
        <v>1456</v>
      </c>
      <c r="C9" s="1140">
        <f>SUM(C4:C8)</f>
        <v>0</v>
      </c>
      <c r="E9" s="414"/>
    </row>
    <row r="10" spans="2:6">
      <c r="C10" s="411" t="s">
        <v>88</v>
      </c>
    </row>
    <row r="11" spans="2:6">
      <c r="B11" s="322" t="s">
        <v>145</v>
      </c>
      <c r="C11" s="322" t="s">
        <v>21</v>
      </c>
      <c r="D11" s="322" t="s">
        <v>22</v>
      </c>
      <c r="E11" s="415"/>
      <c r="F11" s="416"/>
    </row>
    <row r="12" spans="2:6" ht="12.75" customHeight="1">
      <c r="B12" s="439" t="s">
        <v>17</v>
      </c>
      <c r="C12" s="67"/>
      <c r="D12" s="67" t="s">
        <v>274</v>
      </c>
      <c r="E12" s="433" t="str">
        <f>IF(AND(C12&lt;&gt;0,D12="N/A"),Lookup!$A$4,"")</f>
        <v/>
      </c>
      <c r="F12" s="434" t="str">
        <f>IF(D12="Unconditioned",Lookup!$A$2, "")</f>
        <v/>
      </c>
    </row>
    <row r="13" spans="2:6" ht="12.75" customHeight="1">
      <c r="B13" s="439" t="s">
        <v>110</v>
      </c>
      <c r="C13" s="67"/>
      <c r="D13" s="67" t="s">
        <v>274</v>
      </c>
      <c r="E13" s="435" t="str">
        <f>IF(AND(C13&lt;&gt;0,D13="N/A"),Lookup!$A$4,"")</f>
        <v/>
      </c>
      <c r="F13" s="434" t="str">
        <f>IF(D13="Unconditioned",Lookup!$A$2, "")</f>
        <v/>
      </c>
    </row>
    <row r="14" spans="2:6" ht="12.75" customHeight="1">
      <c r="B14" s="439" t="s">
        <v>111</v>
      </c>
      <c r="C14" s="67"/>
      <c r="D14" s="67" t="s">
        <v>274</v>
      </c>
      <c r="E14" s="435" t="str">
        <f>IF(AND(C14&lt;&gt;0,D14="N/A"),Lookup!$A$4,"")</f>
        <v/>
      </c>
      <c r="F14" s="434" t="str">
        <f>IF(D14="Unconditioned",Lookup!$A$2, "")</f>
        <v/>
      </c>
    </row>
    <row r="15" spans="2:6" ht="12.75" customHeight="1">
      <c r="B15" s="439" t="s">
        <v>112</v>
      </c>
      <c r="C15" s="67"/>
      <c r="D15" s="67" t="s">
        <v>274</v>
      </c>
      <c r="E15" s="435" t="str">
        <f>IF(AND(C15&lt;&gt;0,D15="N/A"),Lookup!$A$4,"")</f>
        <v/>
      </c>
      <c r="F15" s="434" t="str">
        <f>IF(D15="Unconditioned",Lookup!$A$2, "")</f>
        <v/>
      </c>
    </row>
    <row r="16" spans="2:6" ht="12.75" customHeight="1">
      <c r="B16" s="439" t="s">
        <v>113</v>
      </c>
      <c r="C16" s="67"/>
      <c r="D16" s="67" t="s">
        <v>274</v>
      </c>
      <c r="E16" s="435" t="str">
        <f>IF(AND(C16&lt;&gt;0,D16="N/A"),Lookup!$A$4,"")</f>
        <v/>
      </c>
      <c r="F16" s="434" t="str">
        <f>IF(D16="Unconditioned",Lookup!$A$2, "")</f>
        <v/>
      </c>
    </row>
    <row r="17" spans="1:7" ht="12.75" customHeight="1">
      <c r="B17" s="439" t="s">
        <v>114</v>
      </c>
      <c r="C17" s="67"/>
      <c r="D17" s="67" t="s">
        <v>274</v>
      </c>
      <c r="E17" s="435" t="str">
        <f>IF(AND(C17&lt;&gt;0,D17="N/A"),Lookup!$A$4,"")</f>
        <v/>
      </c>
      <c r="F17" s="434" t="str">
        <f>IF(D17="Unconditioned",Lookup!$A$2, "")</f>
        <v/>
      </c>
    </row>
    <row r="18" spans="1:7" ht="12.75" customHeight="1">
      <c r="B18" s="439" t="s">
        <v>115</v>
      </c>
      <c r="C18" s="67"/>
      <c r="D18" s="67" t="s">
        <v>274</v>
      </c>
      <c r="E18" s="435" t="str">
        <f>IF(AND(C18&lt;&gt;0,D18="N/A"),Lookup!$A$4,"")</f>
        <v/>
      </c>
      <c r="F18" s="434" t="str">
        <f>IF(D18="Unconditioned",Lookup!$A$2, "")</f>
        <v/>
      </c>
    </row>
    <row r="19" spans="1:7" ht="12.75" customHeight="1">
      <c r="B19" s="439" t="s">
        <v>134</v>
      </c>
      <c r="C19" s="67"/>
      <c r="D19" s="67" t="s">
        <v>274</v>
      </c>
      <c r="E19" s="435" t="str">
        <f>IF(AND(C19&lt;&gt;0,D19="N/A"),Lookup!$A$4,"")</f>
        <v/>
      </c>
      <c r="F19" s="434" t="str">
        <f>IF(D19="Unconditioned",Lookup!$A$2, "")</f>
        <v/>
      </c>
    </row>
    <row r="20" spans="1:7" ht="12.75" customHeight="1">
      <c r="B20" s="439" t="s">
        <v>146</v>
      </c>
      <c r="C20" s="67"/>
      <c r="D20" s="67" t="s">
        <v>274</v>
      </c>
      <c r="E20" s="435" t="str">
        <f>IF(AND(C20&lt;&gt;0,D20="N/A"),Lookup!$A$4,"")</f>
        <v/>
      </c>
      <c r="F20" s="434" t="str">
        <f>IF(D20="Unconditioned",Lookup!$A$2, "")</f>
        <v/>
      </c>
    </row>
    <row r="21" spans="1:7" ht="12.75" customHeight="1">
      <c r="B21" s="439" t="s">
        <v>116</v>
      </c>
      <c r="C21" s="67"/>
      <c r="D21" s="67" t="s">
        <v>274</v>
      </c>
      <c r="E21" s="435" t="str">
        <f>IF(AND(C21&lt;&gt;0,D21="N/A"),Lookup!$A$4,"")</f>
        <v/>
      </c>
      <c r="F21" s="434" t="str">
        <f>IF(D21="Unconditioned",Lookup!$A$2, "")</f>
        <v/>
      </c>
      <c r="G21" s="418"/>
    </row>
    <row r="22" spans="1:7" ht="12.75" customHeight="1">
      <c r="B22" s="439" t="s">
        <v>117</v>
      </c>
      <c r="C22" s="67"/>
      <c r="D22" s="67" t="s">
        <v>274</v>
      </c>
      <c r="E22" s="435" t="str">
        <f>IF(AND(C22&lt;&gt;0,D22="N/A"),Lookup!$A$4,"")</f>
        <v/>
      </c>
      <c r="F22" s="434" t="str">
        <f>IF(D22="Unconditioned",Lookup!$A$2, "")</f>
        <v/>
      </c>
    </row>
    <row r="23" spans="1:7" ht="12.75" customHeight="1">
      <c r="B23" s="439" t="s">
        <v>1098</v>
      </c>
      <c r="C23" s="67"/>
      <c r="D23" s="67" t="s">
        <v>274</v>
      </c>
      <c r="E23" s="435" t="str">
        <f>IF(AND(C23&lt;&gt;0,D23="N/A"),Lookup!$A$4,"")</f>
        <v/>
      </c>
      <c r="F23" s="434" t="str">
        <f>IF(D23="Unconditioned",Lookup!$A$2, "")</f>
        <v/>
      </c>
    </row>
    <row r="24" spans="1:7" ht="12.75" customHeight="1">
      <c r="B24" s="439" t="s">
        <v>1099</v>
      </c>
      <c r="C24" s="67"/>
      <c r="D24" s="67" t="s">
        <v>274</v>
      </c>
      <c r="E24" s="435" t="str">
        <f>IF(AND(C24&lt;&gt;0,D24="N/A"),Lookup!$A$4,"")</f>
        <v/>
      </c>
      <c r="F24" s="434" t="str">
        <f>IF(D24="Unconditioned",Lookup!$A$2, "")</f>
        <v/>
      </c>
    </row>
    <row r="25" spans="1:7" ht="12.75" customHeight="1">
      <c r="B25" s="439" t="s">
        <v>118</v>
      </c>
      <c r="C25" s="67"/>
      <c r="D25" s="67" t="s">
        <v>274</v>
      </c>
      <c r="E25" s="435" t="str">
        <f>IF(AND(C25&lt;&gt;0,D25="N/A"),Lookup!$A$4,"")</f>
        <v/>
      </c>
      <c r="F25" s="434" t="str">
        <f>IF(OR(D25="Heated-Only",D25="Heated &amp; Cooled")=TRUE,Lookup!A3,"")</f>
        <v/>
      </c>
    </row>
    <row r="26" spans="1:7" ht="12.75" customHeight="1">
      <c r="A26" s="416"/>
      <c r="B26" s="439" t="s">
        <v>252</v>
      </c>
      <c r="C26" s="67"/>
      <c r="D26" s="67" t="s">
        <v>274</v>
      </c>
      <c r="E26" s="435" t="str">
        <f>IF(AND(C26&lt;&gt;0,D26="N/A"),Lookup!$A$4,"")</f>
        <v/>
      </c>
      <c r="F26" s="434" t="str">
        <f>IF(D26="Unconditioned",Lookup!$A$2, "")</f>
        <v/>
      </c>
    </row>
    <row r="27" spans="1:7">
      <c r="B27" s="439" t="s">
        <v>280</v>
      </c>
      <c r="C27" s="440">
        <f>SUM(C12:C25)</f>
        <v>0</v>
      </c>
      <c r="D27" s="419"/>
      <c r="E27" s="416"/>
      <c r="F27" s="416"/>
    </row>
    <row r="28" spans="1:7">
      <c r="B28" s="439" t="s">
        <v>1088</v>
      </c>
      <c r="C28" s="440">
        <f>'GHSF Calculator'!E18</f>
        <v>0</v>
      </c>
    </row>
    <row r="30" spans="1:7">
      <c r="B30" s="438" t="s">
        <v>189</v>
      </c>
      <c r="C30" s="69" t="s">
        <v>274</v>
      </c>
    </row>
    <row r="32" spans="1:7">
      <c r="B32" s="439" t="s">
        <v>275</v>
      </c>
      <c r="C32" s="1242"/>
      <c r="D32" s="1243"/>
    </row>
    <row r="33" spans="2:4">
      <c r="B33" s="439" t="s">
        <v>374</v>
      </c>
      <c r="C33" s="1242"/>
      <c r="D33" s="1243"/>
    </row>
    <row r="34" spans="2:4">
      <c r="B34" s="439" t="s">
        <v>488</v>
      </c>
      <c r="C34" s="1242"/>
      <c r="D34" s="1243"/>
    </row>
    <row r="35" spans="2:4">
      <c r="B35" s="439" t="s">
        <v>489</v>
      </c>
      <c r="C35" s="1244"/>
      <c r="D35" s="1245"/>
    </row>
    <row r="36" spans="2:4">
      <c r="B36" s="441" t="s">
        <v>1191</v>
      </c>
      <c r="C36" s="1242"/>
      <c r="D36" s="1243"/>
    </row>
    <row r="38" spans="2:4">
      <c r="B38" s="439" t="s">
        <v>375</v>
      </c>
      <c r="C38" s="1242"/>
      <c r="D38" s="1243"/>
    </row>
    <row r="39" spans="2:4">
      <c r="B39" s="439" t="s">
        <v>768</v>
      </c>
      <c r="C39" s="1242"/>
      <c r="D39" s="1243"/>
    </row>
    <row r="41" spans="2:4">
      <c r="B41" s="412" t="s">
        <v>1382</v>
      </c>
      <c r="C41" s="1046" t="s">
        <v>1383</v>
      </c>
    </row>
    <row r="42" spans="2:4">
      <c r="B42" s="412" t="s">
        <v>1384</v>
      </c>
      <c r="C42" s="1006"/>
    </row>
    <row r="43" spans="2:4">
      <c r="B43" s="438" t="s">
        <v>276</v>
      </c>
      <c r="C43" s="69"/>
    </row>
    <row r="44" spans="2:4">
      <c r="B44" s="438" t="s">
        <v>281</v>
      </c>
      <c r="C44" s="69"/>
    </row>
    <row r="45" spans="2:4">
      <c r="B45" s="438" t="s">
        <v>434</v>
      </c>
      <c r="C45" s="70"/>
    </row>
    <row r="46" spans="2:4">
      <c r="B46" s="439" t="s">
        <v>299</v>
      </c>
      <c r="C46" s="69"/>
    </row>
    <row r="47" spans="2:4">
      <c r="B47" s="439" t="s">
        <v>293</v>
      </c>
      <c r="C47" s="69"/>
    </row>
    <row r="48" spans="2:4">
      <c r="B48" s="439" t="s">
        <v>435</v>
      </c>
      <c r="C48" s="69"/>
    </row>
    <row r="49" spans="2:3">
      <c r="B49" s="439" t="s">
        <v>436</v>
      </c>
      <c r="C49" s="69"/>
    </row>
    <row r="50" spans="2:3">
      <c r="B50" s="439" t="s">
        <v>437</v>
      </c>
      <c r="C50" s="69"/>
    </row>
    <row r="51" spans="2:3">
      <c r="B51" s="439" t="s">
        <v>376</v>
      </c>
      <c r="C51" s="69"/>
    </row>
    <row r="52" spans="2:3">
      <c r="B52" s="439" t="s">
        <v>377</v>
      </c>
      <c r="C52" s="69"/>
    </row>
    <row r="53" spans="2:3">
      <c r="B53" s="439" t="s">
        <v>764</v>
      </c>
      <c r="C53" s="69"/>
    </row>
    <row r="54" spans="2:3">
      <c r="B54" s="439" t="s">
        <v>765</v>
      </c>
      <c r="C54" s="69"/>
    </row>
    <row r="55" spans="2:3">
      <c r="B55" s="439" t="s">
        <v>766</v>
      </c>
      <c r="C55" s="69"/>
    </row>
    <row r="56" spans="2:3">
      <c r="B56" s="439" t="s">
        <v>767</v>
      </c>
      <c r="C56" s="69"/>
    </row>
    <row r="58" spans="2:3">
      <c r="B58" s="439" t="s">
        <v>365</v>
      </c>
      <c r="C58" s="69"/>
    </row>
    <row r="59" spans="2:3">
      <c r="B59" s="439" t="s">
        <v>303</v>
      </c>
      <c r="C59" s="998">
        <v>0.18579999999999999</v>
      </c>
    </row>
    <row r="60" spans="2:3">
      <c r="B60" s="439" t="s">
        <v>304</v>
      </c>
      <c r="C60" s="999">
        <v>1.3220000000000001</v>
      </c>
    </row>
    <row r="61" spans="2:3">
      <c r="B61" s="439" t="s">
        <v>468</v>
      </c>
      <c r="C61" s="408"/>
    </row>
    <row r="62" spans="2:3">
      <c r="B62" s="439" t="s">
        <v>486</v>
      </c>
      <c r="C62" s="408"/>
    </row>
    <row r="63" spans="2:3">
      <c r="B63" s="439" t="s">
        <v>701</v>
      </c>
      <c r="C63" s="408"/>
    </row>
    <row r="65" spans="2:7">
      <c r="B65" s="442" t="s">
        <v>379</v>
      </c>
      <c r="C65" s="445" t="s">
        <v>380</v>
      </c>
      <c r="D65" s="445" t="s">
        <v>381</v>
      </c>
    </row>
    <row r="66" spans="2:7">
      <c r="B66" s="443" t="s">
        <v>382</v>
      </c>
      <c r="C66" s="70"/>
      <c r="D66" s="70"/>
    </row>
    <row r="67" spans="2:7">
      <c r="B67" s="443" t="s">
        <v>383</v>
      </c>
      <c r="C67" s="70"/>
      <c r="D67" s="70"/>
    </row>
    <row r="68" spans="2:7">
      <c r="B68" s="444" t="s">
        <v>384</v>
      </c>
      <c r="C68" s="420"/>
      <c r="D68" s="420"/>
    </row>
    <row r="69" spans="2:7">
      <c r="B69" s="444" t="s">
        <v>385</v>
      </c>
      <c r="C69" s="420"/>
      <c r="D69" s="420"/>
    </row>
    <row r="70" spans="2:7">
      <c r="B70" s="444" t="s">
        <v>386</v>
      </c>
      <c r="C70" s="420"/>
      <c r="D70" s="421"/>
    </row>
    <row r="73" spans="2:7">
      <c r="B73" s="442" t="s">
        <v>487</v>
      </c>
      <c r="C73" s="447" t="s">
        <v>289</v>
      </c>
      <c r="D73" s="447" t="s">
        <v>290</v>
      </c>
      <c r="E73" s="447" t="s">
        <v>378</v>
      </c>
      <c r="F73" s="447" t="s">
        <v>291</v>
      </c>
      <c r="G73" s="447" t="s">
        <v>292</v>
      </c>
    </row>
    <row r="74" spans="2:7">
      <c r="B74" s="446" t="s">
        <v>652</v>
      </c>
      <c r="C74" s="170"/>
      <c r="D74" s="170"/>
      <c r="E74" s="170"/>
      <c r="F74" s="422"/>
      <c r="G74" s="170"/>
    </row>
    <row r="75" spans="2:7">
      <c r="B75" s="446" t="s">
        <v>769</v>
      </c>
      <c r="C75" s="170"/>
      <c r="D75" s="170"/>
      <c r="E75" s="170"/>
      <c r="F75" s="422"/>
      <c r="G75" s="170"/>
    </row>
    <row r="77" spans="2:7">
      <c r="B77" s="1239" t="s">
        <v>1136</v>
      </c>
      <c r="C77" s="1240"/>
      <c r="D77" s="1240"/>
      <c r="E77" s="1240"/>
      <c r="F77" s="1240"/>
      <c r="G77" s="1241"/>
    </row>
    <row r="78" spans="2:7">
      <c r="B78" s="423"/>
      <c r="C78" s="424"/>
      <c r="D78" s="424"/>
      <c r="E78" s="424"/>
      <c r="F78" s="424"/>
      <c r="G78" s="425"/>
    </row>
    <row r="79" spans="2:7">
      <c r="B79" s="426"/>
      <c r="C79" s="427"/>
      <c r="D79" s="427"/>
      <c r="E79" s="427"/>
      <c r="F79" s="427"/>
      <c r="G79" s="428"/>
    </row>
    <row r="80" spans="2:7">
      <c r="B80" s="429"/>
      <c r="C80" s="427"/>
      <c r="D80" s="427"/>
      <c r="E80" s="427"/>
      <c r="F80" s="427"/>
      <c r="G80" s="428"/>
    </row>
    <row r="81" spans="2:7">
      <c r="B81" s="429"/>
      <c r="C81" s="427"/>
      <c r="D81" s="427"/>
      <c r="E81" s="427"/>
      <c r="F81" s="427"/>
      <c r="G81" s="428"/>
    </row>
    <row r="82" spans="2:7">
      <c r="B82" s="430"/>
      <c r="C82" s="431"/>
      <c r="D82" s="431"/>
      <c r="E82" s="431"/>
      <c r="F82" s="431"/>
      <c r="G82" s="432"/>
    </row>
    <row r="84" spans="2:7">
      <c r="B84" s="1239" t="s">
        <v>1135</v>
      </c>
      <c r="C84" s="1240"/>
      <c r="D84" s="1240"/>
      <c r="E84" s="1240"/>
      <c r="F84" s="1240"/>
      <c r="G84" s="1241"/>
    </row>
    <row r="85" spans="2:7">
      <c r="B85" s="423"/>
      <c r="C85" s="424"/>
      <c r="D85" s="424"/>
      <c r="E85" s="424"/>
      <c r="F85" s="424"/>
      <c r="G85" s="425"/>
    </row>
    <row r="86" spans="2:7">
      <c r="B86" s="426"/>
      <c r="C86" s="427"/>
      <c r="D86" s="427"/>
      <c r="E86" s="427"/>
      <c r="F86" s="427"/>
      <c r="G86" s="428"/>
    </row>
    <row r="87" spans="2:7">
      <c r="B87" s="429"/>
      <c r="C87" s="427"/>
      <c r="D87" s="427"/>
      <c r="E87" s="427"/>
      <c r="F87" s="427"/>
      <c r="G87" s="428"/>
    </row>
    <row r="88" spans="2:7">
      <c r="B88" s="429"/>
      <c r="C88" s="427"/>
      <c r="D88" s="427"/>
      <c r="E88" s="427"/>
      <c r="F88" s="427"/>
      <c r="G88" s="428"/>
    </row>
    <row r="89" spans="2:7">
      <c r="B89" s="430"/>
      <c r="C89" s="431"/>
      <c r="D89" s="431"/>
      <c r="E89" s="431"/>
      <c r="F89" s="431"/>
      <c r="G89" s="432"/>
    </row>
  </sheetData>
  <sheetProtection sheet="1" objects="1" scenarios="1" formatCells="0" insertRows="0"/>
  <mergeCells count="9">
    <mergeCell ref="B77:G77"/>
    <mergeCell ref="B84:G84"/>
    <mergeCell ref="C39:D39"/>
    <mergeCell ref="C32:D32"/>
    <mergeCell ref="C33:D33"/>
    <mergeCell ref="C34:D34"/>
    <mergeCell ref="C38:D38"/>
    <mergeCell ref="C35:D35"/>
    <mergeCell ref="C36:D36"/>
  </mergeCells>
  <phoneticPr fontId="29" type="noConversion"/>
  <dataValidations xWindow="464" yWindow="322" count="15">
    <dataValidation type="list" allowBlank="1" showInputMessage="1" showErrorMessage="1" sqref="C58">
      <formula1>"Please Select, 4, 5, 6"</formula1>
    </dataValidation>
    <dataValidation type="list" allowBlank="1" showInputMessage="1" showErrorMessage="1" sqref="C51:C52">
      <formula1>fuel</formula1>
    </dataValidation>
    <dataValidation type="list" allowBlank="1" showInputMessage="1" showErrorMessage="1" sqref="C56">
      <formula1>"Whole-building, unit-by-unit, mixed"</formula1>
    </dataValidation>
    <dataValidation type="list" allowBlank="1" showInputMessage="1" showErrorMessage="1" sqref="C61">
      <formula1>Utility</formula1>
    </dataValidation>
    <dataValidation type="list" allowBlank="1" showInputMessage="1" showErrorMessage="1" sqref="C62">
      <formula1>GasUtility</formula1>
    </dataValidation>
    <dataValidation type="list" allowBlank="1" showInputMessage="1" showErrorMessage="1" sqref="C47">
      <formula1>construction</formula1>
    </dataValidation>
    <dataValidation type="list" allowBlank="1" showInputMessage="1" showErrorMessage="1" sqref="C43">
      <formula1>Milestone</formula1>
    </dataValidation>
    <dataValidation type="list" allowBlank="1" showInputMessage="1" showErrorMessage="1" sqref="C44">
      <formula1>Rev</formula1>
    </dataValidation>
    <dataValidation type="list" allowBlank="1" showInputMessage="1" showErrorMessage="1" sqref="C46">
      <formula1>Income</formula1>
    </dataValidation>
    <dataValidation type="list" allowBlank="1" showInputMessage="1" showErrorMessage="1" sqref="C30">
      <formula1>Garage</formula1>
    </dataValidation>
    <dataValidation type="list" allowBlank="1" showInputMessage="1" showErrorMessage="1" sqref="D12:D26">
      <formula1>Condition</formula1>
    </dataValidation>
    <dataValidation type="list" allowBlank="1" showInputMessage="1" showErrorMessage="1" sqref="C63">
      <formula1>"Yes,No"</formula1>
    </dataValidation>
    <dataValidation type="list" allowBlank="1" showInputMessage="1" showErrorMessage="1" sqref="C54:C55">
      <formula1>"Whole-building, Unit-by-unit, Mixed, None installed"</formula1>
    </dataValidation>
    <dataValidation type="list" allowBlank="1" showInputMessage="1" showErrorMessage="1" sqref="C53">
      <formula1>"Whole-building, Unit-by-unit, Mixed"</formula1>
    </dataValidation>
    <dataValidation type="list" allowBlank="1" showInputMessage="1" showErrorMessage="1" sqref="C42">
      <formula1>"1,2,3"</formula1>
    </dataValidation>
  </dataValidations>
  <printOptions gridLines="1"/>
  <pageMargins left="0.75" right="0.75" top="1" bottom="1" header="0.5" footer="0.5"/>
  <pageSetup scale="53" orientation="landscape" r:id="rId1"/>
  <headerFooter alignWithMargins="0"/>
  <cellWatches>
    <cellWatch r="C70"/>
  </cellWatches>
  <ignoredErrors>
    <ignoredError sqref="F25"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43</vt:i4>
      </vt:variant>
    </vt:vector>
  </HeadingPairs>
  <TitlesOfParts>
    <vt:vector size="68" baseType="lpstr">
      <vt:lpstr>NYSERDA Reporting</vt:lpstr>
      <vt:lpstr>ERMs</vt:lpstr>
      <vt:lpstr>GHSF Calculator</vt:lpstr>
      <vt:lpstr>Demand Savings Lookup</vt:lpstr>
      <vt:lpstr>Lookup</vt:lpstr>
      <vt:lpstr>Drop Down</vt:lpstr>
      <vt:lpstr>Introduction</vt:lpstr>
      <vt:lpstr>Version History</vt:lpstr>
      <vt:lpstr>Basic Info</vt:lpstr>
      <vt:lpstr>Model Inputs</vt:lpstr>
      <vt:lpstr>Reporting Summary</vt:lpstr>
      <vt:lpstr>Detailed Measures</vt:lpstr>
      <vt:lpstr>Simulation Summary</vt:lpstr>
      <vt:lpstr>Results from eQUEST</vt:lpstr>
      <vt:lpstr>SG Appx Intro</vt:lpstr>
      <vt:lpstr>Windows eQuest</vt:lpstr>
      <vt:lpstr>DHW Demand</vt:lpstr>
      <vt:lpstr>Water Savings</vt:lpstr>
      <vt:lpstr>Appliances</vt:lpstr>
      <vt:lpstr>Lighting Schedule</vt:lpstr>
      <vt:lpstr>Interior Lighting</vt:lpstr>
      <vt:lpstr>In-Unit Lighting</vt:lpstr>
      <vt:lpstr>Exterior Lighting</vt:lpstr>
      <vt:lpstr>Infiltration&amp;Ventilation</vt:lpstr>
      <vt:lpstr>EIR for PTAC and PTHP</vt:lpstr>
      <vt:lpstr>BaseSite</vt:lpstr>
      <vt:lpstr>ClimateZone</vt:lpstr>
      <vt:lpstr>Condition</vt:lpstr>
      <vt:lpstr>construction</vt:lpstr>
      <vt:lpstr>DHW_Method</vt:lpstr>
      <vt:lpstr>Efficacy</vt:lpstr>
      <vt:lpstr>EStar</vt:lpstr>
      <vt:lpstr>ExtLightZone</vt:lpstr>
      <vt:lpstr>Fan</vt:lpstr>
      <vt:lpstr>FanControl</vt:lpstr>
      <vt:lpstr>FanRate</vt:lpstr>
      <vt:lpstr>Footcandles</vt:lpstr>
      <vt:lpstr>fuel</vt:lpstr>
      <vt:lpstr>Fuels</vt:lpstr>
      <vt:lpstr>FundingCodes</vt:lpstr>
      <vt:lpstr>Garage</vt:lpstr>
      <vt:lpstr>GasUtility</vt:lpstr>
      <vt:lpstr>HeatingControl</vt:lpstr>
      <vt:lpstr>Income</vt:lpstr>
      <vt:lpstr>LightCalcMethod</vt:lpstr>
      <vt:lpstr>LightingSpaceType</vt:lpstr>
      <vt:lpstr>'Water Savings'!Low_Flow_Toilets</vt:lpstr>
      <vt:lpstr>LPD2013SS</vt:lpstr>
      <vt:lpstr>LPD2013WB</vt:lpstr>
      <vt:lpstr>Measure_Type</vt:lpstr>
      <vt:lpstr>Milestone</vt:lpstr>
      <vt:lpstr>OSReq</vt:lpstr>
      <vt:lpstr>ERMs!Print_Area</vt:lpstr>
      <vt:lpstr>Introduction!Print_Area</vt:lpstr>
      <vt:lpstr>'Reporting Summary'!Print_Area</vt:lpstr>
      <vt:lpstr>'SG Appx Intro'!Print_Area</vt:lpstr>
      <vt:lpstr>'Interior Lighting'!Print_Titles</vt:lpstr>
      <vt:lpstr>Pump</vt:lpstr>
      <vt:lpstr>PumpClass</vt:lpstr>
      <vt:lpstr>Rev</vt:lpstr>
      <vt:lpstr>SpaceType</vt:lpstr>
      <vt:lpstr>SplitType</vt:lpstr>
      <vt:lpstr>Standard</vt:lpstr>
      <vt:lpstr>Units</vt:lpstr>
      <vt:lpstr>Utility</vt:lpstr>
      <vt:lpstr>Windows</vt:lpstr>
      <vt:lpstr>YesNo</vt:lpstr>
      <vt:lpstr>YN</vt:lpstr>
    </vt:vector>
  </TitlesOfParts>
  <Company>NYSERDA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Beaulieu, Shelley (CliftonPark,NY-US)</dc:creator>
  <cp:lastModifiedBy>McLaughlin, Gwen</cp:lastModifiedBy>
  <cp:lastPrinted>2017-01-31T16:43:29Z</cp:lastPrinted>
  <dcterms:created xsi:type="dcterms:W3CDTF">2007-11-19T22:02:39Z</dcterms:created>
  <dcterms:modified xsi:type="dcterms:W3CDTF">2017-11-20T19:53:30Z</dcterms:modified>
</cp:coreProperties>
</file>