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hdrinc.sharepoint.com/teams/DL10376781/Shared Documents/Task 1_Clean Energy Project Economics/Model + Tools/"/>
    </mc:Choice>
  </mc:AlternateContent>
  <xr:revisionPtr revIDLastSave="0" documentId="8_{1C2355FE-6541-488F-AF0C-6AC0CC03C939}" xr6:coauthVersionLast="47" xr6:coauthVersionMax="47" xr10:uidLastSave="{00000000-0000-0000-0000-000000000000}"/>
  <workbookProtection workbookAlgorithmName="SHA-512" workbookHashValue="GkDtX2boRjYFH9PYT//fnO/q2Z5lrVE/xrthFuIhheGGkuwMze3zHuRJ9umhw54eFyOydfysveQ+xJ/RcTjtdA==" workbookSaltValue="tThJfzQn/OkAMM+TWmUgNA==" workbookSpinCount="100000" lockStructure="1"/>
  <bookViews>
    <workbookView xWindow="28680" yWindow="-120" windowWidth="29040" windowHeight="15840" xr2:uid="{76CBF7A5-4D6E-46B6-BF94-54231A86BD4A}"/>
  </bookViews>
  <sheets>
    <sheet name="Input Definitions" sheetId="10" r:id="rId1"/>
    <sheet name="Calculator" sheetId="2" r:id="rId2"/>
    <sheet name="Credit Amounts" sheetId="3" state="hidden" r:id="rId3"/>
    <sheet name="Chart.Data" sheetId="7" state="hidden" r:id="rId4"/>
    <sheet name="TaxRates" sheetId="6" state="hidden" r:id="rId5"/>
    <sheet name="Lookup" sheetId="5"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AtRisk_FitDataRange_FIT_6E856_B178B"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2</definedName>
    <definedName name="_AtRisk_SimSetting_MultipleCPUManualCount" hidden="1">8</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1</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1</definedName>
    <definedName name="_AtRisk_SimSetting_ShowSimulationProgressWindow" hidden="1">TRUE</definedName>
    <definedName name="_AtRisk_SimSetting_SimName001" hidden="1">"Scenario 1"</definedName>
    <definedName name="_AtRisk_SimSetting_SimName002" hidden="1">"Scenario 2"</definedName>
    <definedName name="_AtRisk_SimSetting_SimName003" hidden="1">"Scenario 3"</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C">'[1]Inputs-437a'!$C$18</definedName>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xlcn.WorksheetConnection_trainflowsV4.xlsxtblRefLines1" hidden="1">[2]!tblRefLines[#Data]</definedName>
    <definedName name="_xlcn.WorksheetConnection_trainflowsV4.xlsxtblSubdivisions1" hidden="1">[2]!tblSubdivisions[#Data]</definedName>
    <definedName name="_xlcn.WorksheetConnection_trainflowsV4.xlsxtblTpdAlloc1" hidden="1">[2]!tblTpdAlloc[#Data]</definedName>
    <definedName name="A">#REF!</definedName>
    <definedName name="A_Ratio">#REF!</definedName>
    <definedName name="AADT">'[1]Inputs-437a'!$C$11</definedName>
    <definedName name="AccidentCost_Fatality">[3]Inputs!$D$49</definedName>
    <definedName name="AccidentCost_Injury">[3]Inputs!$D$50</definedName>
    <definedName name="AccidentCost_PDO">[3]Inputs!$D$51</definedName>
    <definedName name="Accidents">'[4]3) Results'!$H$28</definedName>
    <definedName name="AllCMFFeatures">#REF!</definedName>
    <definedName name="AllCMFTypes">#REF!</definedName>
    <definedName name="AllInputs">'[1]Inputs-437a'!$F$5:$F$12,'[1]Inputs-437a'!$H$5:$H$12,'[1]Inputs-437a'!$K$5:$K$12,'[1]Inputs-437a'!$M$5:$M$12</definedName>
    <definedName name="Alpha">'[1]Inputs-437a'!$C$20</definedName>
    <definedName name="AnnFatTruck">'[4]1) Project Information'!$R$11</definedName>
    <definedName name="AnnInjTruck">'[4]1) Project Information'!$R$12</definedName>
    <definedName name="AnnPDOTruck">'[4]1) Project Information'!$R$13</definedName>
    <definedName name="annual_factor_local">[5]Local.Input!$C$190</definedName>
    <definedName name="AnnualFactor">[4]PARAMETERS!$M$24</definedName>
    <definedName name="Annualization_Factor">[6]Local.Input!$C$171</definedName>
    <definedName name="AvgAccCostR">[4]PARAMETERS!$BB$67</definedName>
    <definedName name="AvgAccCostU">[4]PARAMETERS!$AZ$67</definedName>
    <definedName name="B">#REF!</definedName>
    <definedName name="B_Ratio">#REF!</definedName>
    <definedName name="Base.Year">[7]Inputs!$E$7</definedName>
    <definedName name="BaseYear">[8]Parameters!$D$5</definedName>
    <definedName name="Beta">'[1]Inputs-437a'!$C$21</definedName>
    <definedName name="BIG" hidden="1">{#N/A,#N/A,FALSE,"Pricing";#N/A,#N/A,FALSE,"Summary";#N/A,#N/A,FALSE,"CompProd";#N/A,#N/A,FALSE,"CompJobhrs";#N/A,#N/A,FALSE,"Escalation";#N/A,#N/A,FALSE,"Contingency";#N/A,#N/A,FALSE,"GM";#N/A,#N/A,FALSE,"CompWage";#N/A,#N/A,FALSE,"costSum"}</definedName>
    <definedName name="C_Ratio">#REF!</definedName>
    <definedName name="CADperUSD" hidden="1">[7]Inputs!$E$14</definedName>
    <definedName name="Capex">'[9]CVA.Assumptions'!$C$5</definedName>
    <definedName name="CapExkW">Calculator!$E$5</definedName>
    <definedName name="ChartCompletion">OFFSET('[8]7. Project Schedule'!$E$7,1,0,COUNT('[8]7. Project Schedule'!$E:$E),1)</definedName>
    <definedName name="ChartName">OFFSET('[8]7. Project Schedule'!$C$7,1,0,COUNT('[8]7. Project Schedule'!$D:$D),1)</definedName>
    <definedName name="ChartStart">OFFSET('[8]7. Project Schedule'!$D$7,1,0,COUNT('[8]7. Project Schedule'!$D:$D),1)</definedName>
    <definedName name="CHUCK" hidden="1">{#N/A,#N/A,FALSE,"Pricing";#N/A,#N/A,FALSE,"Summary";#N/A,#N/A,FALSE,"CompProd";#N/A,#N/A,FALSE,"CompJobhrs";#N/A,#N/A,FALSE,"Escalation";#N/A,#N/A,FALSE,"Contingency";#N/A,#N/A,FALSE,"GM";#N/A,#N/A,FALSE,"CompWage";#N/A,#N/A,FALSE,"costSum"}</definedName>
    <definedName name="CLASS2MRS">[4]PARAMETERS!$U$42</definedName>
    <definedName name="Client.Name">[10]Disclaimer!$B$4</definedName>
    <definedName name="CMF">#REF!</definedName>
    <definedName name="CMFExtentList">#REF!</definedName>
    <definedName name="CO2Uprater">[4]PARAMETERS!$CR$16</definedName>
    <definedName name="COCOST">#REF!</definedName>
    <definedName name="ConMiRB1">'[4]2) Model Inputs'!$J$80</definedName>
    <definedName name="ConMiRB20">'[4]2) Model Inputs'!$J$105</definedName>
    <definedName name="ConMiRNB1">'[4]2) Model Inputs'!$J$29</definedName>
    <definedName name="ConMiRNB20">'[4]2) Model Inputs'!$J$53</definedName>
    <definedName name="ConMiTB1">'[4]2) Model Inputs'!$J$68</definedName>
    <definedName name="ConMiTB20">'[4]2) Model Inputs'!$J$93</definedName>
    <definedName name="ConMiTNB1">'[4]2) Model Inputs'!$J$17</definedName>
    <definedName name="ConMiTNB20">'[4]2) Model Inputs'!$J$41</definedName>
    <definedName name="Const.Start.Year">'[9]CVA.Assumptions'!$C$4</definedName>
    <definedName name="conversion_table">'[11]Conversion Factors'!$B$3:$Z$26</definedName>
    <definedName name="CostCAC">#REF!</definedName>
    <definedName name="CostDiesel">#REF!</definedName>
    <definedName name="CostDiesel2030">#REF!</definedName>
    <definedName name="CostGas">#REF!</definedName>
    <definedName name="CostGas2030">#REF!</definedName>
    <definedName name="CostGHG2030">#REF!</definedName>
    <definedName name="CostLookup">OFFSET('[8]3. Project Costs'!$A$5,1,0,COUNTA('[8]3. Project Costs'!$A:$A)-1,1)</definedName>
    <definedName name="CountyLinked">OFFSET([8]REF!$O$2,0,0,COUNTA([8]REF!$O:$O),1)</definedName>
    <definedName name="CSS">[12]MASTER!$A$1:$IV$10</definedName>
    <definedName name="CSS1">[12]MASTER!$A$1:$IV$10</definedName>
    <definedName name="CurrentYear">'[4]1) Project Information'!$F$12</definedName>
    <definedName name="CVA.Inflation">'[9]CVA.Assumptions'!$C$3</definedName>
    <definedName name="D">'[1]Inputs-437a'!$C$13</definedName>
    <definedName name="Days.Per.Year">[13]Inputs!$D$80</definedName>
    <definedName name="DebtPay">[14]Lists!$B$2:$B$3</definedName>
    <definedName name="DelCap">'[1]Inputs-437a'!$L$15</definedName>
    <definedName name="DelDemand">'[1]Inputs-437a'!$L$13</definedName>
    <definedName name="DirectionList">#REF!</definedName>
    <definedName name="DiscRate">[4]PARAMETERS!$F$12</definedName>
    <definedName name="DistRB">'[4]1) Project Information'!$H$28</definedName>
    <definedName name="DistRNB">'[4]1) Project Information'!$G$28</definedName>
    <definedName name="DistTB">'[4]1) Project Information'!$H$24</definedName>
    <definedName name="DistTNB">'[4]1) Project Information'!$G$24</definedName>
    <definedName name="DrayAdjFactor">1</definedName>
    <definedName name="DrayCostB">'[4]1) Project Information'!$R$66</definedName>
    <definedName name="DrayCostB1">'[4]2) Model Inputs'!$X$49</definedName>
    <definedName name="DrayCostB20">'[4]2) Model Inputs'!$X$63</definedName>
    <definedName name="DrayCostGrowthB">'[4]1) Project Information'!$R$67</definedName>
    <definedName name="DrayCostGrowthNB">'[4]1) Project Information'!$Q$67</definedName>
    <definedName name="DrayCostNB">'[4]1) Project Information'!$Q$66</definedName>
    <definedName name="DrayCostNB1">'[4]2) Model Inputs'!$X$19</definedName>
    <definedName name="DrayCostNB20">'[4]2) Model Inputs'!$X$33</definedName>
    <definedName name="DrayDistTB">'[4]1) Project Information'!$R$65</definedName>
    <definedName name="DrayDistTNB">'[4]1) Project Information'!$Q$65</definedName>
    <definedName name="DraysTEURail1">'[4]1) Project Information'!$R$62</definedName>
    <definedName name="DraysTEURail20">'[4]1) Project Information'!$R$63</definedName>
    <definedName name="DraysTEUTruck1">'[4]1) Project Information'!$Q$62</definedName>
    <definedName name="DraysTEUTruck20">'[4]1) Project Information'!$Q$63</definedName>
    <definedName name="DraysTonRail1">'[4]1) Project Information'!$R$59</definedName>
    <definedName name="DraysTonRail20">'[4]1) Project Information'!$R$60</definedName>
    <definedName name="DraysTonTruck1">'[4]1) Project Information'!$Q$59</definedName>
    <definedName name="DraysTonTruck20">'[4]1) Project Information'!$Q$60</definedName>
    <definedName name="DrayTruckB1">'[4]2) Model Inputs'!$X$48</definedName>
    <definedName name="DrayTruckB20">'[4]2) Model Inputs'!$X$62</definedName>
    <definedName name="DrayTruckNB1">'[4]2) Model Inputs'!$X$18</definedName>
    <definedName name="DrayTruckNB20">'[4]2) Model Inputs'!$X$32</definedName>
    <definedName name="DwellRB1">'[4]2) Model Inputs'!$X$93</definedName>
    <definedName name="DwellRB20">'[4]2) Model Inputs'!$X$100</definedName>
    <definedName name="DwellRNB1">'[4]2) Model Inputs'!$X$77</definedName>
    <definedName name="DwellRNB20">'[4]2) Model Inputs'!$X$84</definedName>
    <definedName name="DwellTB1">'[4]2) Model Inputs'!$X$91</definedName>
    <definedName name="DwellTB20">'[4]2) Model Inputs'!$X$98</definedName>
    <definedName name="DwellTNB1">'[4]2) Model Inputs'!$X$75</definedName>
    <definedName name="DwellTNB20">'[4]2) Model Inputs'!$X$82</definedName>
    <definedName name="EE_dpp">-2119499770</definedName>
    <definedName name="EE_irr">1401618439</definedName>
    <definedName name="EE_Rev">1829568515</definedName>
    <definedName name="EE_rorc">1662124037</definedName>
    <definedName name="Ela_Growth">[15]INPUT!$K$83</definedName>
    <definedName name="Ela_Growth_SJH">[15]INPUT!$K$84</definedName>
    <definedName name="ELEC">[16]MASTER!$A$1:$IV$10</definedName>
    <definedName name="EmCost">[4]PARAMETERS!$CP$12:$CV$14</definedName>
    <definedName name="EmFreightTrain">[4]PARAMETERS!$CP$44:$CW$45</definedName>
    <definedName name="Emissions">'[4]3) Results'!$H$30</definedName>
    <definedName name="EmTruck1">[4]PARAMETERS!$BQ$80:$BX$146</definedName>
    <definedName name="EmTruck20">[4]PARAMETERS!$CC$80:$CJ$146</definedName>
    <definedName name="Er">'[1]Inputs-437a'!$C$23</definedName>
    <definedName name="Et">'[1]Inputs-437a'!$C$22</definedName>
    <definedName name="ExciseTaxDieselFed">[4]PARAMETERS!$E$45</definedName>
    <definedName name="ExciseTaxDieselState">[4]PARAMETERS!$E$47</definedName>
    <definedName name="ExciseTaxGasFed">[4]PARAMETERS!$E$44</definedName>
    <definedName name="ExciseTaxGasState">[4]PARAMETERS!$E$46</definedName>
    <definedName name="FacilityType">'[1]Inputs-437a'!$C$15</definedName>
    <definedName name="FacilityTypesPrac">[1]Definitions!$A$3:$A$12</definedName>
    <definedName name="FatRateTruckB">'[4]2) Model Inputs'!$AL$19</definedName>
    <definedName name="FatRateTruckNB">'[4]2) Model Inputs'!$AL$8</definedName>
    <definedName name="FatValue">[4]PARAMETERS!$E$61</definedName>
    <definedName name="Feet.Per.Mile">[13]Inputs!$D$78</definedName>
    <definedName name="fHV">'[1]Inputs-437a'!$C$24</definedName>
    <definedName name="Final.Year">[6]Inputs!$D$8</definedName>
    <definedName name="First.Year" hidden="1">[7]Inputs!$E$8</definedName>
    <definedName name="fLSColumns">[1]Definitions!$K$1:$N$1</definedName>
    <definedName name="fLSTable">[1]Definitions!$K$2:$N$5</definedName>
    <definedName name="fPop">'[1]Inputs-437a'!$C$10</definedName>
    <definedName name="FRACounty">OFFSET([8]REF!$M$2,0,0,COUNTA([8]REF!$M:$M),1)</definedName>
    <definedName name="FreightRailAccCost">[4]PARAMETERS!$BK$39</definedName>
    <definedName name="FringeTruck">[4]PARAMETERS!$E$23</definedName>
    <definedName name="FuelFreightRail">[4]PARAMETERS!$CS$47</definedName>
    <definedName name="FuelPriceAuto">[4]PARAMETERS!$E$37</definedName>
    <definedName name="FuelPriceTruck">[4]PARAMETERS!$E$38</definedName>
    <definedName name="FuncGroups">#REF!</definedName>
    <definedName name="FWYTLC">[1]Definitions!$I$25:$N$31</definedName>
    <definedName name="GHG">#REF!</definedName>
    <definedName name="GHG_dollar">#REF!</definedName>
    <definedName name="Grams.Per.Ton" hidden="1">[7]Inputs!$E$13</definedName>
    <definedName name="Grant.Name">[13]Disclaimer!$B$6</definedName>
    <definedName name="h" hidden="1">#REF!</definedName>
    <definedName name="HTML_CodePage" hidden="1">1252</definedName>
    <definedName name="HTML_Control" hidden="1">{"'2-35'!$A$1:$M$48"}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tasks\nts2000\nts2000\HTML\Ch2_web\2-35.htm"</definedName>
    <definedName name="HTML_Title" hidden="1">"Table 2-35"</definedName>
    <definedName name="HundredMillion">100000000</definedName>
    <definedName name="HwyFatCost">[4]PARAMETERS!$E$71</definedName>
    <definedName name="HwyFatCostR">[4]PARAMETERS!$BB$64</definedName>
    <definedName name="HwyFatCostU">[4]PARAMETERS!$AZ$64</definedName>
    <definedName name="HwyInjCost">[4]PARAMETERS!$E$72</definedName>
    <definedName name="HwyInjCostR">[4]PARAMETERS!$BB$65</definedName>
    <definedName name="HwyInjCostU">[4]PARAMETERS!$AZ$65</definedName>
    <definedName name="HwyPDOCost">[4]PARAMETERS!$E$73</definedName>
    <definedName name="HwyPDOCostR">[4]PARAMETERS!$BB$66</definedName>
    <definedName name="HwyPDOCostU">[4]PARAMETERS!$AZ$66</definedName>
    <definedName name="IdleFreightRail">[4]PARAMETERS!$CS$48</definedName>
    <definedName name="IdleFuel">#REF!</definedName>
    <definedName name="IdleGrowthRB">'[4]1) Project Information'!$R$84</definedName>
    <definedName name="IdleGrowthRNB">'[4]1) Project Information'!$Q$84</definedName>
    <definedName name="IdleGrowthTB">'[4]1) Project Information'!$R$83</definedName>
    <definedName name="IdleGrowthTNB">'[4]1) Project Information'!$Q$83</definedName>
    <definedName name="IdleRailB">'[4]1) Project Information'!$R$81</definedName>
    <definedName name="IdleRailNB">'[4]1) Project Information'!$Q$81</definedName>
    <definedName name="IdleTruckB">'[4]1) Project Information'!$R$80</definedName>
    <definedName name="IdleTruckNB">'[4]1) Project Information'!$Q$80</definedName>
    <definedName name="initialkW">'Chart.Data'!$C$80</definedName>
    <definedName name="initialNCF">'Chart.Data'!$B$81</definedName>
    <definedName name="InjAValue">[4]PARAMETERS!$E$64</definedName>
    <definedName name="InjBValue">[4]PARAMETERS!$E$65</definedName>
    <definedName name="InjCValue">[4]PARAMETERS!$E$66</definedName>
    <definedName name="InjRateTruckB">'[4]2) Model Inputs'!$AL$20</definedName>
    <definedName name="InjRateTruckNB">'[4]2) Model Inputs'!$AL$9</definedName>
    <definedName name="InputsBuild">'[1]Inputs-437a'!$K$5:$K$12,'[1]Inputs-437a'!$M$5:$M$12</definedName>
    <definedName name="InputsNB">'[1]Inputs-437a'!$F$5:$F$12,'[1]Inputs-437a'!$H$5:$H$12</definedName>
    <definedName name="IntersectionDelayChange">'[1]Inputs-437a'!$Q$33</definedName>
    <definedName name="IO">Lookup!$U$4</definedName>
    <definedName name="IQ_ADDIN" hidden="1">"AUTO"</definedName>
    <definedName name="IQ_CH" hidden="1">110000</definedName>
    <definedName name="IQ_CQ" hidden="1">5000</definedName>
    <definedName name="IQ_CY" hidden="1">10000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MONTH" hidden="1">15000</definedName>
    <definedName name="IQ_NAMES_REVISION_DATE_" hidden="1">39926.455</definedName>
    <definedName name="IQ_NTM" hidden="1">6000</definedName>
    <definedName name="IQ_TODAY" hidden="1">0</definedName>
    <definedName name="IQ_WEEK" hidden="1">50000</definedName>
    <definedName name="IQ_YTD" hidden="1">3000</definedName>
    <definedName name="ITCkWh">Calculator!$H$24</definedName>
    <definedName name="ITCMeth">[14]Lists!$D$2:$D$3</definedName>
    <definedName name="ITCnpv">Calculator!$H$23</definedName>
    <definedName name="JANA" hidden="1">{#N/A,#N/A,FALSE,"Pricing";#N/A,#N/A,FALSE,"Summary";#N/A,#N/A,FALSE,"CompProd";#N/A,#N/A,FALSE,"CompJobhrs";#N/A,#N/A,FALSE,"Escalation";#N/A,#N/A,FALSE,"Contingency";#N/A,#N/A,FALSE,"GM";#N/A,#N/A,FALSE,"CompWage";#N/A,#N/A,FALSE,"costSum"}</definedName>
    <definedName name="K">'[1]Inputs-437a'!$C$12</definedName>
    <definedName name="K_Ratio">#REF!</definedName>
    <definedName name="KA">#REF!</definedName>
    <definedName name="km_mile">#REF!</definedName>
    <definedName name="Last_Row">#N/A</definedName>
    <definedName name="Length">'[1]Inputs-437a'!$C$5</definedName>
    <definedName name="LifeCycleBene">'[4]Final Calculations'!$F$55</definedName>
    <definedName name="LifeCycleCost">'[4]Final Calculations'!$G$55</definedName>
    <definedName name="ListCounty">OFFSET([8]REF!$N$2,0,0,COUNTA([8]REF!$N:$N),1)</definedName>
    <definedName name="ListPaved">[8]REF!$K$2:$K$3</definedName>
    <definedName name="ListSafety">[8]REF!$F$2:$F$6</definedName>
    <definedName name="lookclaims">[17]formulas!$BU$4:$BW$21</definedName>
    <definedName name="lookstate">[17]formulas!$BQ$4:$BR$54</definedName>
    <definedName name="Lookup_GHG_Fuel_Amounts">#REF!</definedName>
    <definedName name="LP">[18]Evaluation!$C$49</definedName>
    <definedName name="LTCPI">[15]INFLATOR!$H$234</definedName>
    <definedName name="LUnit">[19]Defaults!$A$234:$E$239</definedName>
    <definedName name="LVL">Lookup!$U$3</definedName>
    <definedName name="Magnitude_Set">[20]Lookup!$B$22:$B$27</definedName>
    <definedName name="metric_to_short_ton">'[21]EMISSION COSTS'!$I$95</definedName>
    <definedName name="million">'[22]General Inputs'!$D$13</definedName>
    <definedName name="Millions">'[23]G. Inputs'!$C$53</definedName>
    <definedName name="Mins.per.Hour">'[24]General Inputs'!$D$6</definedName>
    <definedName name="Minutes.per.Day">[13]Inputs!$D$79</definedName>
    <definedName name="minutes_per_hour">[25]Inputs!$D$11</definedName>
    <definedName name="Mitigated_Bool">[26]Assumptions!$F$3</definedName>
    <definedName name="MPHDrayB1">'[4]1) Project Information'!$R$70</definedName>
    <definedName name="MPHDrayB20">'[4]1) Project Information'!$R$71</definedName>
    <definedName name="MPHDrayNB1">'[4]1) Project Information'!$Q$70</definedName>
    <definedName name="MPHDrayNB20">'[4]1) Project Information'!$Q$71</definedName>
    <definedName name="MPHTruckB1">'[4]1) Project Information'!$H$97</definedName>
    <definedName name="MPHTruckB20">'[4]1) Project Information'!$H$98</definedName>
    <definedName name="MPHTruckNB1">'[4]1) Project Information'!$G$97</definedName>
    <definedName name="MPHTruckNB20">'[4]1) Project Information'!$G$98</definedName>
    <definedName name="N">[18]Evaluation!$C$47</definedName>
    <definedName name="Nb_days">[15]INPUT!$K$96</definedName>
    <definedName name="Nb_days_WE">[15]INPUT!$K$97</definedName>
    <definedName name="NBEB1dirPer">INDIRECT("TrafficData!H"&amp;MATCH(#REF!,#REF!,0)+1)</definedName>
    <definedName name="NBEBAPMBuild">'[1]Inputs-437a'!$K$8</definedName>
    <definedName name="NBEBAPMNB">'[1]Inputs-437a'!$F$8</definedName>
    <definedName name="NBEBDir">INDIRECT("TrafficData!D"&amp;MATCH(#REF!,#REF!,0)+1)</definedName>
    <definedName name="NBEBFFSBuild">'[1]Inputs-437a'!$K$24</definedName>
    <definedName name="NBEBFFSNB">'[1]Inputs-437a'!$F$24</definedName>
    <definedName name="NBEBLanesBuild">'[1]Inputs-437a'!$K$5</definedName>
    <definedName name="NBEBLanesNB">'[1]Inputs-437a'!$F$5</definedName>
    <definedName name="NBEBNameBuild">'[1]Inputs-437a'!$J$4:$K$4</definedName>
    <definedName name="NBEBNameNB">'[1]Inputs-437a'!$E$4</definedName>
    <definedName name="NBEBPeakPersonDBuild">'[1]Inputs-437a'!$K$33</definedName>
    <definedName name="NBEBPeakPersonDNB">'[1]Inputs-437a'!$F$33</definedName>
    <definedName name="NBEBPeakSBuild">'[1]Inputs-437a'!$K$31</definedName>
    <definedName name="NBEBPeakSNB">'[1]Inputs-437a'!$F$31</definedName>
    <definedName name="NBEBPeakVBuild">'[1]Inputs-437a'!$K$28</definedName>
    <definedName name="NBEBPeakVNB">'[1]Inputs-437a'!$F$28</definedName>
    <definedName name="NBEBShoulderBuild">'[1]Inputs-437a'!$K$7</definedName>
    <definedName name="NBEBShoulderNB">'[1]Inputs-437a'!$F$7</definedName>
    <definedName name="NBEBWidthBuild">'[1]Inputs-437a'!$K$6</definedName>
    <definedName name="NBEBWidthNB">'[1]Inputs-437a'!$F$6</definedName>
    <definedName name="NCF">Calculator!$C$14</definedName>
    <definedName name="NetPresentValue">'[4]Final Calculations'!$H$55</definedName>
    <definedName name="NewExisting">#REF!</definedName>
    <definedName name="NewMatrix">'[27]@RISK Correlations'!$C$5:$N$16</definedName>
    <definedName name="NewVMTChange">#REF!</definedName>
    <definedName name="NoInjValue">[4]PARAMETERS!$E$68</definedName>
    <definedName name="NOXCost">#REF!</definedName>
    <definedName name="Number_of_Payments">MATCH(0.01,End_Bal,-1)+1</definedName>
    <definedName name="NvsASD">"V2002-12-28"</definedName>
    <definedName name="NvsAutoDrillOk">"VN"</definedName>
    <definedName name="NvsElapsedTime">0.0000347222230629995</definedName>
    <definedName name="NvsEndTime">37638.3359027778</definedName>
    <definedName name="NvsInstLang">"VENG"</definedName>
    <definedName name="NvsInstSpec">"%,FBUSINESS_UNIT,V00001"</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"%,X,RZT.ACCOUNT.,CZT.ACCOUNT."</definedName>
    <definedName name="NvsPanelBusUnit">"V"</definedName>
    <definedName name="NvsPanelEffdt">"V2000-01-01"</definedName>
    <definedName name="NvsPanelSetid">"VCORP1"</definedName>
    <definedName name="NvsReqBU">"V00001"</definedName>
    <definedName name="NvsReqBUOnly">"VN"</definedName>
    <definedName name="NvsTransLed">"VN"</definedName>
    <definedName name="NvsTreeASD">"V2002-12-28"</definedName>
    <definedName name="NvsValTbl.ACCOUNT">"GL_ACCOUNT_TBL"</definedName>
    <definedName name="NvsValTbl.BUSINESS_UNIT">"BUS_UNIT_TBL_GL"</definedName>
    <definedName name="OM.Escalation">'[28]CVA.Assumptions'!$C$3</definedName>
    <definedName name="OneMinuteGate">#REF!</definedName>
    <definedName name="OpCostGrowthRB">'[4]1) Project Information'!$R$91</definedName>
    <definedName name="OpCostGrowthRNB">'[4]1) Project Information'!$Q$91</definedName>
    <definedName name="OpCostGrowthTB">'[4]1) Project Information'!$R$90</definedName>
    <definedName name="OpCostGrowthTNB">'[4]1) Project Information'!$Q$90</definedName>
    <definedName name="OpCostRailB">'[4]1) Project Information'!$R$88</definedName>
    <definedName name="OpCostRailNB">'[4]1) Project Information'!$Q$88</definedName>
    <definedName name="OpCostRB1">'[4]2) Model Inputs'!$X$92</definedName>
    <definedName name="OpCostRB20">'[4]2) Model Inputs'!$X$99</definedName>
    <definedName name="OpCostRNB1">'[4]2) Model Inputs'!$X$76</definedName>
    <definedName name="OpCostRNB20">'[4]2) Model Inputs'!$X$83</definedName>
    <definedName name="OpCostTB1">'[4]2) Model Inputs'!$X$90</definedName>
    <definedName name="OpCostTB20">'[4]2) Model Inputs'!$X$97</definedName>
    <definedName name="OpCostTNB1">'[4]2) Model Inputs'!$X$74</definedName>
    <definedName name="OpCostTNB20">'[4]2) Model Inputs'!$X$81</definedName>
    <definedName name="OpCostTruckB">'[4]1) Project Information'!$R$87</definedName>
    <definedName name="OpCostTruckNB">'[4]1) Project Information'!$Q$87</definedName>
    <definedName name="OR_Emp_GR1">[15]INPUT!$K$28</definedName>
    <definedName name="OR_Emp_GR2">[15]INPUT!$K$29</definedName>
    <definedName name="OR_Emp_GR3">[15]INPUT!$K$30</definedName>
    <definedName name="OR_Emp_GR4">[15]INPUT!$K$31</definedName>
    <definedName name="OR_Emp_GR5">[15]INPUT!$K$32</definedName>
    <definedName name="OR_Pop_GR1">[15]INPUT!$K$8</definedName>
    <definedName name="OR_Pop_GR2">[15]INPUT!$K$9</definedName>
    <definedName name="OR_Pop_GR3">[15]INPUT!$K$10</definedName>
    <definedName name="OR_Pop_GR4">[15]INPUT!$K$11</definedName>
    <definedName name="OR_Pop_GR5">[15]INPUT!$K$12</definedName>
    <definedName name="OR_Weight">[15]INPUT!$K$109</definedName>
    <definedName name="Origin_1">[29]Analysis!$AR$206:$BY$209</definedName>
    <definedName name="Origin_2">[29]Analysis!$AR$264:$BY$267</definedName>
    <definedName name="Origin_3">[29]Analysis!$AR$322:$BY$325</definedName>
    <definedName name="Pal_Workbook_GUID" hidden="1">"6UQPV5GY3NZ6N5DC9LK87FZI"</definedName>
    <definedName name="Payback">'[4]Final Calculations'!$U$58</definedName>
    <definedName name="Payment_Date">DATE(YEAR(Loan_Start),MONTH(Loan_Start)+Payment_Number,DAY(Loan_Start))</definedName>
    <definedName name="PDO">#REF!</definedName>
    <definedName name="PDORateTruckB">'[4]2) Model Inputs'!$AL$21</definedName>
    <definedName name="PDORateTruckNB">'[4]2) Model Inputs'!$AL$10</definedName>
    <definedName name="PeakPersonsRemoved">'[1]Inputs-437a'!$C$28</definedName>
    <definedName name="PeakPnRUse">[1]Definitions!$B$35</definedName>
    <definedName name="PercentT">#REF!</definedName>
    <definedName name="PersonsPerTrip">[1]Definitions!$J$12</definedName>
    <definedName name="Phase1Benefit">'[30]General Inputs'!$D$21</definedName>
    <definedName name="Phases_Set">[20]Lookup!$B$30:$B$32</definedName>
    <definedName name="PHF">'[1]Inputs-437a'!$C$19</definedName>
    <definedName name="PM10_to_PM2.5">[21]Emissions!$AQ$39</definedName>
    <definedName name="PM10COST">#REF!</definedName>
    <definedName name="PMA_Emp_GR1">[15]INPUT!$K$34</definedName>
    <definedName name="PMA_Emp_GR2">[15]INPUT!$K$35</definedName>
    <definedName name="PMA_Emp_GR3">[15]INPUT!$K$36</definedName>
    <definedName name="PMA_Emp_GR4">[15]INPUT!$K$37</definedName>
    <definedName name="PMA_Emp_GR5">[15]INPUT!$K$38</definedName>
    <definedName name="PMA_Pop_GR1">[15]INPUT!$K$14</definedName>
    <definedName name="PMA_Pop_GR2">[15]INPUT!$K$15</definedName>
    <definedName name="PMA_Pop_GR3">[15]INPUT!$K$16</definedName>
    <definedName name="PMA_Pop_GR4">[15]INPUT!$K$17</definedName>
    <definedName name="PMA_Pop_GR5">[15]INPUT!$K$18</definedName>
    <definedName name="PMA_Weight">[15]INPUT!$K$110</definedName>
    <definedName name="PnRSpaces">'[1]Inputs-437a'!$C$27</definedName>
    <definedName name="PnRUtilization">[1]Definitions!$B$34</definedName>
    <definedName name="Posted_Speed_Limit">'[1]Inputs-437a'!$C$7</definedName>
    <definedName name="PracticalCapacity">[1]Definitions!$B$3:$G$12</definedName>
    <definedName name="PRINT">[31]MASTER!$A$1:$IV$10</definedName>
    <definedName name="Print_Area_Reset">OFFSET(Full_Print,0,0,Last_Row)</definedName>
    <definedName name="_xlnm.Print_Titles">'[32]#REF'!$A$1:$IV$10</definedName>
    <definedName name="Priority">[8]REF!$T$2:$T$11</definedName>
    <definedName name="Project.Name">[13]Disclaimer!$B$5</definedName>
    <definedName name="ProjectCat">VLOOKUP(#REF!,#REF!,5,FALSE)</definedName>
    <definedName name="ProjectCosts">OFFSET('[8]3. Project Costs'!$G$5,1,0,COUNTA('[8]3. Project Costs'!$A:$A)-1, COUNT('[8]3. Project Costs'!$G$5:$P$5))</definedName>
    <definedName name="ProjLoc">'[4]1) Project Information'!$H$10</definedName>
    <definedName name="ProjName">'[33]Project Defn'!$D$10</definedName>
    <definedName name="prox">[29]Scheduled!$Q$71</definedName>
    <definedName name="prox_A">[29]Fin_Scheduled!$Q$72</definedName>
    <definedName name="prox_A_bck">[29]Fin_Scheduled!$Q$73</definedName>
    <definedName name="prox2">[29]Early!$AC$74</definedName>
    <definedName name="prox2_A">[29]Fin_Early!$AB$74</definedName>
    <definedName name="prox2_A_bck">[29]Fin_Early!$AB$75</definedName>
    <definedName name="prox5">[29]Early!$X$74</definedName>
    <definedName name="prox5_A">[29]Fin_Early!$W$74</definedName>
    <definedName name="prox5_A_bck">[29]Fin_Early!$W$75</definedName>
    <definedName name="prox5_A_guess">[29]Fin_Early!$W$79</definedName>
    <definedName name="PTCkWh">Calculator!$I$24</definedName>
    <definedName name="PTCnpv">Calculator!$I$23</definedName>
    <definedName name="RailAdjFactor">'[4]1) Project Information'!$H$92</definedName>
    <definedName name="RailAdjFactorTEU">'[4]1) Project Information'!$H$93</definedName>
    <definedName name="RailcarPerTrainB">'[4]1) Project Information'!$H$27</definedName>
    <definedName name="RailcarPerTrainNB">'[4]1) Project Information'!$G$27</definedName>
    <definedName name="Rate_TRD">1877082114</definedName>
    <definedName name="RBR">[14]Lists!$D$2</definedName>
    <definedName name="RecPer">'[1]Inputs-437a'!$C$9</definedName>
    <definedName name="ReturnOnInvest">'[4]Final Calculations'!$U$54</definedName>
    <definedName name="Rev_FE_GR1">[15]INPUT!$K$61</definedName>
    <definedName name="Rev_FE_GR2">[15]INPUT!$K$62</definedName>
    <definedName name="Rev_FE_GR3">[15]INPUT!$K$63</definedName>
    <definedName name="Rev_SJH_GR1">[15]INPUT!$K$57</definedName>
    <definedName name="Rev_SJH_GR2">[15]INPUT!$K$58</definedName>
    <definedName name="Rev_SJH_GR3">[15]INPUT!$K$59</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AutoStopPercChange">1.5</definedName>
    <definedName name="RiskBeforeRecalcMacro" hidden="1">""</definedName>
    <definedName name="RiskBeforeSimMacro" hidden="1">""</definedName>
    <definedName name="RiskCollectDistributionSamples" hidden="1">2</definedName>
    <definedName name="RiskCorrelationSheet">'[29]@RISK Correlations'!$A$1:$IV$1</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6</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"$F$108"</definedName>
    <definedName name="RiskSelectedNameCell1" hidden="1">"$C$108"</definedName>
    <definedName name="RiskSelectedNameCell2" hidden="1">"$F$2"</definedName>
    <definedName name="RiskShowRiskWindowAtEndOfSimulation">TRUE</definedName>
    <definedName name="RiskStandardRecalc" hidden="1">0</definedName>
    <definedName name="RiskSwapState" hidden="1">FALSE</definedName>
    <definedName name="RiskTemplateSheetName">"myTemplate"</definedName>
    <definedName name="RiskUpdateDisplay" hidden="1">FALSE</definedName>
    <definedName name="RiskUseDifferentSeedForEachSim" hidden="1">FALSE</definedName>
    <definedName name="RiskUseFixedSeed" hidden="1">TRUE</definedName>
    <definedName name="RiskUseMultipleCPUs" hidden="1">FALSE</definedName>
    <definedName name="RNSDirectory">#REF!</definedName>
    <definedName name="RowNum">ROW()</definedName>
    <definedName name="RSC_Cap">982646784</definedName>
    <definedName name="RSC_Exp">1133641729</definedName>
    <definedName name="RSC_Rev">787677187</definedName>
    <definedName name="S.1">#REF!</definedName>
    <definedName name="S1Lookup">VLOOKUP(#REF!,#REF!,36,FALSE)</definedName>
    <definedName name="S2Lookup">VLOOKUP(#REF!,#REF!,37,FALSE)</definedName>
    <definedName name="SA_Emp_GR1">[15]INPUT!$K$40</definedName>
    <definedName name="SA_Emp_GR2">[15]INPUT!$K$41</definedName>
    <definedName name="SA_Emp_GR3">[15]INPUT!$K$42</definedName>
    <definedName name="SA_Emp_GR4">[15]INPUT!$K$43</definedName>
    <definedName name="SA_Emp_GR5">[15]INPUT!$K$44</definedName>
    <definedName name="SA_Pop_GR1">[15]INPUT!$K$20</definedName>
    <definedName name="SA_Pop_GR2">[15]INPUT!$K$21</definedName>
    <definedName name="SA_Pop_GR3">[15]INPUT!$K$22</definedName>
    <definedName name="SA_Pop_GR4">[15]INPUT!$K$23</definedName>
    <definedName name="SA_Pop_GR5">[15]INPUT!$K$24</definedName>
    <definedName name="SA_Weight">[15]INPUT!$K$111</definedName>
    <definedName name="SalesTaxDieselState">[4]PARAMETERS!$E$42</definedName>
    <definedName name="SalesTaxGasState">[4]PARAMETERS!$E$41</definedName>
    <definedName name="SalesTaxLocal">[4]PARAMETERS!$E$43</definedName>
    <definedName name="SAPBEXrevision" hidden="1">155</definedName>
    <definedName name="SAPBEXsysID" hidden="1">"BW1"</definedName>
    <definedName name="SAPBEXwbID" hidden="1">"4KMQ010X11576Q0TU5NA2YSZY"</definedName>
    <definedName name="SBWB1DirPer">INDIRECT("TrafficData!I"&amp;MATCH(#REF!,#REF!,0)+1)</definedName>
    <definedName name="SBWBAPMBuild">'[1]Inputs-437a'!$M$8</definedName>
    <definedName name="SBWBAPMNB">'[1]Inputs-437a'!$H$8</definedName>
    <definedName name="SBWBDir">INDIRECT("TrafficData!F"&amp;MATCH(#REF!,#REF!,0)+1)</definedName>
    <definedName name="SBWBFFSBuild">'[1]Inputs-437a'!$M$24</definedName>
    <definedName name="SBWBFFSNB">'[1]Inputs-437a'!$H$24</definedName>
    <definedName name="SBWBLanesBuild">'[1]Inputs-437a'!$M$5</definedName>
    <definedName name="SBWBLanesNB">'[1]Inputs-437a'!$H$5</definedName>
    <definedName name="SBWBNameBuild">'[1]Inputs-437a'!$L$4</definedName>
    <definedName name="SBWBNameNB">'[1]Inputs-437a'!$G$4</definedName>
    <definedName name="SBWBPeakPersonDBuild">'[1]Inputs-437a'!$M$33</definedName>
    <definedName name="SBWBPeakPersonDNB">'[1]Inputs-437a'!$H$33</definedName>
    <definedName name="SBWBPeakSBuild">'[1]Inputs-437a'!$M$31</definedName>
    <definedName name="SBWBPeakSNB">'[1]Inputs-437a'!$H$31</definedName>
    <definedName name="SBWBPeakVBuild">'[1]Inputs-437a'!$M$28</definedName>
    <definedName name="SBWBPeakVNB">'[1]Inputs-437a'!$H$28</definedName>
    <definedName name="SBWBShoulderBuild">'[1]Inputs-437a'!$M$7</definedName>
    <definedName name="SBWBWidthBuild">'[1]Inputs-437a'!$M$6</definedName>
    <definedName name="SBWBWidthNB">'[1]Inputs-437a'!$H$6</definedName>
    <definedName name="SegCoalLabel">'[34]Mgt Strategies'!$B$39</definedName>
    <definedName name="SegMnrlLabel">'[34]Mgt Strategies'!$B$38</definedName>
    <definedName name="SegOtherLabel">'[34]Mgt Strategies'!$B$41</definedName>
    <definedName name="sencount" hidden="1">1</definedName>
    <definedName name="Sensitivity">[35]Sensitivity!$B$1</definedName>
    <definedName name="Services2" hidden="1">{#N/A,#N/A,FALSE,"Pricing";#N/A,#N/A,FALSE,"Summary";#N/A,#N/A,FALSE,"CompProd";#N/A,#N/A,FALSE,"CompJobhrs";#N/A,#N/A,FALSE,"Escalation";#N/A,#N/A,FALSE,"Contingency";#N/A,#N/A,FALSE,"GM";#N/A,#N/A,FALSE,"CompWage";#N/A,#N/A,FALSE,"costSum"}</definedName>
    <definedName name="SHCostGrowthRB">'[4]1) Project Information'!$R$30</definedName>
    <definedName name="SHCostGrowthRNB">'[4]1) Project Information'!$Q$30</definedName>
    <definedName name="SHCostGrowthTB">'[4]1) Project Information'!$R$29</definedName>
    <definedName name="SHCostGrowthTNB">'[4]1) Project Information'!$Q$29</definedName>
    <definedName name="SHCostTEURB">'[4]1) Project Information'!$R$27</definedName>
    <definedName name="SHCostTEURB1">'[4]2) Model Inputs'!$J$81</definedName>
    <definedName name="SHCostTEURB20">'[4]2) Model Inputs'!$J$106</definedName>
    <definedName name="SHCostTEURNB">'[4]1) Project Information'!$Q$27</definedName>
    <definedName name="SHCostTEURNB1">'[4]2) Model Inputs'!$J$30</definedName>
    <definedName name="SHCostTEURNB20">'[4]2) Model Inputs'!$J$54</definedName>
    <definedName name="SHCostTEUTB">'[4]1) Project Information'!$R$26</definedName>
    <definedName name="SHCostTEUTB1">'[4]2) Model Inputs'!$J$69</definedName>
    <definedName name="SHCostTEUTB20">'[4]2) Model Inputs'!$J$94</definedName>
    <definedName name="SHCostTEUTNB">'[4]1) Project Information'!$Q$26</definedName>
    <definedName name="SHCostTEUTNB1">'[4]2) Model Inputs'!$J$18</definedName>
    <definedName name="SHCostTEUTNB20">'[4]2) Model Inputs'!$J$42</definedName>
    <definedName name="SHCostTonRB">'[4]1) Project Information'!$R$24</definedName>
    <definedName name="SHCostTonRB1">'[4]2) Model Inputs'!$J$76</definedName>
    <definedName name="SHCostTonRB20">'[4]2) Model Inputs'!$J$101</definedName>
    <definedName name="SHCostTonRNB">'[4]1) Project Information'!$Q$24</definedName>
    <definedName name="SHCostTonRNB1">'[4]2) Model Inputs'!$J$25</definedName>
    <definedName name="SHCostTonRNB20">'[4]2) Model Inputs'!$J$49</definedName>
    <definedName name="SHCostTonTB">'[4]1) Project Information'!$R$23</definedName>
    <definedName name="SHCostTonTB1">'[4]2) Model Inputs'!$J$64</definedName>
    <definedName name="SHCostTonTB20">'[4]2) Model Inputs'!$J$89</definedName>
    <definedName name="SHCostTonTNB">'[4]1) Project Information'!$Q$23</definedName>
    <definedName name="SHCostTonTNB1">'[4]2) Model Inputs'!$J$13</definedName>
    <definedName name="SHCostTonTNB20">'[4]2) Model Inputs'!$J$37</definedName>
    <definedName name="SheetNum">_xlfn.SHEET()</definedName>
    <definedName name="Shock">[15]ANALYSIS!$C$305</definedName>
    <definedName name="Signals">'[1]Inputs-437a'!$Q$3</definedName>
    <definedName name="SNP">[18]Evaluation!$C$48</definedName>
    <definedName name="SP">[18]Evaluation!$C$46</definedName>
    <definedName name="StateFatRate">[4]PARAMETERS!$E$77</definedName>
    <definedName name="StateInjRate">[4]PARAMETERS!$E$78</definedName>
    <definedName name="StateList">Lookup!$B$26:$B$76</definedName>
    <definedName name="StatePDORate">[4]PARAMETERS!$E$79</definedName>
    <definedName name="Status_Set">[20]Lookup!$B$17:$B$19</definedName>
    <definedName name="Strategies_Set">[20]Lookup!$B$10:$B$14</definedName>
    <definedName name="Study.Period" hidden="1">[7]Inputs!$E$10</definedName>
    <definedName name="temp" hidden="1">{#N/A,#N/A,FALSE,"Pricing";#N/A,#N/A,FALSE,"Summary";#N/A,#N/A,FALSE,"CompProd";#N/A,#N/A,FALSE,"CompJobhrs";#N/A,#N/A,FALSE,"Escalation";#N/A,#N/A,FALSE,"Contingency";#N/A,#N/A,FALSE,"GM";#N/A,#N/A,FALSE,"CompWage";#N/A,#N/A,FALSE,"costSum"}</definedName>
    <definedName name="Terrain">'[1]Inputs-437a'!$C$6</definedName>
    <definedName name="test" hidden="1">{#N/A,#N/A,FALSE,"Pricing";#N/A,#N/A,FALSE,"Summary";#N/A,#N/A,FALSE,"CompProd";#N/A,#N/A,FALSE,"CompJobhrs";#N/A,#N/A,FALSE,"Escalation";#N/A,#N/A,FALSE,"Contingency";#N/A,#N/A,FALSE,"GM";#N/A,#N/A,FALSE,"CompWage";#N/A,#N/A,FALSE,"costSum"}</definedName>
    <definedName name="TEUB20">'[4]1) Project Information'!$H$69</definedName>
    <definedName name="TEUDistRB">'[4]1) Project Information'!$H$36</definedName>
    <definedName name="TEUDistRNB">'[4]1) Project Information'!$G$36</definedName>
    <definedName name="TEUDistTB">'[4]1) Project Information'!$H$32</definedName>
    <definedName name="TEUDistTNB">'[4]1) Project Information'!$G$32</definedName>
    <definedName name="TEUGrowthB">'[4]1) Project Information'!$H$73</definedName>
    <definedName name="TEUGrowthNB">'[4]1) Project Information'!$G$73</definedName>
    <definedName name="TEUNB20">'[4]1) Project Information'!$G$69</definedName>
    <definedName name="TEUPerRailcarB">'[4]1) Project Information'!$H$34</definedName>
    <definedName name="TEUPerRailcarNB">'[4]1) Project Information'!$G$34</definedName>
    <definedName name="TEUPerTrainB">'[4]1) Project Information'!$H$34*'[4]1) Project Information'!$H$35</definedName>
    <definedName name="TEUPerTrainNB">'[4]1) Project Information'!$G$34*'[4]1) Project Information'!$G$35</definedName>
    <definedName name="TEUPerTruckB">'[4]1) Project Information'!$H$31</definedName>
    <definedName name="TEUPerTruckNB">'[4]1) Project Information'!$G$31</definedName>
    <definedName name="TEURailB1">'[4]1) Project Information'!$H$64</definedName>
    <definedName name="TEURailB20">'[4]1) Project Information'!$H$68</definedName>
    <definedName name="TEURailcarPerTrainB">'[4]1) Project Information'!$H$35</definedName>
    <definedName name="TEURailcarPerTrainNB">'[4]1) Project Information'!$G$35</definedName>
    <definedName name="TEURailNB1">'[4]1) Project Information'!$G$64</definedName>
    <definedName name="TEURailNB20">'[4]1) Project Information'!$G$68</definedName>
    <definedName name="TEURailYrCurr">'[4]1) Project Information'!$H$60</definedName>
    <definedName name="TEUTruckB1">'[4]1) Project Information'!$H$63</definedName>
    <definedName name="TEUTruckB20">'[4]1) Project Information'!$H$67</definedName>
    <definedName name="TEUTruckNB1">'[4]1) Project Information'!$G$63</definedName>
    <definedName name="TEUTruckNB20">'[4]1) Project Information'!$G$67</definedName>
    <definedName name="TEUTruckYrCurr">'[4]1) Project Information'!$H$59</definedName>
    <definedName name="TEUYrCurr">'[4]1) Project Information'!$H$61</definedName>
    <definedName name="TLC">[1]Definitions!$A$25:$C$31</definedName>
    <definedName name="TLCostGrowthTEUB">'[4]1) Project Information'!$R$55</definedName>
    <definedName name="TLCostGrowthTEUNB">'[4]1) Project Information'!$Q$55</definedName>
    <definedName name="TLCostGrowthTonB">'[4]1) Project Information'!$R$54</definedName>
    <definedName name="TLCostGrowthTonNB">'[4]1) Project Information'!$Q$54</definedName>
    <definedName name="TLCostTEUB">'[4]1) Project Information'!$R$52</definedName>
    <definedName name="TLCostTEUB1">'[4]2) Model Inputs'!$X$40</definedName>
    <definedName name="TLCostTEUB20">'[4]2) Model Inputs'!$X$54</definedName>
    <definedName name="TLCostTEUNB">'[4]1) Project Information'!$Q$52</definedName>
    <definedName name="TLCostTEUNB1">'[4]2) Model Inputs'!$X$10</definedName>
    <definedName name="TLCostTEUNB20">'[4]2) Model Inputs'!$X$24</definedName>
    <definedName name="TLCostTonB">'[4]1) Project Information'!$R$51</definedName>
    <definedName name="TLCostTonB1">'[4]2) Model Inputs'!$X$39</definedName>
    <definedName name="TLCostTonB20">'[4]2) Model Inputs'!$X$53</definedName>
    <definedName name="TLCostTonNB">'[4]1) Project Information'!$Q$51</definedName>
    <definedName name="TLCostTonNB1">'[4]2) Model Inputs'!$X$9</definedName>
    <definedName name="TLCostTonNB20">'[4]2) Model Inputs'!$X$23</definedName>
    <definedName name="TLTEURail1">'[4]1) Project Information'!$R$48</definedName>
    <definedName name="TLTEURail20">'[4]1) Project Information'!$R$49</definedName>
    <definedName name="TLTEUTruck1">'[4]1) Project Information'!$Q$48</definedName>
    <definedName name="TLTEUTruck20">'[4]1) Project Information'!$Q$49</definedName>
    <definedName name="TLTonRail1">'[4]1) Project Information'!$R$45</definedName>
    <definedName name="TLTonRail20">'[4]1) Project Information'!$R$46</definedName>
    <definedName name="TLTonTruck1">'[4]1) Project Information'!$Q$45</definedName>
    <definedName name="TLTonTruck20">'[4]1) Project Information'!$Q$46</definedName>
    <definedName name="Toll_Dest">[29]Analysis!$G$522:$AP$522</definedName>
    <definedName name="Toll_Origin">[29]Analysis!$G$521:$AP$521</definedName>
    <definedName name="TonGrowthB">'[4]1) Project Information'!$H$72</definedName>
    <definedName name="TonGrowthNB">'[4]1) Project Information'!$G$72</definedName>
    <definedName name="TonMiRB1">'[4]2) Model Inputs'!$J$75</definedName>
    <definedName name="TonMiRB20">'[4]2) Model Inputs'!$J$100</definedName>
    <definedName name="TonMiRNB1">'[4]2) Model Inputs'!$J$24</definedName>
    <definedName name="TonMiRNB20">'[4]2) Model Inputs'!$J$48</definedName>
    <definedName name="TonMiTB1">'[4]2) Model Inputs'!$J$63</definedName>
    <definedName name="TonMiTB20">'[4]2) Model Inputs'!$J$88</definedName>
    <definedName name="TonMiTNB1">'[4]2) Model Inputs'!$J$12</definedName>
    <definedName name="TonMiTNB20">'[4]2) Model Inputs'!$J$36</definedName>
    <definedName name="TonsB20">'[4]1) Project Information'!$H$55</definedName>
    <definedName name="TonsNB20">'[4]1) Project Information'!$G$55</definedName>
    <definedName name="TonsPerRailcarB">'[4]1) Project Information'!$H$26</definedName>
    <definedName name="TonsPerRailcarNB">'[4]1) Project Information'!$G$26</definedName>
    <definedName name="TonsPerTEUB">'[4]1) Project Information'!$H$37</definedName>
    <definedName name="TonsPerTEUNB">'[4]1) Project Information'!$G$37</definedName>
    <definedName name="TonsPerTrainB">'[4]1) Project Information'!$H$26*'[4]1) Project Information'!$H$27</definedName>
    <definedName name="TonsPerTrainNB">'[4]1) Project Information'!$G$26*'[4]1) Project Information'!$G$27</definedName>
    <definedName name="TonsPerTruckB">'[4]1) Project Information'!$H$23</definedName>
    <definedName name="TonsPerTruckNB">'[4]1) Project Information'!$G$23</definedName>
    <definedName name="TonsRailB1">'[4]1) Project Information'!$H$50</definedName>
    <definedName name="TonsRailB20">'[4]1) Project Information'!$H$54</definedName>
    <definedName name="TonsRailNB1">'[4]1) Project Information'!$G$50</definedName>
    <definedName name="TonsRailNB20">'[4]1) Project Information'!$G$54</definedName>
    <definedName name="TonsRailYrCurr">'[4]1) Project Information'!$H$46</definedName>
    <definedName name="TonsTruckB1">'[4]1) Project Information'!$H$49</definedName>
    <definedName name="TonsTruckB20">'[4]1) Project Information'!$H$53</definedName>
    <definedName name="TonsTruckNB1">'[4]1) Project Information'!$G$49</definedName>
    <definedName name="TonsTruckNB20">'[4]1) Project Information'!$G$53</definedName>
    <definedName name="TonsTruckYrCurr">'[4]1) Project Information'!$H$45</definedName>
    <definedName name="TonsYrCurr">'[4]1) Project Information'!$H$47</definedName>
    <definedName name="TotalK">INDIRECT("TrafficData!G"&amp;MATCH(#REF!,#REF!,0)+1)</definedName>
    <definedName name="Traff_GR1">[15]INPUT!$K$57</definedName>
    <definedName name="Traff_GR2">[15]INPUT!$K$58</definedName>
    <definedName name="Traff_GR3">[15]INPUT!$K$59</definedName>
    <definedName name="Transport">'[4]3) Results'!$H$26</definedName>
    <definedName name="Trip_Work">[15]INPUT!$K$103</definedName>
    <definedName name="Truck_EAST">[15]INPUT!$K$49</definedName>
    <definedName name="Truck_FOOT">[15]INPUT!$K$48</definedName>
    <definedName name="Truck_H_Toll">[15]INPUT!$K$94</definedName>
    <definedName name="Truck_Heavy">[15]INPUT!$K$49</definedName>
    <definedName name="Truck_L_Toll">[15]INPUT!$K$93</definedName>
    <definedName name="Truck_SJH">[15]INPUT!$K$47</definedName>
    <definedName name="Truck_Toll_Perc">[15]INPUT!$K$92</definedName>
    <definedName name="TruckAdjFactor">'[4]1) Project Information'!$G$92</definedName>
    <definedName name="TruckAdjFactorTEU">'[4]1) Project Information'!$G$93</definedName>
    <definedName name="TruckPer">'[1]Inputs-437a'!$C$8</definedName>
    <definedName name="Tunnel_FE_25">[15]INPUT!$K$139</definedName>
    <definedName name="Tunnel_SJ_25">[15]INPUT!$K$138</definedName>
    <definedName name="TwoLaneBuild">'[1]Inputs-437a'!$M$3</definedName>
    <definedName name="TwoLaneNB">'[1]Inputs-437a'!$H$3</definedName>
    <definedName name="unfunded.projects.">[36]Dashboard!$B$5</definedName>
    <definedName name="Units">[15]INPUT!$K$100</definedName>
    <definedName name="USState">[37]Water!$B$7:$B$55</definedName>
    <definedName name="v">[38]Parameters!$D$75</definedName>
    <definedName name="VACATION">[17]formulas!$A$65:$B$79</definedName>
    <definedName name="ValidCosts">'[39]Look Up Table'!$A$9:$A$25</definedName>
    <definedName name="ValTimeAuto">[4]PARAMETERS!$E$26</definedName>
    <definedName name="ValTimeTruck">[4]PARAMETERS!$E$27</definedName>
    <definedName name="Values_Entered">IF(Loan_Amount*Interest_Rate*Loan_Years*Loan_Start&gt;0,1,0)</definedName>
    <definedName name="ValueUpdate">[4]PARAMETERS!$F$10</definedName>
    <definedName name="Variables_Set">[20]Lookup!$B$35:$C$144</definedName>
    <definedName name="Vehicle222">[38]Parameters!$D$76</definedName>
    <definedName name="VMT">#REF!</definedName>
    <definedName name="VMTDrayTEUB1">'[4]2) Model Inputs'!$X$46</definedName>
    <definedName name="VMTDrayTEUB20">'[4]2) Model Inputs'!$X$60</definedName>
    <definedName name="VMTDrayTEUNB1">'[4]2) Model Inputs'!$X$16</definedName>
    <definedName name="VMTDrayTEUNB20">'[4]2) Model Inputs'!$X$30</definedName>
    <definedName name="VMTDrayTonB1">'[4]2) Model Inputs'!$X$44</definedName>
    <definedName name="VMTDrayTonB20">'[4]2) Model Inputs'!$X$58</definedName>
    <definedName name="VMTDrayTonNB1">'[4]2) Model Inputs'!$X$14</definedName>
    <definedName name="VMTDrayTonNB20">'[4]2) Model Inputs'!$X$28</definedName>
    <definedName name="VMTEmTEURB1">'[4]2) Model Inputs'!$J$79</definedName>
    <definedName name="VMTEmTEURB20">'[4]2) Model Inputs'!$J$104</definedName>
    <definedName name="VMTEmTEURNB1">'[4]2) Model Inputs'!$J$28</definedName>
    <definedName name="VMTEmTEURNB20">'[4]2) Model Inputs'!$J$52</definedName>
    <definedName name="VMTEmTEUTB1">'[4]2) Model Inputs'!$J$67</definedName>
    <definedName name="VMTEmTEUTB20">'[4]2) Model Inputs'!$J$92</definedName>
    <definedName name="VMTEmTEUTNB1">'[4]2) Model Inputs'!$J$16</definedName>
    <definedName name="VMTEmTEUTNB20">'[4]2) Model Inputs'!$J$40</definedName>
    <definedName name="VMTEmTonRB1">'[4]2) Model Inputs'!$J$74</definedName>
    <definedName name="VMTEmTonRB20">'[4]2) Model Inputs'!$J$99</definedName>
    <definedName name="VMTEmTonRNB1">'[4]2) Model Inputs'!$J$23</definedName>
    <definedName name="VMTEmTonRNB20">'[4]2) Model Inputs'!$J$47</definedName>
    <definedName name="VMTEmTonTB1">'[4]2) Model Inputs'!$J$62</definedName>
    <definedName name="VMTEmTonTB20">'[4]2) Model Inputs'!$J$87</definedName>
    <definedName name="VMTEmTonTNB1">'[4]2) Model Inputs'!$J$11</definedName>
    <definedName name="VMTEmTonTNB20">'[4]2) Model Inputs'!$J$35</definedName>
    <definedName name="VMTLTEURB1">'[4]2) Model Inputs'!$J$78</definedName>
    <definedName name="VMTLTEURB20">'[4]2) Model Inputs'!$J$103</definedName>
    <definedName name="VMTLTEURNB1">'[4]2) Model Inputs'!$J$27</definedName>
    <definedName name="VMTLTEURNB20">'[4]2) Model Inputs'!$J$51</definedName>
    <definedName name="VMTLTEUTB1">'[4]2) Model Inputs'!$J$66</definedName>
    <definedName name="VMTLTEUTB20">'[4]2) Model Inputs'!$J$91</definedName>
    <definedName name="VMTLTEUTNB1">'[4]2) Model Inputs'!$J$15</definedName>
    <definedName name="VMTLTEUTNB20">'[4]2) Model Inputs'!$J$39</definedName>
    <definedName name="VMTLTonRB1">'[4]2) Model Inputs'!$J$73</definedName>
    <definedName name="VMTLTonRB20">'[4]2) Model Inputs'!$J$98</definedName>
    <definedName name="VMTLTonRNB1">'[4]2) Model Inputs'!$J$22</definedName>
    <definedName name="VMTLTonRNB20">'[4]2) Model Inputs'!$J$46</definedName>
    <definedName name="VMTLTonTB1">'[4]2) Model Inputs'!$J$61</definedName>
    <definedName name="VMTLTonTB20">'[4]2) Model Inputs'!$J$86</definedName>
    <definedName name="VMTLTonTNB1">'[4]2) Model Inputs'!$J$10</definedName>
    <definedName name="VMTLTonTNB20">'[4]2) Model Inputs'!$J$34</definedName>
    <definedName name="WageStatewide">[4]PARAMETERS!$E$19</definedName>
    <definedName name="WageTruck">[4]PARAMETERS!$E$22</definedName>
    <definedName name="Weekend">[15]INPUT!$K$89</definedName>
    <definedName name="wrn.all." hidden="1">{"sandu",#N/A,FALSE,"sandu";"flow",#N/A,FALSE,"base";"debt",#N/A,FALSE,"base";"subdebt",#N/A,FALSE,"subdebt";"operating",#N/A,FALSE,"base";"stress1",#N/A,FALSE,"stress1";"stress2",#N/A,FALSE,"stress2"}</definedName>
    <definedName name="wrn.ESTIMATE." hidden="1">{#N/A,#N/A,FALSE,"SUM";#N/A,#N/A,FALSE,"MECH.";#N/A,#N/A,FALSE,"PIPE";#N/A,#N/A,FALSE,"ELECT";#N/A,#N/A,FALSE,"PR CONT";#N/A,#N/A,FALSE,"STRUCT"}</definedName>
    <definedName name="wrn.Labor._.Cost._.Workbook." hidden="1">{#N/A,#N/A,FALSE,"RATES";#N/A,#N/A,FALSE,"LOADED RATES"}</definedName>
    <definedName name="YearConstruct">'[4]1) Project Information'!$F$13</definedName>
    <definedName name="YearStart">'[4]1) Project Information'!$F$14</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5" l="1"/>
  <c r="C7" i="5"/>
  <c r="D6" i="5"/>
  <c r="C6" i="5"/>
  <c r="E7" i="2"/>
  <c r="C19" i="2" l="1"/>
  <c r="C13" i="5" l="1"/>
  <c r="C11" i="5"/>
  <c r="H12" i="2"/>
  <c r="C22" i="2"/>
  <c r="E8" i="2"/>
  <c r="F6" i="2" l="1"/>
  <c r="AC27" i="5"/>
  <c r="Z27" i="5" l="1"/>
  <c r="Y51" i="5" s="1"/>
  <c r="Z28" i="5"/>
  <c r="Y52" i="5" s="1"/>
  <c r="Z29" i="5"/>
  <c r="Y42" i="5" s="1"/>
  <c r="Z30" i="5"/>
  <c r="Y43" i="5" s="1"/>
  <c r="Z31" i="5"/>
  <c r="Y44" i="5" s="1"/>
  <c r="Z32" i="5"/>
  <c r="Y56" i="5" s="1"/>
  <c r="Z33" i="5"/>
  <c r="Y57" i="5" s="1"/>
  <c r="Z34" i="5"/>
  <c r="Y58" i="5" s="1"/>
  <c r="Z25" i="5"/>
  <c r="Y49" i="5" s="1"/>
  <c r="Z26" i="5"/>
  <c r="Y50" i="5" s="1"/>
  <c r="Z24" i="5"/>
  <c r="Y48" i="5" s="1"/>
  <c r="C8" i="2"/>
  <c r="S28" i="5"/>
  <c r="S29" i="5" s="1"/>
  <c r="S30" i="5" s="1"/>
  <c r="S31" i="5" s="1"/>
  <c r="S32" i="5" s="1"/>
  <c r="S33" i="5" s="1"/>
  <c r="S34" i="5" s="1"/>
  <c r="S35" i="5" s="1"/>
  <c r="S36" i="5" s="1"/>
  <c r="S37" i="5" s="1"/>
  <c r="S38" i="5" s="1"/>
  <c r="S39" i="5" s="1"/>
  <c r="S40" i="5" s="1"/>
  <c r="S41" i="5" s="1"/>
  <c r="S42" i="5" s="1"/>
  <c r="S43" i="5" s="1"/>
  <c r="S44" i="5" s="1"/>
  <c r="S45" i="5" s="1"/>
  <c r="S46" i="5" s="1"/>
  <c r="S47" i="5" s="1"/>
  <c r="S48" i="5" s="1"/>
  <c r="S49" i="5" s="1"/>
  <c r="S50" i="5" s="1"/>
  <c r="S51" i="5" s="1"/>
  <c r="AJ7" i="3" l="1"/>
  <c r="AB7" i="3"/>
  <c r="T7" i="3"/>
  <c r="L7" i="3"/>
  <c r="D7" i="3"/>
  <c r="G7" i="3"/>
  <c r="AI7" i="3"/>
  <c r="AA7" i="3"/>
  <c r="S7" i="3"/>
  <c r="K7" i="3"/>
  <c r="O7" i="3"/>
  <c r="AH7" i="3"/>
  <c r="Z7" i="3"/>
  <c r="R7" i="3"/>
  <c r="J7" i="3"/>
  <c r="W7" i="3"/>
  <c r="AG7" i="3"/>
  <c r="Y7" i="3"/>
  <c r="Q7" i="3"/>
  <c r="I7" i="3"/>
  <c r="AE7" i="3"/>
  <c r="AF7" i="3"/>
  <c r="X7" i="3"/>
  <c r="P7" i="3"/>
  <c r="H7" i="3"/>
  <c r="AL7" i="3"/>
  <c r="AD7" i="3"/>
  <c r="V7" i="3"/>
  <c r="N7" i="3"/>
  <c r="F7" i="3"/>
  <c r="AK7" i="3"/>
  <c r="AC7" i="3"/>
  <c r="U7" i="3"/>
  <c r="M7" i="3"/>
  <c r="E7" i="3"/>
  <c r="C80" i="5"/>
  <c r="D80" i="5" s="1"/>
  <c r="E80" i="5" s="1"/>
  <c r="F80" i="5" s="1"/>
  <c r="G80" i="5" s="1"/>
  <c r="H80" i="5" s="1"/>
  <c r="I80" i="5" s="1"/>
  <c r="J80" i="5" s="1"/>
  <c r="K80" i="5" s="1"/>
  <c r="L80" i="5" s="1"/>
  <c r="Y41" i="5"/>
  <c r="Y55" i="5"/>
  <c r="Y37" i="5"/>
  <c r="Y40" i="5"/>
  <c r="Y54" i="5"/>
  <c r="Y47" i="5"/>
  <c r="C14" i="2" s="1"/>
  <c r="Y39" i="5"/>
  <c r="Y53" i="5"/>
  <c r="Y46" i="5"/>
  <c r="Y38" i="5"/>
  <c r="Y45" i="5"/>
  <c r="AD42" i="7"/>
  <c r="AD41" i="7" s="1"/>
  <c r="C69" i="7"/>
  <c r="F69" i="7"/>
  <c r="F70" i="7" s="1"/>
  <c r="D34" i="7" l="1"/>
  <c r="D24" i="7"/>
  <c r="C51" i="7"/>
  <c r="D21" i="7"/>
  <c r="C29" i="7"/>
  <c r="D29" i="7" s="1"/>
  <c r="D32" i="7"/>
  <c r="D31" i="7"/>
  <c r="D30" i="7"/>
  <c r="C19" i="7"/>
  <c r="D19" i="7" s="1"/>
  <c r="D20" i="7"/>
  <c r="H20" i="7"/>
  <c r="H21" i="7"/>
  <c r="D22" i="7"/>
  <c r="H22" i="7"/>
  <c r="H23" i="7"/>
  <c r="C18" i="7"/>
  <c r="G18" i="7" s="1"/>
  <c r="H19" i="7" s="1"/>
  <c r="D18" i="7" l="1"/>
  <c r="D28" i="7"/>
  <c r="C44" i="7" l="1"/>
  <c r="C58" i="7" s="1"/>
  <c r="D12" i="5"/>
  <c r="C61" i="7" l="1"/>
  <c r="D13" i="5"/>
  <c r="E12" i="5"/>
  <c r="C62" i="7" l="1"/>
  <c r="D61" i="7"/>
  <c r="E13" i="5"/>
  <c r="F12" i="5"/>
  <c r="D62" i="7" l="1"/>
  <c r="C63" i="7"/>
  <c r="F13" i="5"/>
  <c r="G12" i="5"/>
  <c r="G13" i="5" l="1"/>
  <c r="H12" i="5"/>
  <c r="H13" i="5" l="1"/>
  <c r="I12" i="5"/>
  <c r="I13" i="5" l="1"/>
  <c r="J12" i="5"/>
  <c r="J13" i="5" l="1"/>
  <c r="K12" i="5"/>
  <c r="L12" i="5" s="1"/>
  <c r="M12" i="5" s="1"/>
  <c r="N12" i="5" s="1"/>
  <c r="O12" i="5" s="1"/>
  <c r="P12" i="5" s="1"/>
  <c r="Q12" i="5" s="1"/>
  <c r="R12" i="5" s="1"/>
  <c r="S12" i="5" s="1"/>
  <c r="T12" i="5" s="1"/>
  <c r="U12" i="5" l="1"/>
  <c r="K13" i="5"/>
  <c r="L13" i="5" l="1"/>
  <c r="V12" i="5"/>
  <c r="M13" i="5" l="1"/>
  <c r="W12"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26"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E4" i="5"/>
  <c r="E5" i="5"/>
  <c r="E6" i="5"/>
  <c r="E3" i="5"/>
  <c r="F5" i="2"/>
  <c r="F7" i="2" s="1"/>
  <c r="D4" i="5" l="1"/>
  <c r="C4" i="5"/>
  <c r="C5" i="5"/>
  <c r="D5" i="5"/>
  <c r="C15" i="5"/>
  <c r="D15" i="5"/>
  <c r="E15" i="5"/>
  <c r="F15" i="5"/>
  <c r="G15" i="5"/>
  <c r="H15" i="5"/>
  <c r="I15" i="5"/>
  <c r="J15" i="5"/>
  <c r="K15" i="5"/>
  <c r="M14" i="5"/>
  <c r="M15" i="5"/>
  <c r="C14" i="5"/>
  <c r="D14" i="5"/>
  <c r="E14" i="5"/>
  <c r="F14" i="5"/>
  <c r="G14" i="5"/>
  <c r="H14" i="5"/>
  <c r="I14" i="5"/>
  <c r="J14" i="5"/>
  <c r="K14" i="5"/>
  <c r="L14" i="5"/>
  <c r="L15" i="5"/>
  <c r="N13" i="5"/>
  <c r="U29" i="5"/>
  <c r="U37" i="5"/>
  <c r="U45" i="5"/>
  <c r="U49" i="5"/>
  <c r="U30" i="5"/>
  <c r="U38" i="5"/>
  <c r="U46" i="5"/>
  <c r="U50" i="5"/>
  <c r="U31" i="5"/>
  <c r="U39" i="5"/>
  <c r="U47" i="5"/>
  <c r="U51" i="5"/>
  <c r="U32" i="5"/>
  <c r="U40" i="5"/>
  <c r="U24" i="5"/>
  <c r="U36" i="5"/>
  <c r="U25" i="5"/>
  <c r="U33" i="5"/>
  <c r="U41" i="5"/>
  <c r="U26" i="5"/>
  <c r="U34" i="5"/>
  <c r="U42" i="5"/>
  <c r="U27" i="5"/>
  <c r="U35" i="5"/>
  <c r="U43" i="5"/>
  <c r="U48" i="5"/>
  <c r="U28" i="5"/>
  <c r="U44" i="5"/>
  <c r="X12" i="5"/>
  <c r="N14" i="5" l="1"/>
  <c r="N15" i="5"/>
  <c r="O13" i="5"/>
  <c r="C45" i="7"/>
  <c r="C71" i="7" s="1"/>
  <c r="Y12" i="5"/>
  <c r="D4" i="3"/>
  <c r="O15" i="5" l="1"/>
  <c r="O14" i="5"/>
  <c r="P13" i="5"/>
  <c r="D6" i="3"/>
  <c r="D8" i="3"/>
  <c r="C30" i="2"/>
  <c r="C38" i="2"/>
  <c r="N16" i="5" s="1"/>
  <c r="N17" i="5" s="1"/>
  <c r="D45" i="7"/>
  <c r="C46" i="7"/>
  <c r="D71" i="7"/>
  <c r="D72" i="7" s="1"/>
  <c r="D74" i="7" s="1"/>
  <c r="Z12" i="5"/>
  <c r="D10" i="3"/>
  <c r="E4" i="3"/>
  <c r="D5" i="3" l="1"/>
  <c r="C16" i="5"/>
  <c r="C47" i="7" s="1"/>
  <c r="D47" i="7" s="1"/>
  <c r="L16" i="5"/>
  <c r="L17" i="5" s="1"/>
  <c r="J16" i="5"/>
  <c r="M16" i="5"/>
  <c r="G16" i="5"/>
  <c r="I16" i="5"/>
  <c r="E16" i="5"/>
  <c r="E17" i="5" s="1"/>
  <c r="E18" i="5" s="1"/>
  <c r="K16" i="5"/>
  <c r="F16" i="5"/>
  <c r="D16" i="5"/>
  <c r="H16" i="5"/>
  <c r="O16" i="5"/>
  <c r="O17" i="5" s="1"/>
  <c r="C8" i="5"/>
  <c r="C3" i="5" s="1"/>
  <c r="C9" i="5" s="1"/>
  <c r="D8" i="5"/>
  <c r="D3" i="5" s="1"/>
  <c r="D9" i="5" s="1"/>
  <c r="E30" i="2" s="1"/>
  <c r="N18" i="5"/>
  <c r="N19" i="5"/>
  <c r="P14" i="5"/>
  <c r="P15" i="5"/>
  <c r="Q13" i="5"/>
  <c r="E6" i="3"/>
  <c r="E8" i="3"/>
  <c r="D46" i="7"/>
  <c r="AA12" i="5"/>
  <c r="E10" i="3"/>
  <c r="F4" i="3"/>
  <c r="L18" i="5" l="1"/>
  <c r="L19" i="5"/>
  <c r="E19" i="5"/>
  <c r="E20" i="5" s="1"/>
  <c r="I17" i="5"/>
  <c r="I19" i="5" s="1"/>
  <c r="G17" i="5"/>
  <c r="G19" i="5" s="1"/>
  <c r="M17" i="5"/>
  <c r="M18" i="5" s="1"/>
  <c r="H17" i="5"/>
  <c r="H19" i="5" s="1"/>
  <c r="J17" i="5"/>
  <c r="J18" i="5" s="1"/>
  <c r="D17" i="5"/>
  <c r="K17" i="5"/>
  <c r="K19" i="5" s="1"/>
  <c r="F17" i="5"/>
  <c r="F19" i="5" s="1"/>
  <c r="C17" i="5"/>
  <c r="C19" i="5" s="1"/>
  <c r="P16" i="5"/>
  <c r="P17" i="5" s="1"/>
  <c r="N20" i="5"/>
  <c r="O19" i="5"/>
  <c r="O18" i="5"/>
  <c r="Q15" i="5"/>
  <c r="Q14" i="5"/>
  <c r="R13" i="5"/>
  <c r="E5" i="3"/>
  <c r="F6" i="3"/>
  <c r="F8" i="3"/>
  <c r="E29" i="2"/>
  <c r="C48" i="7"/>
  <c r="D48" i="7" s="1"/>
  <c r="F28" i="7"/>
  <c r="F31" i="7"/>
  <c r="F30" i="7"/>
  <c r="F29" i="7"/>
  <c r="F20" i="7"/>
  <c r="F19" i="7"/>
  <c r="F21" i="7"/>
  <c r="F22" i="7"/>
  <c r="AB12" i="5"/>
  <c r="F10" i="3"/>
  <c r="G4" i="3"/>
  <c r="L20" i="5" l="1"/>
  <c r="H18" i="5"/>
  <c r="H20" i="5" s="1"/>
  <c r="M19" i="5"/>
  <c r="M20" i="5" s="1"/>
  <c r="I18" i="5"/>
  <c r="I20" i="5" s="1"/>
  <c r="D19" i="5"/>
  <c r="C18" i="5"/>
  <c r="C20" i="5" s="1"/>
  <c r="D18" i="5"/>
  <c r="G18" i="5"/>
  <c r="G20" i="5" s="1"/>
  <c r="F18" i="5"/>
  <c r="F20" i="5" s="1"/>
  <c r="J19" i="5"/>
  <c r="J20" i="5" s="1"/>
  <c r="K18" i="5"/>
  <c r="K20" i="5" s="1"/>
  <c r="Q16" i="5"/>
  <c r="Q17" i="5" s="1"/>
  <c r="AL11" i="3"/>
  <c r="AD11" i="3"/>
  <c r="V11" i="3"/>
  <c r="N11" i="3"/>
  <c r="F11" i="3"/>
  <c r="AB11" i="3"/>
  <c r="T11" i="3"/>
  <c r="AK11" i="3"/>
  <c r="AC11" i="3"/>
  <c r="U11" i="3"/>
  <c r="M11" i="3"/>
  <c r="E11" i="3"/>
  <c r="AJ11" i="3"/>
  <c r="L11" i="3"/>
  <c r="AI11" i="3"/>
  <c r="AA11" i="3"/>
  <c r="S11" i="3"/>
  <c r="K11" i="3"/>
  <c r="D11" i="3"/>
  <c r="AH11" i="3"/>
  <c r="Z11" i="3"/>
  <c r="R11" i="3"/>
  <c r="J11" i="3"/>
  <c r="X11" i="3"/>
  <c r="AG11" i="3"/>
  <c r="Y11" i="3"/>
  <c r="Q11" i="3"/>
  <c r="I11" i="3"/>
  <c r="AE11" i="3"/>
  <c r="W11" i="3"/>
  <c r="O11" i="3"/>
  <c r="G11" i="3"/>
  <c r="AF11" i="3"/>
  <c r="P11" i="3"/>
  <c r="H11" i="3"/>
  <c r="O20" i="5"/>
  <c r="P19" i="5"/>
  <c r="P18" i="5"/>
  <c r="R15" i="5"/>
  <c r="R14" i="5"/>
  <c r="S13" i="5"/>
  <c r="F5" i="3"/>
  <c r="G6" i="3"/>
  <c r="G8" i="3"/>
  <c r="C31" i="2" a="1"/>
  <c r="C31" i="2" s="1"/>
  <c r="C49" i="7"/>
  <c r="C53" i="7" s="1"/>
  <c r="F33" i="7"/>
  <c r="F24" i="7"/>
  <c r="AC12" i="5"/>
  <c r="G10" i="3"/>
  <c r="H4" i="3"/>
  <c r="D20" i="5" l="1"/>
  <c r="R16" i="5"/>
  <c r="R17" i="5" s="1"/>
  <c r="G5" i="3"/>
  <c r="P20" i="5"/>
  <c r="Q19" i="5"/>
  <c r="Q18" i="5"/>
  <c r="S14" i="5"/>
  <c r="S15" i="5"/>
  <c r="T13" i="5"/>
  <c r="H6" i="3"/>
  <c r="H8" i="3"/>
  <c r="H12" i="3"/>
  <c r="H13" i="3" s="1"/>
  <c r="E12" i="3"/>
  <c r="E13" i="3" s="1"/>
  <c r="D12" i="3"/>
  <c r="D13" i="3" s="1"/>
  <c r="F12" i="3"/>
  <c r="F13" i="3" s="1"/>
  <c r="G12" i="3"/>
  <c r="G13" i="3" s="1"/>
  <c r="D49" i="7"/>
  <c r="AD12" i="5"/>
  <c r="H10" i="3"/>
  <c r="I4" i="3"/>
  <c r="S16" i="5" l="1"/>
  <c r="S17" i="5" s="1"/>
  <c r="Q20" i="5"/>
  <c r="R18" i="5"/>
  <c r="R19" i="5"/>
  <c r="T15" i="5"/>
  <c r="T14" i="5"/>
  <c r="U13" i="5"/>
  <c r="H5" i="3"/>
  <c r="I6" i="3"/>
  <c r="I8" i="3"/>
  <c r="I12" i="3"/>
  <c r="I13" i="3" s="1"/>
  <c r="AE12" i="5"/>
  <c r="I10" i="3"/>
  <c r="J4" i="3"/>
  <c r="T16" i="5" l="1"/>
  <c r="T17" i="5" s="1"/>
  <c r="R20" i="5"/>
  <c r="S19" i="5"/>
  <c r="S18" i="5"/>
  <c r="U14" i="5"/>
  <c r="U15" i="5"/>
  <c r="V13" i="5"/>
  <c r="I5" i="3"/>
  <c r="J6" i="3"/>
  <c r="J8" i="3"/>
  <c r="J12" i="3"/>
  <c r="J13" i="3" s="1"/>
  <c r="AF12" i="5"/>
  <c r="J10" i="3"/>
  <c r="K4" i="3"/>
  <c r="U16" i="5" l="1"/>
  <c r="U17" i="5" s="1"/>
  <c r="S20" i="5"/>
  <c r="T18" i="5"/>
  <c r="V15" i="5"/>
  <c r="V14" i="5"/>
  <c r="W13" i="5"/>
  <c r="J5" i="3"/>
  <c r="K6" i="3"/>
  <c r="K8" i="3"/>
  <c r="K12" i="3"/>
  <c r="K13" i="3" s="1"/>
  <c r="AG12" i="5"/>
  <c r="K10" i="3"/>
  <c r="L4" i="3"/>
  <c r="V16" i="5" l="1"/>
  <c r="V17" i="5" s="1"/>
  <c r="V18" i="5" s="1"/>
  <c r="T19" i="5"/>
  <c r="T20" i="5" s="1"/>
  <c r="U19" i="5"/>
  <c r="U18" i="5"/>
  <c r="W15" i="5"/>
  <c r="W14" i="5"/>
  <c r="X13" i="5"/>
  <c r="K5" i="3"/>
  <c r="L6" i="3"/>
  <c r="L5" i="3" s="1"/>
  <c r="L8" i="3"/>
  <c r="L12" i="3"/>
  <c r="L13" i="3" s="1"/>
  <c r="AH12" i="5"/>
  <c r="L10" i="3"/>
  <c r="M4" i="3"/>
  <c r="W16" i="5" l="1"/>
  <c r="W17" i="5" s="1"/>
  <c r="U20" i="5"/>
  <c r="V19" i="5"/>
  <c r="V20" i="5" s="1"/>
  <c r="X14" i="5"/>
  <c r="X15" i="5"/>
  <c r="Y13" i="5"/>
  <c r="M6" i="3"/>
  <c r="M8" i="3"/>
  <c r="M12" i="3"/>
  <c r="M13" i="3" s="1"/>
  <c r="AI12" i="5"/>
  <c r="M10" i="3"/>
  <c r="N4" i="3"/>
  <c r="M5" i="3" l="1"/>
  <c r="X16" i="5"/>
  <c r="X17" i="5" s="1"/>
  <c r="W18" i="5"/>
  <c r="W19" i="5"/>
  <c r="Y15" i="5"/>
  <c r="Y14" i="5"/>
  <c r="Z13" i="5"/>
  <c r="N6" i="3"/>
  <c r="N8" i="3"/>
  <c r="N12" i="3"/>
  <c r="N13" i="3" s="1"/>
  <c r="AJ12" i="5"/>
  <c r="N10" i="3"/>
  <c r="O4" i="3"/>
  <c r="Y16" i="5" l="1"/>
  <c r="Y17" i="5" s="1"/>
  <c r="W20" i="5"/>
  <c r="X19" i="5"/>
  <c r="X18" i="5"/>
  <c r="Z15" i="5"/>
  <c r="Z14" i="5"/>
  <c r="AA13" i="5"/>
  <c r="N5" i="3"/>
  <c r="O6" i="3"/>
  <c r="O8" i="3"/>
  <c r="O12" i="3"/>
  <c r="O13" i="3" s="1"/>
  <c r="AK12" i="5"/>
  <c r="O10" i="3"/>
  <c r="P4" i="3"/>
  <c r="Z16" i="5" l="1"/>
  <c r="Z17" i="5" s="1"/>
  <c r="X20" i="5"/>
  <c r="Y19" i="5"/>
  <c r="Y18" i="5"/>
  <c r="AA14" i="5"/>
  <c r="AA15" i="5"/>
  <c r="AB13" i="5"/>
  <c r="O5" i="3"/>
  <c r="P6" i="3"/>
  <c r="P8" i="3"/>
  <c r="P12" i="3"/>
  <c r="P13" i="3" s="1"/>
  <c r="AL12" i="5"/>
  <c r="P10" i="3"/>
  <c r="Q4" i="3"/>
  <c r="AA16" i="5" l="1"/>
  <c r="AA17" i="5" s="1"/>
  <c r="Y20" i="5"/>
  <c r="Z19" i="5"/>
  <c r="Z18" i="5"/>
  <c r="AB15" i="5"/>
  <c r="AB14" i="5"/>
  <c r="AC13" i="5"/>
  <c r="P5" i="3"/>
  <c r="Q6" i="3"/>
  <c r="Q8" i="3"/>
  <c r="Q12" i="3"/>
  <c r="Q13" i="3" s="1"/>
  <c r="AM12" i="5"/>
  <c r="Q10" i="3"/>
  <c r="R4" i="3"/>
  <c r="D14" i="3" l="1"/>
  <c r="F14" i="3"/>
  <c r="E14" i="3"/>
  <c r="G14" i="3"/>
  <c r="H14" i="3"/>
  <c r="J14" i="3"/>
  <c r="K14" i="3"/>
  <c r="I14" i="3"/>
  <c r="M14" i="3"/>
  <c r="L14" i="3"/>
  <c r="O14" i="3"/>
  <c r="P14" i="3"/>
  <c r="N14" i="3"/>
  <c r="AB16" i="5"/>
  <c r="AB17" i="5" s="1"/>
  <c r="Z20" i="5"/>
  <c r="AA19" i="5"/>
  <c r="AA18" i="5"/>
  <c r="E31" i="2"/>
  <c r="J82" i="5"/>
  <c r="L82" i="5"/>
  <c r="AC15" i="5"/>
  <c r="AC14" i="5"/>
  <c r="AD13" i="5"/>
  <c r="Q5" i="3"/>
  <c r="Q14" i="3" s="1"/>
  <c r="R6" i="3"/>
  <c r="R8" i="3"/>
  <c r="R12" i="3"/>
  <c r="R13" i="3" s="1"/>
  <c r="R10" i="3"/>
  <c r="S4" i="3"/>
  <c r="AC16" i="5" l="1"/>
  <c r="AC17" i="5" s="1"/>
  <c r="I82" i="5"/>
  <c r="D82" i="5"/>
  <c r="F82" i="5"/>
  <c r="AA20" i="5"/>
  <c r="R5" i="3"/>
  <c r="R14" i="3" s="1"/>
  <c r="H82" i="5"/>
  <c r="C82" i="5"/>
  <c r="G82" i="5"/>
  <c r="E82" i="5"/>
  <c r="K82" i="5"/>
  <c r="AB19" i="5"/>
  <c r="AB18" i="5"/>
  <c r="AD15" i="5"/>
  <c r="AD14" i="5"/>
  <c r="AE13" i="5"/>
  <c r="S6" i="3"/>
  <c r="S8" i="3"/>
  <c r="S12" i="3"/>
  <c r="S13" i="3" s="1"/>
  <c r="S10" i="3"/>
  <c r="T4" i="3"/>
  <c r="AD16" i="5" l="1"/>
  <c r="AD17" i="5" s="1"/>
  <c r="AB20" i="5"/>
  <c r="AE15" i="5"/>
  <c r="AE14" i="5"/>
  <c r="AF13" i="5"/>
  <c r="S5" i="3"/>
  <c r="S14" i="3" s="1"/>
  <c r="T6" i="3"/>
  <c r="T8" i="3"/>
  <c r="T12" i="3"/>
  <c r="T13" i="3" s="1"/>
  <c r="T10" i="3"/>
  <c r="U4" i="3"/>
  <c r="AE16" i="5" l="1"/>
  <c r="AE17" i="5" s="1"/>
  <c r="T5" i="3"/>
  <c r="T14" i="3" s="1"/>
  <c r="AD18" i="5"/>
  <c r="AD19" i="5"/>
  <c r="AC19" i="5"/>
  <c r="AC18" i="5"/>
  <c r="AF14" i="5"/>
  <c r="AF15" i="5"/>
  <c r="AG13" i="5"/>
  <c r="U6" i="3"/>
  <c r="U8" i="3"/>
  <c r="U12" i="3"/>
  <c r="U13" i="3" s="1"/>
  <c r="U10" i="3"/>
  <c r="V4" i="3"/>
  <c r="AF16" i="5" l="1"/>
  <c r="AF17" i="5" s="1"/>
  <c r="U5" i="3"/>
  <c r="U14" i="3" s="1"/>
  <c r="AC20" i="5"/>
  <c r="AD20" i="5"/>
  <c r="AE19" i="5"/>
  <c r="AE18" i="5"/>
  <c r="AG14" i="5"/>
  <c r="AG15" i="5"/>
  <c r="AH13" i="5"/>
  <c r="V6" i="3"/>
  <c r="V5" i="3" s="1"/>
  <c r="V14" i="3" s="1"/>
  <c r="V8" i="3"/>
  <c r="V12" i="3"/>
  <c r="V13" i="3" s="1"/>
  <c r="V10" i="3"/>
  <c r="W4" i="3"/>
  <c r="AG16" i="5" l="1"/>
  <c r="AG17" i="5" s="1"/>
  <c r="AE20" i="5"/>
  <c r="AF19" i="5"/>
  <c r="AF18" i="5"/>
  <c r="AH14" i="5"/>
  <c r="AH15" i="5"/>
  <c r="AI13" i="5"/>
  <c r="W6" i="3"/>
  <c r="W8" i="3"/>
  <c r="W12" i="3"/>
  <c r="W13" i="3" s="1"/>
  <c r="W10" i="3"/>
  <c r="X4" i="3"/>
  <c r="AH16" i="5" l="1"/>
  <c r="AH17" i="5" s="1"/>
  <c r="AF20" i="5"/>
  <c r="AG19" i="5"/>
  <c r="AG18" i="5"/>
  <c r="AI14" i="5"/>
  <c r="AI15" i="5"/>
  <c r="AJ13" i="5"/>
  <c r="W5" i="3"/>
  <c r="W14" i="3" s="1"/>
  <c r="X6" i="3"/>
  <c r="X8" i="3"/>
  <c r="X12" i="3"/>
  <c r="X13" i="3" s="1"/>
  <c r="X10" i="3"/>
  <c r="Y4" i="3"/>
  <c r="AI16" i="5" l="1"/>
  <c r="AI17" i="5" s="1"/>
  <c r="X5" i="3"/>
  <c r="X14" i="3" s="1"/>
  <c r="AG20" i="5"/>
  <c r="AH19" i="5"/>
  <c r="AH18" i="5"/>
  <c r="AJ15" i="5"/>
  <c r="AJ14" i="5"/>
  <c r="AK13" i="5"/>
  <c r="Y6" i="3"/>
  <c r="Y8" i="3"/>
  <c r="Y12" i="3"/>
  <c r="Y13" i="3" s="1"/>
  <c r="Y10" i="3"/>
  <c r="Z4" i="3"/>
  <c r="AJ16" i="5" l="1"/>
  <c r="AJ17" i="5" s="1"/>
  <c r="AH20" i="5"/>
  <c r="AI19" i="5"/>
  <c r="AI18" i="5"/>
  <c r="Y5" i="3"/>
  <c r="Y14" i="3" s="1"/>
  <c r="AK15" i="5"/>
  <c r="AK14" i="5"/>
  <c r="AL13" i="5"/>
  <c r="Z6" i="3"/>
  <c r="Z8" i="3"/>
  <c r="Z12" i="3"/>
  <c r="Z13" i="3" s="1"/>
  <c r="Z10" i="3"/>
  <c r="AA4" i="3"/>
  <c r="AK16" i="5" l="1"/>
  <c r="AI20" i="5"/>
  <c r="AJ19" i="5"/>
  <c r="AJ18" i="5"/>
  <c r="AL14" i="5"/>
  <c r="AL15" i="5"/>
  <c r="AM13" i="5"/>
  <c r="Z5" i="3"/>
  <c r="Z14" i="3" s="1"/>
  <c r="AA6" i="3"/>
  <c r="AA8" i="3"/>
  <c r="AA12" i="3"/>
  <c r="AA13" i="3" s="1"/>
  <c r="AA10" i="3"/>
  <c r="AB4" i="3"/>
  <c r="AL16" i="5" l="1"/>
  <c r="AL17" i="5" s="1"/>
  <c r="AK17" i="5"/>
  <c r="AK19" i="5" s="1"/>
  <c r="AJ20" i="5"/>
  <c r="AA5" i="3"/>
  <c r="AA14" i="3" s="1"/>
  <c r="AM15" i="5"/>
  <c r="AM14" i="5"/>
  <c r="AB6" i="3"/>
  <c r="AB8" i="3"/>
  <c r="AB12" i="3"/>
  <c r="AB13" i="3" s="1"/>
  <c r="AB10" i="3"/>
  <c r="AC4" i="3"/>
  <c r="AB5" i="3" l="1"/>
  <c r="AB14" i="3" s="1"/>
  <c r="AM16" i="5"/>
  <c r="AM17" i="5" s="1"/>
  <c r="AK18" i="5"/>
  <c r="AK20" i="5" s="1"/>
  <c r="AL18" i="5"/>
  <c r="AL19" i="5"/>
  <c r="AC6" i="3"/>
  <c r="AC5" i="3" s="1"/>
  <c r="AC14" i="3" s="1"/>
  <c r="AC8" i="3"/>
  <c r="AC12" i="3"/>
  <c r="AC13" i="3" s="1"/>
  <c r="AC10" i="3"/>
  <c r="AD4" i="3"/>
  <c r="AL20" i="5" l="1"/>
  <c r="AM18" i="5"/>
  <c r="AM19" i="5"/>
  <c r="AD6" i="3"/>
  <c r="AD8" i="3"/>
  <c r="AD12" i="3"/>
  <c r="AD13" i="3" s="1"/>
  <c r="AD10" i="3"/>
  <c r="AE4" i="3"/>
  <c r="AM20" i="5" l="1"/>
  <c r="AD5" i="3"/>
  <c r="AD14" i="3" s="1"/>
  <c r="AE6" i="3"/>
  <c r="AE8" i="3"/>
  <c r="AE12" i="3"/>
  <c r="AE13" i="3" s="1"/>
  <c r="AE10" i="3"/>
  <c r="AF4" i="3"/>
  <c r="AE5" i="3" l="1"/>
  <c r="AE14" i="3" s="1"/>
  <c r="AF6" i="3"/>
  <c r="AF8" i="3"/>
  <c r="AF12" i="3"/>
  <c r="AF13" i="3" s="1"/>
  <c r="AF10" i="3"/>
  <c r="AG4" i="3"/>
  <c r="AF5" i="3" l="1"/>
  <c r="AF14" i="3" s="1"/>
  <c r="AG6" i="3"/>
  <c r="AG8" i="3"/>
  <c r="AG12" i="3"/>
  <c r="AG13" i="3" s="1"/>
  <c r="AG10" i="3"/>
  <c r="AH4" i="3"/>
  <c r="AG5" i="3" l="1"/>
  <c r="AG14" i="3" s="1"/>
  <c r="AH6" i="3"/>
  <c r="AH8" i="3"/>
  <c r="AH12" i="3"/>
  <c r="AH13" i="3" s="1"/>
  <c r="AH10" i="3"/>
  <c r="AI4" i="3"/>
  <c r="AH5" i="3" l="1"/>
  <c r="AH14" i="3" s="1"/>
  <c r="AI6" i="3"/>
  <c r="AI8" i="3"/>
  <c r="AI12" i="3"/>
  <c r="AI13" i="3" s="1"/>
  <c r="AI10" i="3"/>
  <c r="AJ4" i="3"/>
  <c r="AI5" i="3" l="1"/>
  <c r="AI14" i="3" s="1"/>
  <c r="AJ6" i="3"/>
  <c r="AJ8" i="3"/>
  <c r="AJ12" i="3"/>
  <c r="AJ13" i="3" s="1"/>
  <c r="AJ10" i="3"/>
  <c r="AK4" i="3"/>
  <c r="AJ5" i="3" l="1"/>
  <c r="AJ14" i="3" s="1"/>
  <c r="AK6" i="3"/>
  <c r="AK8" i="3"/>
  <c r="AK12" i="3"/>
  <c r="AK13" i="3" s="1"/>
  <c r="AK10" i="3"/>
  <c r="AL4" i="3"/>
  <c r="AK5" i="3" l="1"/>
  <c r="AK14" i="3" s="1"/>
  <c r="AL6" i="3"/>
  <c r="AL8" i="3"/>
  <c r="AL12" i="3"/>
  <c r="AL13" i="3" s="1"/>
  <c r="H23" i="2" s="1"/>
  <c r="AL10" i="3"/>
  <c r="AL5" i="3" l="1"/>
  <c r="AL14" i="3" s="1"/>
  <c r="I23" i="2" s="1"/>
  <c r="I24" i="2" s="1"/>
  <c r="H24" i="2"/>
  <c r="G81" i="5"/>
  <c r="J81" i="5"/>
  <c r="D81" i="5"/>
  <c r="L81" i="5"/>
  <c r="K81" i="5" l="1"/>
  <c r="E81" i="5"/>
  <c r="F81" i="5"/>
  <c r="C81" i="5"/>
  <c r="I81" i="5"/>
  <c r="H8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tc={D8C1AD40-12AB-42DD-934E-C925499A7B33}</author>
  </authors>
  <commentList>
    <comment ref="C9" authorId="0" shapeId="0" xr:uid="{D8C1AD40-12AB-42DD-934E-C925499A7B33}">
      <text>
        <t>[Threaded comment]
Your version of Excel allows you to read this threaded comment; however, any edits to it will get removed if the file is opened in a newer version of Excel. Learn more: https://go.microsoft.com/fwlink/?linkid=870924
Comment:
    Calculated based on long-term U.S. CPI growth, White House Deflation Tables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<sst xmlns="http://schemas.openxmlformats.org/spreadsheetml/2006/main" count="531" uniqueCount="307">
  <si>
    <t>Capital Cost</t>
  </si>
  <si>
    <t>Financials</t>
  </si>
  <si>
    <t>Cost Assumptions</t>
  </si>
  <si>
    <t>Total</t>
  </si>
  <si>
    <t>Base Year</t>
  </si>
  <si>
    <t>Cost Estimate Year</t>
  </si>
  <si>
    <t>Construction Year</t>
  </si>
  <si>
    <t>Total Capital Costs</t>
  </si>
  <si>
    <t>First Year in Service</t>
  </si>
  <si>
    <t>Long Run Inflation Rate</t>
  </si>
  <si>
    <t>$/kWh</t>
  </si>
  <si>
    <t>Net Capacity Factor</t>
  </si>
  <si>
    <t>Transmission Losses</t>
  </si>
  <si>
    <t>Financing Assumptions</t>
  </si>
  <si>
    <t>Tax Credit Assumptions</t>
  </si>
  <si>
    <t>ITC</t>
  </si>
  <si>
    <t>Prevailing Wage</t>
  </si>
  <si>
    <t>Yes</t>
  </si>
  <si>
    <t>Domestic Content</t>
  </si>
  <si>
    <t>Energy Siting</t>
  </si>
  <si>
    <t>Low-Income Community</t>
  </si>
  <si>
    <t>PTC Escalation (2023)</t>
  </si>
  <si>
    <t>Total Amount of Tax Exempt Debt</t>
  </si>
  <si>
    <t>Costs Eligible for Credit</t>
  </si>
  <si>
    <t>Total Amount of Taxable Debt</t>
  </si>
  <si>
    <t>Total Grant Funding</t>
  </si>
  <si>
    <t>% of Total Funding that is TE Debt</t>
  </si>
  <si>
    <t>Total Cash Funding</t>
  </si>
  <si>
    <t>None</t>
  </si>
  <si>
    <t>PTC Credit Years</t>
  </si>
  <si>
    <t>PTC</t>
  </si>
  <si>
    <t>NPV</t>
  </si>
  <si>
    <t>Net Electricity Generation (kWh)</t>
  </si>
  <si>
    <t>Investment Tax Credit</t>
  </si>
  <si>
    <t>Production Tax Credit</t>
  </si>
  <si>
    <t>No Credit</t>
  </si>
  <si>
    <t>O&amp;M Cost</t>
  </si>
  <si>
    <t>Fully Tax Exempt Debt</t>
  </si>
  <si>
    <t>NPV of Financing Costs</t>
  </si>
  <si>
    <t>Less Base Credit</t>
  </si>
  <si>
    <t>Less Prevailing Wage Requirements</t>
  </si>
  <si>
    <t>Less Domestic Content Requirements</t>
  </si>
  <si>
    <t>Less Energy Community Requirements</t>
  </si>
  <si>
    <t>Effective NPV of Financing Costs</t>
  </si>
  <si>
    <t>Low Income - 10%</t>
  </si>
  <si>
    <t>Less Low Income Requirements</t>
  </si>
  <si>
    <t>No Tax Exempt Debt</t>
  </si>
  <si>
    <t>Low Income 20%</t>
  </si>
  <si>
    <t>Space 1</t>
  </si>
  <si>
    <t>Space 2</t>
  </si>
  <si>
    <t>Base Credit</t>
  </si>
  <si>
    <t>Plus Energy Community Requirements</t>
  </si>
  <si>
    <t>Plus Domestic Content Requirements</t>
  </si>
  <si>
    <t>Plus Inflation Adjustment</t>
  </si>
  <si>
    <t>Plus Prevailing Wage Requirements</t>
  </si>
  <si>
    <t>Less Tax-Exempt Funding Clawback</t>
  </si>
  <si>
    <t>State Corporate Income Tax Rates as of January 1, 2023</t>
  </si>
  <si>
    <t>State</t>
  </si>
  <si>
    <t>Rates</t>
  </si>
  <si>
    <t>Brackets</t>
  </si>
  <si>
    <t>Alabama</t>
  </si>
  <si>
    <t>&gt;</t>
  </si>
  <si>
    <t>Alaska</t>
  </si>
  <si>
    <t>Arizona</t>
  </si>
  <si>
    <t>Arkansas</t>
  </si>
  <si>
    <t>California</t>
  </si>
  <si>
    <t>Colorado</t>
  </si>
  <si>
    <t>Connecticut</t>
  </si>
  <si>
    <t>(a)</t>
  </si>
  <si>
    <t>Delaware</t>
  </si>
  <si>
    <t>(b)</t>
  </si>
  <si>
    <t>Florida</t>
  </si>
  <si>
    <t>Georgia</t>
  </si>
  <si>
    <t>(c)</t>
  </si>
  <si>
    <t>Hawaii</t>
  </si>
  <si>
    <t>Idaho</t>
  </si>
  <si>
    <t>Illinois</t>
  </si>
  <si>
    <t>(d)</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</si>
  <si>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</si>
  <si>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</si>
  <si>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</si>
  <si>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</si>
  <si>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</si>
  <si>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</si>
  <si>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</si>
  <si>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</si>
  <si>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</si>
  <si>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</si>
  <si>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</si>
  <si>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</si>
  <si>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</si>
  <si>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</si>
  <si>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</si>
  <si>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</si>
  <si>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</si>
  <si>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(e)</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</si>
  <si>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</si>
  <si>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</si>
  <si>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</si>
  <si>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</si>
  <si>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</si>
  <si>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</si>
  <si>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</si>
  <si>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</si>
  <si>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</si>
  <si>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</si>
  <si>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</si>
  <si>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</si>
  <si>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</si>
  <si>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</si>
  <si>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</si>
  <si>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</si>
  <si>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</si>
  <si>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</si>
  <si>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</si>
  <si>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</si>
  <si>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</si>
  <si>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(a) Connecticut has historically charged a 10% surtax on a business's tax liability if it has gross proceeds of $100 million or more, or if it files as part of a combined unitary group. This surtax expired on January 1. Legislators have extended the surtax in the past and will decide whether to do so again this session.</t>
  </si>
  <si>
    <t>(b) Nevada, Ohio, Texas, and Washington do not have a corporate income tax but do have a gross receipts tax with rates not strictly comparable to corporate income tax rates. Delaware, Oregon, and Tennessee have gross receipts taxes in addition to corporate income taxes, as do several states like Pennsylvania, Virginia, and West Virginia, which permit gross receipts taxes at the local (but not state) level.</t>
  </si>
  <si>
    <t>(c) Georgia's corporate income tax rate will revert to 6% on January 1, 2026.</t>
  </si>
  <si>
    <t xml:space="preserve">(d) Illinois' rate includes two separate corporate income taxes, one at a 7% rate and one at a 2.5% rate. </t>
  </si>
  <si>
    <t>(e) In New Jersey, the rates indicated apply to a corporation's entire net income rather than just income over the threshold. A temporary and retroactive surcharge is in effect from 2020 to 2023, bringing the rate to 11.5% for businesses with income over $1 million.</t>
  </si>
  <si>
    <t>Note: In addition to regular income taxes, many states impose other taxes on corporations such as gross receipts taxes and capital stock taxes. Some states also impose an alternative minimum tax and special rates on financial institutions.</t>
  </si>
  <si>
    <t>Sources: Tax Foundation; state tax statutes, forms, and instructions; Bloomberg Tax.</t>
  </si>
  <si>
    <t>Not in use</t>
  </si>
  <si>
    <t>Tax Credit Max. Values</t>
  </si>
  <si>
    <t>Financing</t>
  </si>
  <si>
    <t>Levelized</t>
  </si>
  <si>
    <t>Interest Only</t>
  </si>
  <si>
    <t>Low-Income Community (1,2)</t>
  </si>
  <si>
    <t>Low-Income Community (3,4)</t>
  </si>
  <si>
    <t>Base</t>
  </si>
  <si>
    <t>Sum</t>
  </si>
  <si>
    <t>PTC Calculation</t>
  </si>
  <si>
    <t>Inflation Adjusted</t>
  </si>
  <si>
    <t>Domestic Content Elective Pay Reduction</t>
  </si>
  <si>
    <t>Source: Tax Foundation; state tax statutes, forms, and instructions; Bloomberg BNA.</t>
  </si>
  <si>
    <t>&lt;</t>
  </si>
  <si>
    <t>=</t>
  </si>
  <si>
    <t>(a) Connecticut has historically charged a 10% surtax on a business's tax liability if it has gross proceeds of $100 million or more</t>
  </si>
  <si>
    <t xml:space="preserve">or if it files as part of a combined unitary group. This surtax expired on January 1. Legislators have extended the surtax in the past </t>
  </si>
  <si>
    <t>&gt;=</t>
  </si>
  <si>
    <t>and will decide whether to do so again this session.</t>
  </si>
  <si>
    <t xml:space="preserve">(b) Nevada, Ohio, Texas, and Washington do not have a corporate income tax but do have a gross receipts tax with rates </t>
  </si>
  <si>
    <t xml:space="preserve">not strictly comparable to corporate income tax rates. Delaware, Oregon, and Tennessee have gross receipts taxes in addition </t>
  </si>
  <si>
    <t xml:space="preserve">to corporate income taxes, as do several states like Pennsylvania, Virginia, and West Virginia, which permit gross receipts taxes at the </t>
  </si>
  <si>
    <t>local (but not state) level.</t>
  </si>
  <si>
    <t xml:space="preserve">(e) In New Jersey, the rates indicated apply to a corporation's entire net income rather than just income over the threshold. </t>
  </si>
  <si>
    <t xml:space="preserve">A temporary and retroactive surcharge is in effect from 2020 to 2023, bringing the rate to 11.5% for businesses </t>
  </si>
  <si>
    <t>with income over $1 million.</t>
  </si>
  <si>
    <t xml:space="preserve">Note: In addition to regular income taxes, many states impose other taxes on corporations such as gross receipts taxes and </t>
  </si>
  <si>
    <t>capital stock taxes. Some states also impose an alternative minimum tax and special rates on financial institutions.</t>
  </si>
  <si>
    <t>Total Forgiveable Loan Funding</t>
  </si>
  <si>
    <t>Tax-Exempt Funding Restriction</t>
  </si>
  <si>
    <t>Less: Reduction due to Restricted Financing</t>
  </si>
  <si>
    <t>Net Investment Tax Credit</t>
  </si>
  <si>
    <t>Net Present Value</t>
  </si>
  <si>
    <t>$/kWh (Levelized)</t>
  </si>
  <si>
    <t>Solar Degradation Rate</t>
  </si>
  <si>
    <t>Discount Rate</t>
  </si>
  <si>
    <t>Location</t>
  </si>
  <si>
    <t>Nameplate Capacity (kW-ac)</t>
  </si>
  <si>
    <t>Net Capacity Factor Override</t>
  </si>
  <si>
    <t>Zones</t>
  </si>
  <si>
    <t>A - West</t>
  </si>
  <si>
    <t>B - Genesee</t>
  </si>
  <si>
    <t>C - Central</t>
  </si>
  <si>
    <t>D - North</t>
  </si>
  <si>
    <t>E - Mohawk Valley</t>
  </si>
  <si>
    <t>F - Capital</t>
  </si>
  <si>
    <t>G - Hudson Valley</t>
  </si>
  <si>
    <t>H - Millwood</t>
  </si>
  <si>
    <t>I - Dunwoodie</t>
  </si>
  <si>
    <t>J - N.Y.C.</t>
  </si>
  <si>
    <t>K - Long Island</t>
  </si>
  <si>
    <t>Efficiency Factor</t>
  </si>
  <si>
    <t>Group-Zone</t>
  </si>
  <si>
    <t>Typical Expense</t>
  </si>
  <si>
    <t>Nameplate Capacity (kW-dc)</t>
  </si>
  <si>
    <t>Project Type</t>
  </si>
  <si>
    <t>Lookup Value</t>
  </si>
  <si>
    <t>Solar - Tracking</t>
  </si>
  <si>
    <t>Solar - Fixed Axis</t>
  </si>
  <si>
    <t>Year 1 PTC Value ($/kWh)</t>
  </si>
  <si>
    <t>Utility Company</t>
  </si>
  <si>
    <t>Central Hudson</t>
  </si>
  <si>
    <t>ConEd(11am-3pm)</t>
  </si>
  <si>
    <t>ConEd(2pm-6pm)</t>
  </si>
  <si>
    <t>ConEd(4pm-8pm)</t>
  </si>
  <si>
    <t>ConEd(7pm-11pm)</t>
  </si>
  <si>
    <t>National Grid</t>
  </si>
  <si>
    <t>NYSEG</t>
  </si>
  <si>
    <t>Orange &amp; Rockland</t>
  </si>
  <si>
    <t>PSEG Long Island</t>
  </si>
  <si>
    <t>RGE</t>
  </si>
  <si>
    <t>Definition</t>
  </si>
  <si>
    <t>First year used in study period of project</t>
  </si>
  <si>
    <t>Year project is expected to be constructed</t>
  </si>
  <si>
    <t>Direct current capacity of project's estimated output; used to calculate capital expenditures</t>
  </si>
  <si>
    <t>A stackable bonus credit that may be earned by the project to qualify for higher credit values if certain labor requirements are met</t>
  </si>
  <si>
    <t>A stackable bonus credit that may be earned by the project if a sufficient percentage of material is determined to originate in the U.S.</t>
  </si>
  <si>
    <t>A stackable bonus credit that may be earned by the project if the location qualifies as an Energy Community per IRS guidance</t>
  </si>
  <si>
    <t>Capital Cost Inflation Factor</t>
  </si>
  <si>
    <t>Tax Credit Value</t>
  </si>
  <si>
    <t>Additional Tax Credit Factors</t>
  </si>
  <si>
    <t>Tax Credit Chart Data</t>
  </si>
  <si>
    <t>Year of non-escalated dollars for project cost estimate</t>
  </si>
  <si>
    <t>First year the project is operational</t>
  </si>
  <si>
    <t>Inflation parameter used to escalate project costs to the base year dollars</t>
  </si>
  <si>
    <r>
      <t>Drop-down menu containing 11 NYISO zones in New York State that influences default</t>
    </r>
    <r>
      <rPr>
        <b/>
        <sz val="11"/>
        <color theme="1"/>
        <rFont val="Arial"/>
        <family val="2"/>
      </rPr>
      <t xml:space="preserve"> </t>
    </r>
    <r>
      <rPr>
        <sz val="11"/>
        <color theme="1"/>
        <rFont val="Arial"/>
        <family val="2"/>
      </rPr>
      <t xml:space="preserve">net capacity factor </t>
    </r>
  </si>
  <si>
    <t>Drop-down menu of Solar-Fixed Axis and Solar-Tracking that influences default net capacity factor</t>
  </si>
  <si>
    <t>Manual override of default net capacity factor for project-specific parameters</t>
  </si>
  <si>
    <t>Alternating current capacity of project's estimated output; used to calculate annual kWh output</t>
  </si>
  <si>
    <t>Annual degradation of solar output</t>
  </si>
  <si>
    <t>Drop-down menu containing 10 New York utility companies to set default transmission loss value</t>
  </si>
  <si>
    <t>Tax Credit Annual Values</t>
  </si>
  <si>
    <t xml:space="preserve">Factor to capture electricity lost between generation site and grid. </t>
  </si>
  <si>
    <t>General Assumptions</t>
  </si>
  <si>
    <t>Key Outputs</t>
  </si>
  <si>
    <t>NYSERDA Solar Tax Credit Assessment Tool Guidance</t>
  </si>
  <si>
    <t>A stackable bonus credit that may be earned by the project if the location qualifies as a low-income community per IRS guidance</t>
  </si>
  <si>
    <t>If restricted funding sources (e.g., grants and forgivable loans) exceed the value of the project cost, then the credit will be reduced such that the overfunded amounts equal the total project cost</t>
  </si>
  <si>
    <t>User input based on grant funding received for the project</t>
  </si>
  <si>
    <r>
      <t xml:space="preserve">User inputs are denoted by </t>
    </r>
    <r>
      <rPr>
        <b/>
        <sz val="11"/>
        <color rgb="FF0000FF"/>
        <rFont val="Arial"/>
        <family val="2"/>
      </rPr>
      <t>blue text</t>
    </r>
    <r>
      <rPr>
        <sz val="11"/>
        <color rgb="FF0000FF"/>
        <rFont val="Arial"/>
        <family val="2"/>
      </rPr>
      <t xml:space="preserve"> </t>
    </r>
    <r>
      <rPr>
        <sz val="11"/>
        <rFont val="Arial"/>
        <family val="2"/>
      </rPr>
      <t>with a light blue fill</t>
    </r>
    <r>
      <rPr>
        <sz val="11"/>
        <color rgb="FF0000FF"/>
        <rFont val="Arial"/>
        <family val="2"/>
      </rPr>
      <t>.</t>
    </r>
  </si>
  <si>
    <r>
      <t xml:space="preserve">Calculated or default values are denoted with </t>
    </r>
    <r>
      <rPr>
        <b/>
        <sz val="11"/>
        <color theme="1"/>
        <rFont val="Arial"/>
        <family val="2"/>
      </rPr>
      <t>black text</t>
    </r>
    <r>
      <rPr>
        <sz val="11"/>
        <color theme="1"/>
        <rFont val="Arial"/>
        <family val="2"/>
      </rPr>
      <t xml:space="preserve"> and cannot be edited. </t>
    </r>
  </si>
  <si>
    <t>Escalation factor for PTC, published annually by U.S. Department of Treasury</t>
  </si>
  <si>
    <t>Prescribed maximum of reduction based on total amount of tax-exempt debt as percent of project funding</t>
  </si>
  <si>
    <t>Total amount of tax-exempt debt as percent of project funding</t>
  </si>
  <si>
    <t>PTC is payable for 10 years beginning the first year of operations</t>
  </si>
  <si>
    <t>User input based on forgiveable loan funding received for the project</t>
  </si>
  <si>
    <t>User input for total tax-exempt debt used in funding the project (e.g. municipal bonds)</t>
  </si>
  <si>
    <t>User input for total taxable debt used in funding the project (e.g. private loans)</t>
  </si>
  <si>
    <t>Variable</t>
  </si>
  <si>
    <t>% of Total Costs that is TE Debt</t>
  </si>
  <si>
    <t>Type 1 or 2</t>
  </si>
  <si>
    <t>Type 3 or 4</t>
  </si>
  <si>
    <t>A Type 3 community is a qualified Low-Income Residential Building Project; a Type 4 community is a Qualified Low-Income Economic Benefit Project.</t>
  </si>
  <si>
    <t>A Type 1 community has a poverty rate of at least 20%, median family income does not exceed 80% of the statewide median family income, and a Type 2 community is located on Indian land.</t>
  </si>
  <si>
    <t>Calculated value of total project cost less total funding from other sources (i.e., grants, loans)</t>
  </si>
  <si>
    <t>Source: NYSERDA Solar Appraisal Model</t>
  </si>
  <si>
    <r>
      <t xml:space="preserve">State Corporate Income Tax Rates and Brackets for </t>
    </r>
    <r>
      <rPr>
        <b/>
        <sz val="11"/>
        <rFont val="Arial"/>
        <family val="2"/>
      </rPr>
      <t>2023</t>
    </r>
  </si>
  <si>
    <r>
      <t xml:space="preserve">Source: </t>
    </r>
    <r>
      <rPr>
        <sz val="11"/>
        <color theme="1"/>
        <rFont val="Calibri"/>
        <family val="2"/>
        <scheme val="minor"/>
      </rPr>
      <t>Credit</t>
    </r>
    <r>
      <rPr>
        <b/>
        <sz val="11"/>
        <color theme="1"/>
        <rFont val="Calibri"/>
        <family val="2"/>
        <scheme val="minor"/>
      </rPr>
      <t xml:space="preserve"> </t>
    </r>
    <r>
      <rPr>
        <sz val="11"/>
        <color theme="1"/>
        <rFont val="Calibri"/>
        <family val="2"/>
        <scheme val="minor"/>
      </rPr>
      <t>Values (ITC and PTC) obtained from IRS Guidance for each bonus credit and Sections 45/48 of Title 26</t>
    </r>
  </si>
  <si>
    <t>Total Amount of Tax Exempt (TE) Debt ($)</t>
  </si>
  <si>
    <t>Total Amount of Taxable Debt ($)</t>
  </si>
  <si>
    <t>Total Grant Funding ($)</t>
  </si>
  <si>
    <t>Total Forgiveable Loan Funding ($)</t>
  </si>
  <si>
    <t>Total Cash Funding ($)</t>
  </si>
  <si>
    <t>Tax-Exempt Funding Restriction ($)</t>
  </si>
  <si>
    <t>Discount Rate (%)</t>
  </si>
  <si>
    <t>Hours per Year</t>
  </si>
  <si>
    <t>Net capacity factor is a measure of a solar project’s efficiency, or the difference between the solar installation’s capacity if it operated 24/7 and its actual output</t>
  </si>
  <si>
    <t>Maximum Reduction of Credit</t>
  </si>
  <si>
    <t>Solar Operating Assumptions</t>
  </si>
  <si>
    <t>Storage Operating Assumptions</t>
  </si>
  <si>
    <t>Storage Capacity (kW)</t>
  </si>
  <si>
    <t>Storage Duration (hours)</t>
  </si>
  <si>
    <t>Charging Cycles per Year</t>
  </si>
  <si>
    <t>% of Charge Cycle Completed</t>
  </si>
  <si>
    <t>Roundtrip Efficiency</t>
  </si>
  <si>
    <t>Roundtrip Efficiency Degradation Rate</t>
  </si>
  <si>
    <t>% Charged by Solar</t>
  </si>
  <si>
    <t>Storage Capacity Degradation Rate</t>
  </si>
  <si>
    <t>Net Solar Electricity Generation (kWh)</t>
  </si>
  <si>
    <t>Solar Energy to Charge Energy Storage (kWh)</t>
  </si>
  <si>
    <t>Energy Discharged from Energy Storage (kWh)</t>
  </si>
  <si>
    <t>NYSERDA Solar+Storage Tax Credit Assessment Tool</t>
  </si>
  <si>
    <t>Unit Cost</t>
  </si>
  <si>
    <t>Default DC:AC Ratio</t>
  </si>
  <si>
    <t>DC:AC Ratio Override</t>
  </si>
  <si>
    <t>No</t>
  </si>
  <si>
    <t>Solar ITC</t>
  </si>
  <si>
    <t>Storage ITC</t>
  </si>
  <si>
    <t>Solar ITC Value (% of Eligible Costs)</t>
  </si>
  <si>
    <t>Storage ITC Value (% of Eligible Costs)</t>
  </si>
  <si>
    <t>Solar Capital Costs ($/kW-dc)</t>
  </si>
  <si>
    <t>Battery Capital Costs ($/kWh)</t>
  </si>
  <si>
    <t>Eligible Cost Override</t>
  </si>
  <si>
    <t>Assumed percentage of total costs that are eligible for ITC (excludes any costs not associated directly with the value of tangible property)</t>
  </si>
  <si>
    <t>Domestic Content Solar Exemption</t>
  </si>
  <si>
    <t>Domestic Content Storage Exemption</t>
  </si>
  <si>
    <t>Tax Credit Exemptions</t>
  </si>
  <si>
    <t>Prevailing Wage &amp; Apprenticeship</t>
  </si>
  <si>
    <t>Apprenticeship Solar Exemption</t>
  </si>
  <si>
    <t>Apprenticeship Storage Exemption</t>
  </si>
  <si>
    <t>The discount rate is an input to capture the weighted average cost of capital for the municipality</t>
  </si>
  <si>
    <t>Domestic Content (Clean Electricity PTC)</t>
  </si>
  <si>
    <t>Energy Siting (Clean Electricity PTC)</t>
  </si>
  <si>
    <t>Energy Siting (PTC)</t>
  </si>
  <si>
    <t>Domestic Content (PTC)</t>
  </si>
  <si>
    <t>Prevailing Wage (PTC)</t>
  </si>
  <si>
    <t>A toggle to record exemptions granted for solar equipment not meeting domestic content requirements due to either a lack in quantity and/or quality of domestic materials available or domestic materials increase the overall project cost by 25% or more</t>
  </si>
  <si>
    <t>A toggle to record exemptions granted for solar equipment for either meeting the good faith efforts for apprenticeship or satisfying the prevailing wage &amp; apprenticeship requirements by paying the appropriate penalties.</t>
  </si>
  <si>
    <t>A toggle to record exemptions granted for a storage project for either meeting the good faith efforts for apprenticeship or satisfying the prevailing wage &amp; apprenticeship requirements by paying the appropriate penalties.</t>
  </si>
  <si>
    <t>A toggle to record exemptions granted for a storage project not meeting domestic content requirements due to either a lack in quantity and/or quality of domestic materials available or domestic materials increase the overall project cost by 25% or more</t>
  </si>
  <si>
    <t>The maximum amount of stored energy in the battery</t>
  </si>
  <si>
    <t>The amount of time storage can discharge at its power capacity before depleting its energy capacity</t>
  </si>
  <si>
    <t>The rate (compounding) at which the battery's nameplate storage capacity is degraded over time</t>
  </si>
  <si>
    <t>The rate (compounding) at which the battery's roundtrip efficiency rate is degraded over time</t>
  </si>
  <si>
    <t>The number of times a battery storage system will complete a full cycle of charging and discharging each year</t>
  </si>
  <si>
    <t>Average percent of battery storage energy utilized during a charge cycle</t>
  </si>
  <si>
    <t>The percentage of energy discharged from the battery relative to the energy used to charge the battery, including losses from self-discharge and other electrical losses</t>
  </si>
  <si>
    <t>The percentage of energy used to charge the battery storage system that comes from the solar array</t>
  </si>
  <si>
    <t>Solar Capital Costs</t>
  </si>
  <si>
    <t>Battery Capital Costs</t>
  </si>
  <si>
    <t>Capital costs for the solar portion of the project on a $/kW-dc basis. Enter unescalated project costs.</t>
  </si>
  <si>
    <t>Capital costs for the storage portion of the project on a $/kWh basis. Enter unescalated project costs.</t>
  </si>
  <si>
    <t>Manual override of eligible cost percentage, if known based on cost estimate. Eligible costs for ITC must be tangible property that has depreciation schedules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</si>
</sst>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164" formatCode="#&quot; yrs&quot;"/>
    <numFmt numFmtId="165" formatCode="&quot;$&quot;#,##0.00"/>
    <numFmt numFmtId="166" formatCode="&quot;$&quot;#,##0.000"/>
    <numFmt numFmtId="167" formatCode="0.0%"/>
    <numFmt numFmtId="168" formatCode="0.0000"/>
    <numFmt numFmtId="169" formatCode="0.00000"/>
    <numFmt numFmtId="170" formatCode="&quot;$&quot;#,##0"/>
    <numFmt numFmtId="171" formatCode="&quot;$&quot;#,##0;\-&quot;$&quot;#,##0;\-"/>
    <numFmt numFmtId="172" formatCode="&quot;$&quot;#,##0.000_);\(&quot;$&quot;#,##0.000\)"/>
    <numFmt numFmtId="173" formatCode="0.000%"/>
    <numFmt numFmtId="174" formatCode="0.000"/>
    <numFmt numFmtId="175" formatCode="#,##0.0"/>
    <numFmt numFmtId="176" formatCode="&quot;$&quot;#,##0.00000"/>
    <numFmt numFmtId="177" formatCode="#,##0;\-#,##0;\-"/>
    <numFmt numFmtId="178" formatCode="#,##0.0;\-#,##0.0;\-"/>
    <numFmt numFmtId="179" formatCode="#,##0.0%;\-#,##0.0%;\-"/>
  </numFmts>
  <fonts count="26"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sz val="11"/>
      <color theme="1"/>
      <name val="Arial"/>
      <family val="2"/>
    </font>
    <font>
      <b/>
      <sz val="16"/>
      <color theme="0"/>
      <name val="Arial"/>
      <family val="2"/>
    </font>
    <font>
      <b/>
      <sz val="11"/>
      <color theme="1"/>
      <name val="Arial"/>
      <family val="2"/>
    </font>
    <font>
      <b/>
      <sz val="11"/>
      <name val="Arial"/>
      <family val="2"/>
    </font>
    <font>
      <sz val="11"/>
      <name val="Arial"/>
      <family val="2"/>
    </font>
    <font>
      <b/>
      <sz val="11"/>
      <color theme="0"/>
      <name val="Arial"/>
      <family val="2"/>
    </font>
    <font>
      <sz val="11"/>
      <color theme="0"/>
      <name val="Arial"/>
      <family val="2"/>
    </font>
    <font>
      <sz val="11"/>
      <color rgb="FF0000FF"/>
      <name val="Arial"/>
      <family val="2"/>
    </font>
    <font>
      <b/>
      <sz val="11"/>
      <color rgb="FFFF0000"/>
      <name val="Arial"/>
      <family val="2"/>
    </font>
    <font>
      <i/>
      <sz val="11"/>
      <color theme="1"/>
      <name val="Arial"/>
      <family val="2"/>
    </font>
    <font>
      <b/>
      <sz val="11"/>
      <color theme="0" tint="-0.499984740745262"/>
      <name val="Arial"/>
      <family val="2"/>
    </font>
    <font>
      <sz val="11"/>
      <color theme="0" tint="-0.499984740745262"/>
      <name val="Arial"/>
      <family val="2"/>
    </font>
    <font>
      <sz val="11"/>
      <color indexed="8"/>
      <name val="Arial"/>
      <family val="2"/>
    </font>
    <font>
      <sz val="11"/>
      <color indexed="10"/>
      <name val="Arial"/>
      <family val="2"/>
    </font>
    <font>
      <sz val="10"/>
      <name val="Arial"/>
      <family val="2"/>
    </font>
    <font>
      <u/>
      <sz val="11"/>
      <color theme="10"/>
      <name val="Arial"/>
      <family val="2"/>
    </font>
    <font>
      <sz val="10"/>
      <color theme="1"/>
      <name val="Arial"/>
      <family val="2"/>
    </font>
    <font>
      <sz val="11"/>
      <color theme="1" tint="0.34998626667073579"/>
      <name val="Calibri"/>
      <family val="2"/>
      <scheme val="minor"/>
    </font>
    <font>
      <sz val="11"/>
      <color indexed="8"/>
      <name val="Calibri"/>
      <family val="2"/>
      <scheme val="minor"/>
    </font>
    <font>
      <sz val="11"/>
      <color rgb="FF0000FF"/>
      <name val="Calibri"/>
      <family val="2"/>
      <scheme val="minor"/>
    </font>
    <font>
      <b/>
      <sz val="11"/>
      <color theme="1"/>
      <name val="Arial"/>
      <family val="2"/>
    </font>
    <font>
      <b/>
      <sz val="11"/>
      <color rgb="FF0000FF"/>
      <name val="Arial"/>
      <family val="2"/>
    </font>
  </fonts>
  <fills count="9">
    <fill>
      <patternFill patternType="none"/>
    </fill>
    <fill>
      <patternFill patternType="gray125"/>
    </fill>
    <fill>
      <patternFill patternType="solid">
        <fgColor rgb="FF4298B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249977111117893"/>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style="thick">
        <color theme="0"/>
      </left>
      <right/>
      <top/>
      <bottom style="thin">
        <color indexed="64"/>
      </bottom>
      <diagonal/>
    </border>
    <border>
      <left style="thick">
        <color theme="0"/>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ck">
        <color theme="0"/>
      </left>
      <right/>
      <top style="thin">
        <color indexed="64"/>
      </top>
      <bottom/>
      <diagonal/>
    </border>
    <border>
      <left style="thick">
        <color theme="0"/>
      </left>
      <right/>
      <top/>
      <bottom/>
      <diagonal/>
    </border>
    <border>
      <left/>
      <right style="medium">
        <color theme="0"/>
      </right>
      <top style="thin">
        <color indexed="64"/>
      </top>
      <bottom style="thin">
        <color indexed="64"/>
      </bottom>
      <diagonal/>
    </border>
    <border>
      <left/>
      <right style="medium">
        <color theme="0"/>
      </right>
      <top style="thin">
        <color indexed="64"/>
      </top>
      <bottom/>
      <diagonal/>
    </border>
    <border>
      <left/>
      <right style="medium">
        <color theme="0"/>
      </right>
      <top/>
      <bottom/>
      <diagonal/>
    </border>
    <border>
      <left/>
      <right style="medium">
        <color theme="0"/>
      </right>
      <top/>
      <bottom style="thin">
        <color indexed="64"/>
      </bottom>
      <diagonal/>
    </border>
    <border>
      <left style="medium">
        <color theme="0"/>
      </left>
      <right/>
      <top/>
      <bottom style="thin">
        <color indexed="64"/>
      </bottom>
      <diagonal/>
    </border>
    <border>
      <left style="medium">
        <color theme="0"/>
      </left>
      <right/>
      <top/>
      <bottom/>
      <diagonal/>
    </border>
  </borders>
  <cellStyleXfs count="3">
    <xf numFmtId="0" fontId="0" fillId="0" borderId="0"/>
    <xf numFmtId="9" fontId="3" fillId="0" borderId="0" applyFont="0" applyFill="0" applyBorder="0" applyAlignment="0" applyProtection="0"/>
    <xf numFmtId="0" fontId="22" fillId="0" borderId="0"/>
  </cellStyleXfs>
  <cellXfs count="193">
    <xf numFmtId="0" fontId="0" fillId="0" borderId="0" xfId="0"/>
    <xf numFmtId="0" fontId="2" fillId="0" borderId="0" xfId="0" applyFont="1"/>
    <xf numFmtId="0" fontId="1" fillId="0" borderId="0" xfId="0" applyFont="1"/>
    <xf numFmtId="0" fontId="0" fillId="0" borderId="0" xfId="0" quotePrefix="1"/>
    <xf numFmtId="0" fontId="4" fillId="0" borderId="0" xfId="0" applyFont="1"/>
    <xf numFmtId="0" fontId="4" fillId="0" borderId="0" xfId="0" applyFont="1" applyAlignment="1">
      <alignment vertical="center"/>
    </xf>
    <xf numFmtId="0" fontId="6" fillId="0" borderId="0" xfId="0" applyFont="1"/>
    <xf numFmtId="0" fontId="5" fillId="2" borderId="2" xfId="0" applyFont="1" applyFill="1" applyBorder="1" applyAlignment="1">
      <alignment vertical="center"/>
    </xf>
    <xf numFmtId="0" fontId="4" fillId="2" borderId="2" xfId="0" applyFont="1" applyFill="1" applyBorder="1" applyAlignment="1">
      <alignment vertical="center"/>
    </xf>
    <xf numFmtId="0" fontId="4" fillId="0" borderId="1" xfId="0" applyFont="1" applyBorder="1"/>
    <xf numFmtId="0" fontId="10" fillId="2" borderId="2" xfId="0" applyFont="1" applyFill="1" applyBorder="1" applyAlignment="1">
      <alignment vertical="center"/>
    </xf>
    <xf numFmtId="0" fontId="9" fillId="3" borderId="1" xfId="0" applyFont="1" applyFill="1" applyBorder="1" applyAlignment="1">
      <alignment horizontal="center"/>
    </xf>
    <xf numFmtId="0" fontId="4" fillId="0" borderId="2" xfId="0" applyFont="1" applyBorder="1"/>
    <xf numFmtId="0" fontId="4" fillId="0" borderId="5" xfId="0" applyFont="1" applyBorder="1"/>
    <xf numFmtId="0" fontId="9" fillId="2" borderId="2" xfId="0" applyFont="1" applyFill="1" applyBorder="1" applyAlignment="1">
      <alignment horizontal="center"/>
    </xf>
    <xf numFmtId="0" fontId="4" fillId="0" borderId="0" xfId="0" applyFont="1" applyAlignment="1">
      <alignment horizontal="right"/>
    </xf>
    <xf numFmtId="10" fontId="4" fillId="0" borderId="0" xfId="1" applyNumberFormat="1" applyFont="1" applyAlignment="1">
      <alignment horizontal="right"/>
    </xf>
    <xf numFmtId="0" fontId="13" fillId="0" borderId="0" xfId="0" applyFont="1"/>
    <xf numFmtId="0" fontId="9" fillId="2" borderId="2" xfId="0" applyFont="1" applyFill="1" applyBorder="1" applyAlignment="1">
      <alignment horizontal="left"/>
    </xf>
    <xf numFmtId="0" fontId="8" fillId="3" borderId="1" xfId="0" applyFont="1" applyFill="1" applyBorder="1"/>
    <xf numFmtId="171" fontId="4" fillId="0" borderId="0" xfId="0" applyNumberFormat="1" applyFont="1"/>
    <xf numFmtId="0" fontId="6" fillId="0" borderId="5" xfId="0" applyFont="1" applyBorder="1"/>
    <xf numFmtId="0" fontId="9" fillId="0" borderId="0" xfId="0" applyFont="1"/>
    <xf numFmtId="0" fontId="9" fillId="2" borderId="2" xfId="0" applyFont="1" applyFill="1" applyBorder="1" applyAlignment="1">
      <alignment horizontal="right"/>
    </xf>
    <xf numFmtId="0" fontId="9" fillId="2" borderId="2" xfId="0" applyFont="1" applyFill="1" applyBorder="1" applyAlignment="1">
      <alignment horizontal="right" vertical="center"/>
    </xf>
    <xf numFmtId="0" fontId="11" fillId="0" borderId="0" xfId="0" applyFont="1"/>
    <xf numFmtId="167" fontId="8" fillId="0" borderId="0" xfId="0" applyNumberFormat="1" applyFont="1" applyAlignment="1">
      <alignment horizontal="right"/>
    </xf>
    <xf numFmtId="9" fontId="4" fillId="0" borderId="0" xfId="1" applyFont="1"/>
    <xf numFmtId="9" fontId="8" fillId="0" borderId="0" xfId="0" applyNumberFormat="1" applyFont="1" applyAlignment="1">
      <alignment horizontal="right"/>
    </xf>
    <xf numFmtId="0" fontId="7" fillId="0" borderId="0" xfId="0" applyFont="1"/>
    <xf numFmtId="0" fontId="7" fillId="0" borderId="0" xfId="0" applyFont="1" applyAlignment="1">
      <alignment horizontal="right"/>
    </xf>
    <xf numFmtId="0" fontId="7" fillId="0" borderId="0" xfId="0" applyFont="1" applyAlignment="1">
      <alignment horizontal="left"/>
    </xf>
    <xf numFmtId="0" fontId="16" fillId="6" borderId="0" xfId="0" applyFont="1" applyFill="1" applyAlignment="1">
      <alignment horizontal="left"/>
    </xf>
    <xf numFmtId="167" fontId="8" fillId="6" borderId="0" xfId="0" applyNumberFormat="1" applyFont="1" applyFill="1" applyAlignment="1">
      <alignment horizontal="right"/>
    </xf>
    <xf numFmtId="0" fontId="8" fillId="6" borderId="0" xfId="0" applyFont="1" applyFill="1" applyAlignment="1">
      <alignment horizontal="right"/>
    </xf>
    <xf numFmtId="6" fontId="8" fillId="6" borderId="0" xfId="0" applyNumberFormat="1" applyFont="1" applyFill="1" applyAlignment="1">
      <alignment horizontal="right"/>
    </xf>
    <xf numFmtId="0" fontId="16" fillId="0" borderId="0" xfId="0" applyFont="1" applyAlignment="1">
      <alignment horizontal="left"/>
    </xf>
    <xf numFmtId="0" fontId="8" fillId="0" borderId="0" xfId="0" applyFont="1" applyAlignment="1">
      <alignment horizontal="right"/>
    </xf>
    <xf numFmtId="6" fontId="8" fillId="0" borderId="0" xfId="0" applyNumberFormat="1" applyFont="1" applyAlignment="1">
      <alignment horizontal="right"/>
    </xf>
    <xf numFmtId="14" fontId="4" fillId="0" borderId="0" xfId="0" applyNumberFormat="1" applyFont="1"/>
    <xf numFmtId="0" fontId="8" fillId="6" borderId="0" xfId="0" applyFont="1" applyFill="1" applyAlignment="1">
      <alignment horizontal="left"/>
    </xf>
    <xf numFmtId="10" fontId="8" fillId="6" borderId="0" xfId="0" applyNumberFormat="1" applyFont="1" applyFill="1" applyAlignment="1">
      <alignment horizontal="right"/>
    </xf>
    <xf numFmtId="0" fontId="8" fillId="0" borderId="0" xfId="0" applyFont="1" applyAlignment="1">
      <alignment horizontal="left"/>
    </xf>
    <xf numFmtId="10" fontId="8" fillId="0" borderId="0" xfId="0" applyNumberFormat="1" applyFont="1" applyAlignment="1">
      <alignment horizontal="right"/>
    </xf>
    <xf numFmtId="0" fontId="4" fillId="0" borderId="0" xfId="0" quotePrefix="1" applyFont="1"/>
    <xf numFmtId="2" fontId="8" fillId="0" borderId="0" xfId="0" applyNumberFormat="1" applyFont="1" applyAlignment="1">
      <alignment horizontal="left"/>
    </xf>
    <xf numFmtId="10" fontId="8" fillId="0" borderId="0" xfId="0" applyNumberFormat="1" applyFont="1" applyAlignment="1">
      <alignment horizontal="left"/>
    </xf>
    <xf numFmtId="10" fontId="4" fillId="0" borderId="0" xfId="0" applyNumberFormat="1" applyFont="1"/>
    <xf numFmtId="0" fontId="8" fillId="0" borderId="0" xfId="0" applyFont="1" applyAlignment="1">
      <alignment horizontal="center"/>
    </xf>
    <xf numFmtId="0" fontId="8" fillId="6" borderId="0" xfId="0" applyFont="1" applyFill="1" applyAlignment="1">
      <alignment horizontal="center"/>
    </xf>
    <xf numFmtId="0" fontId="16" fillId="7" borderId="0" xfId="0" applyFont="1" applyFill="1" applyAlignment="1">
      <alignment horizontal="left"/>
    </xf>
    <xf numFmtId="10" fontId="8" fillId="7" borderId="0" xfId="0" applyNumberFormat="1" applyFont="1" applyFill="1" applyAlignment="1">
      <alignment horizontal="right"/>
    </xf>
    <xf numFmtId="0" fontId="8" fillId="7" borderId="0" xfId="0" applyFont="1" applyFill="1" applyAlignment="1">
      <alignment horizontal="right"/>
    </xf>
    <xf numFmtId="6" fontId="8" fillId="7" borderId="0" xfId="0" applyNumberFormat="1" applyFont="1" applyFill="1" applyAlignment="1">
      <alignment horizontal="right"/>
    </xf>
    <xf numFmtId="0" fontId="4" fillId="6" borderId="0" xfId="0" applyFont="1" applyFill="1" applyAlignment="1">
      <alignment horizontal="right"/>
    </xf>
    <xf numFmtId="0" fontId="17" fillId="6" borderId="0" xfId="0" applyFont="1" applyFill="1" applyAlignment="1">
      <alignment horizontal="right"/>
    </xf>
    <xf numFmtId="2" fontId="8" fillId="0" borderId="0" xfId="0" applyNumberFormat="1" applyFont="1" applyAlignment="1">
      <alignment horizontal="right"/>
    </xf>
    <xf numFmtId="0" fontId="4" fillId="0" borderId="0" xfId="0" applyFont="1" applyAlignment="1">
      <alignment vertical="top" wrapText="1"/>
    </xf>
    <xf numFmtId="0" fontId="4" fillId="0" borderId="0" xfId="0" applyFont="1" applyAlignment="1">
      <alignment wrapText="1"/>
    </xf>
    <xf numFmtId="0" fontId="8" fillId="0" borderId="0" xfId="0" applyFont="1" applyAlignment="1">
      <alignment vertical="top" wrapText="1"/>
    </xf>
    <xf numFmtId="0" fontId="8" fillId="0" borderId="0" xfId="0" applyFont="1"/>
    <xf numFmtId="0" fontId="8" fillId="0" borderId="0" xfId="0" applyFont="1" applyAlignment="1">
      <alignment wrapText="1"/>
    </xf>
    <xf numFmtId="0" fontId="8" fillId="0" borderId="0" xfId="0" applyFont="1" applyAlignment="1">
      <alignment vertical="top"/>
    </xf>
    <xf numFmtId="0" fontId="4" fillId="0" borderId="0" xfId="0" applyFont="1" applyAlignment="1">
      <alignment vertical="center" wrapText="1"/>
    </xf>
    <xf numFmtId="0" fontId="4" fillId="0" borderId="0" xfId="0" applyFont="1" applyAlignment="1">
      <alignment horizontal="left" vertical="center" wrapText="1"/>
    </xf>
    <xf numFmtId="0" fontId="18" fillId="0" borderId="0" xfId="0" applyFont="1" applyAlignment="1">
      <alignment vertical="top"/>
    </xf>
    <xf numFmtId="0" fontId="19" fillId="0" borderId="0" xfId="0" applyFont="1"/>
    <xf numFmtId="0" fontId="20" fillId="0" borderId="0" xfId="0" applyFont="1"/>
    <xf numFmtId="0" fontId="21" fillId="8" borderId="0" xfId="0" applyFont="1" applyFill="1"/>
    <xf numFmtId="0" fontId="4" fillId="0" borderId="0" xfId="0" applyFont="1" applyAlignment="1">
      <alignment vertical="top"/>
    </xf>
    <xf numFmtId="3" fontId="7" fillId="3" borderId="1" xfId="0" applyNumberFormat="1" applyFont="1" applyFill="1" applyBorder="1" applyAlignment="1">
      <alignment horizontal="right"/>
    </xf>
    <xf numFmtId="0" fontId="4" fillId="0" borderId="6" xfId="0" applyFont="1" applyBorder="1"/>
    <xf numFmtId="170" fontId="4" fillId="0" borderId="6" xfId="0" applyNumberFormat="1" applyFont="1" applyBorder="1"/>
    <xf numFmtId="166" fontId="4" fillId="0" borderId="0" xfId="0" applyNumberFormat="1" applyFont="1"/>
    <xf numFmtId="166" fontId="4" fillId="0" borderId="6" xfId="0" applyNumberFormat="1" applyFont="1" applyBorder="1"/>
    <xf numFmtId="167" fontId="4" fillId="0" borderId="0" xfId="1" applyNumberFormat="1" applyFont="1"/>
    <xf numFmtId="172" fontId="4" fillId="0" borderId="0" xfId="0" applyNumberFormat="1" applyFont="1" applyAlignment="1">
      <alignment horizontal="center"/>
    </xf>
    <xf numFmtId="2" fontId="0" fillId="0" borderId="0" xfId="0" applyNumberFormat="1"/>
    <xf numFmtId="9" fontId="4" fillId="0" borderId="0" xfId="0" applyNumberFormat="1" applyFont="1"/>
    <xf numFmtId="2" fontId="4" fillId="0" borderId="0" xfId="0" applyNumberFormat="1" applyFont="1"/>
    <xf numFmtId="2" fontId="6" fillId="0" borderId="5" xfId="0" applyNumberFormat="1" applyFont="1" applyBorder="1"/>
    <xf numFmtId="0" fontId="6" fillId="0" borderId="1" xfId="0" applyFont="1" applyBorder="1"/>
    <xf numFmtId="9" fontId="0" fillId="0" borderId="0" xfId="0" applyNumberFormat="1"/>
    <xf numFmtId="0" fontId="4" fillId="0" borderId="0" xfId="0" applyFont="1" applyAlignment="1">
      <alignment horizontal="center"/>
    </xf>
    <xf numFmtId="0" fontId="0" fillId="0" borderId="0" xfId="0" applyAlignment="1">
      <alignment horizontal="center"/>
    </xf>
    <xf numFmtId="173" fontId="0" fillId="0" borderId="0" xfId="0" applyNumberFormat="1"/>
    <xf numFmtId="9" fontId="0" fillId="0" borderId="0" xfId="1" applyFont="1"/>
    <xf numFmtId="167" fontId="0" fillId="0" borderId="0" xfId="1" applyNumberFormat="1" applyFont="1"/>
    <xf numFmtId="0" fontId="0" fillId="0" borderId="0" xfId="0" applyAlignment="1">
      <alignment horizontal="right"/>
    </xf>
    <xf numFmtId="9" fontId="23" fillId="0" borderId="0" xfId="0" applyNumberFormat="1" applyFont="1"/>
    <xf numFmtId="174" fontId="4" fillId="0" borderId="0" xfId="0" applyNumberFormat="1" applyFont="1"/>
    <xf numFmtId="0" fontId="15" fillId="0" borderId="0" xfId="0" applyFont="1" applyAlignment="1">
      <alignment horizontal="center" vertical="center"/>
    </xf>
    <xf numFmtId="0" fontId="15" fillId="0" borderId="0" xfId="0" applyFont="1" applyAlignment="1">
      <alignment horizontal="center"/>
    </xf>
    <xf numFmtId="165" fontId="14" fillId="0" borderId="0" xfId="0" applyNumberFormat="1" applyFont="1" applyAlignment="1">
      <alignment horizontal="center"/>
    </xf>
    <xf numFmtId="170" fontId="14" fillId="0" borderId="0" xfId="0" applyNumberFormat="1" applyFont="1" applyAlignment="1">
      <alignment horizontal="center"/>
    </xf>
    <xf numFmtId="165" fontId="15" fillId="0" borderId="0" xfId="0" applyNumberFormat="1" applyFont="1" applyAlignment="1">
      <alignment horizontal="center"/>
    </xf>
    <xf numFmtId="9" fontId="15" fillId="0" borderId="0" xfId="0" applyNumberFormat="1" applyFont="1"/>
    <xf numFmtId="9" fontId="8" fillId="0" borderId="0" xfId="0" applyNumberFormat="1" applyFont="1" applyAlignment="1">
      <alignment horizontal="center"/>
    </xf>
    <xf numFmtId="0" fontId="14" fillId="0" borderId="0" xfId="0" applyFont="1" applyAlignment="1">
      <alignment horizontal="center" vertical="center"/>
    </xf>
    <xf numFmtId="172" fontId="6" fillId="0" borderId="0" xfId="0" applyNumberFormat="1" applyFont="1" applyAlignment="1">
      <alignment horizontal="center"/>
    </xf>
    <xf numFmtId="0" fontId="9" fillId="5" borderId="1" xfId="0" applyFont="1" applyFill="1" applyBorder="1"/>
    <xf numFmtId="171" fontId="8" fillId="0" borderId="0" xfId="0" applyNumberFormat="1" applyFont="1" applyAlignment="1">
      <alignment horizontal="center"/>
    </xf>
    <xf numFmtId="5" fontId="4" fillId="0" borderId="0" xfId="0" applyNumberFormat="1" applyFont="1" applyAlignment="1">
      <alignment horizontal="center"/>
    </xf>
    <xf numFmtId="167" fontId="8" fillId="0" borderId="0" xfId="1" applyNumberFormat="1" applyFont="1" applyAlignment="1">
      <alignment horizontal="center"/>
    </xf>
    <xf numFmtId="0" fontId="4" fillId="0" borderId="0" xfId="0" applyFont="1" applyAlignment="1">
      <alignment horizontal="left" indent="1"/>
    </xf>
    <xf numFmtId="171" fontId="4" fillId="0" borderId="2" xfId="0" applyNumberFormat="1" applyFont="1" applyBorder="1"/>
    <xf numFmtId="9" fontId="6" fillId="0" borderId="5" xfId="1" applyFont="1" applyBorder="1" applyAlignment="1">
      <alignment horizontal="right"/>
    </xf>
    <xf numFmtId="9" fontId="6" fillId="0" borderId="0" xfId="1" applyFont="1" applyBorder="1" applyAlignment="1">
      <alignment horizontal="right"/>
    </xf>
    <xf numFmtId="0" fontId="0" fillId="0" borderId="1" xfId="0" applyBorder="1"/>
    <xf numFmtId="0" fontId="0" fillId="0" borderId="9" xfId="0" applyBorder="1"/>
    <xf numFmtId="0" fontId="0" fillId="0" borderId="10" xfId="0" applyBorder="1"/>
    <xf numFmtId="0" fontId="0" fillId="0" borderId="11" xfId="0" applyBorder="1"/>
    <xf numFmtId="0" fontId="0" fillId="0" borderId="12" xfId="0" applyBorder="1"/>
    <xf numFmtId="0" fontId="1" fillId="0" borderId="6" xfId="0" applyFont="1" applyBorder="1"/>
    <xf numFmtId="0" fontId="1" fillId="0" borderId="2" xfId="0" applyFont="1" applyBorder="1"/>
    <xf numFmtId="0" fontId="0" fillId="0" borderId="13" xfId="0" applyBorder="1"/>
    <xf numFmtId="165" fontId="0" fillId="0" borderId="0" xfId="0" applyNumberFormat="1"/>
    <xf numFmtId="0" fontId="0" fillId="0" borderId="7" xfId="0" applyBorder="1"/>
    <xf numFmtId="0" fontId="0" fillId="0" borderId="14" xfId="0" applyBorder="1"/>
    <xf numFmtId="0" fontId="0" fillId="0" borderId="8" xfId="0" applyBorder="1"/>
    <xf numFmtId="168" fontId="4" fillId="0" borderId="0" xfId="0" applyNumberFormat="1" applyFont="1"/>
    <xf numFmtId="169" fontId="4" fillId="0" borderId="0" xfId="0" applyNumberFormat="1" applyFont="1"/>
    <xf numFmtId="9" fontId="4" fillId="0" borderId="5" xfId="1" applyFont="1" applyBorder="1"/>
    <xf numFmtId="0" fontId="11" fillId="4" borderId="0" xfId="0" applyFont="1" applyFill="1" applyAlignment="1" applyProtection="1">
      <alignment horizontal="right"/>
      <protection locked="0"/>
    </xf>
    <xf numFmtId="0" fontId="9" fillId="2" borderId="2" xfId="0" applyFont="1" applyFill="1" applyBorder="1"/>
    <xf numFmtId="0" fontId="10" fillId="2" borderId="2" xfId="0" applyFont="1" applyFill="1" applyBorder="1"/>
    <xf numFmtId="0" fontId="9" fillId="2" borderId="4" xfId="0" applyFont="1" applyFill="1" applyBorder="1"/>
    <xf numFmtId="0" fontId="11" fillId="4" borderId="0" xfId="0" applyFont="1" applyFill="1" applyProtection="1">
      <protection locked="0"/>
    </xf>
    <xf numFmtId="9" fontId="8" fillId="0" borderId="0" xfId="0" applyNumberFormat="1" applyFont="1"/>
    <xf numFmtId="2" fontId="4" fillId="0" borderId="2" xfId="0" applyNumberFormat="1" applyFont="1" applyBorder="1"/>
    <xf numFmtId="170" fontId="4" fillId="0" borderId="0" xfId="0" applyNumberFormat="1" applyFont="1"/>
    <xf numFmtId="9" fontId="4" fillId="0" borderId="0" xfId="1" applyFont="1" applyAlignment="1"/>
    <xf numFmtId="0" fontId="4" fillId="0" borderId="3" xfId="0" applyFont="1" applyBorder="1"/>
    <xf numFmtId="164" fontId="8" fillId="0" borderId="1" xfId="0" applyNumberFormat="1" applyFont="1" applyBorder="1"/>
    <xf numFmtId="171" fontId="4" fillId="0" borderId="1" xfId="0" applyNumberFormat="1" applyFont="1" applyBorder="1"/>
    <xf numFmtId="166" fontId="6" fillId="0" borderId="1" xfId="0" applyNumberFormat="1" applyFont="1" applyBorder="1"/>
    <xf numFmtId="170" fontId="0" fillId="0" borderId="0" xfId="0" applyNumberFormat="1"/>
    <xf numFmtId="170" fontId="14" fillId="3" borderId="0" xfId="0" applyNumberFormat="1" applyFont="1" applyFill="1" applyAlignment="1">
      <alignment horizontal="center" vertical="center"/>
    </xf>
    <xf numFmtId="0" fontId="9" fillId="2" borderId="4" xfId="0" applyFont="1" applyFill="1" applyBorder="1" applyAlignment="1">
      <alignment horizontal="centerContinuous"/>
    </xf>
    <xf numFmtId="0" fontId="9" fillId="2" borderId="2" xfId="0" applyFont="1" applyFill="1" applyBorder="1" applyAlignment="1">
      <alignment horizontal="centerContinuous"/>
    </xf>
    <xf numFmtId="0" fontId="6" fillId="0" borderId="0" xfId="0" applyFont="1" applyAlignment="1">
      <alignment horizontal="left" vertical="center" indent="1"/>
    </xf>
    <xf numFmtId="0" fontId="6" fillId="0" borderId="1" xfId="0" applyFont="1" applyBorder="1" applyAlignment="1">
      <alignment horizontal="left" vertical="center" indent="1"/>
    </xf>
    <xf numFmtId="166" fontId="14" fillId="3" borderId="1" xfId="0" applyNumberFormat="1" applyFont="1" applyFill="1" applyBorder="1" applyAlignment="1">
      <alignment horizontal="center" vertical="center"/>
    </xf>
    <xf numFmtId="0" fontId="9" fillId="2" borderId="2" xfId="0" applyFont="1" applyFill="1" applyBorder="1" applyAlignment="1">
      <alignment horizontal="left" vertical="center"/>
    </xf>
    <xf numFmtId="0" fontId="9" fillId="2" borderId="2" xfId="0" applyFont="1" applyFill="1" applyBorder="1" applyAlignment="1">
      <alignment horizontal="center" vertical="center"/>
    </xf>
    <xf numFmtId="0" fontId="12" fillId="0" borderId="0" xfId="0" applyFont="1"/>
    <xf numFmtId="0" fontId="9" fillId="2" borderId="2" xfId="0" applyFont="1" applyFill="1" applyBorder="1" applyAlignment="1">
      <alignment horizontal="left" indent="1"/>
    </xf>
    <xf numFmtId="0" fontId="24" fillId="0" borderId="0" xfId="0" applyFont="1"/>
    <xf numFmtId="0" fontId="4" fillId="0" borderId="1" xfId="0" applyFont="1" applyBorder="1" applyAlignment="1">
      <alignment horizontal="left" indent="1"/>
    </xf>
    <xf numFmtId="0" fontId="4" fillId="0" borderId="15" xfId="0" applyFont="1" applyBorder="1"/>
    <xf numFmtId="0" fontId="4" fillId="0" borderId="16" xfId="0" applyFont="1" applyBorder="1"/>
    <xf numFmtId="9" fontId="8" fillId="0" borderId="1" xfId="1" applyFont="1" applyBorder="1" applyAlignment="1"/>
    <xf numFmtId="0" fontId="7" fillId="0" borderId="4" xfId="0" applyFont="1" applyBorder="1"/>
    <xf numFmtId="0" fontId="8" fillId="0" borderId="4" xfId="0" applyFont="1" applyBorder="1"/>
    <xf numFmtId="0" fontId="6" fillId="0" borderId="15" xfId="0" applyFont="1" applyBorder="1"/>
    <xf numFmtId="0" fontId="6" fillId="0" borderId="3" xfId="0" applyFont="1" applyBorder="1"/>
    <xf numFmtId="0" fontId="6" fillId="0" borderId="16" xfId="0" applyFont="1" applyBorder="1"/>
    <xf numFmtId="171" fontId="11" fillId="4" borderId="0" xfId="0" applyNumberFormat="1" applyFont="1" applyFill="1" applyProtection="1">
      <protection locked="0"/>
    </xf>
    <xf numFmtId="170" fontId="6" fillId="0" borderId="2" xfId="0" applyNumberFormat="1" applyFont="1" applyBorder="1"/>
    <xf numFmtId="171" fontId="8" fillId="0" borderId="0" xfId="0" applyNumberFormat="1" applyFont="1"/>
    <xf numFmtId="167" fontId="11" fillId="4" borderId="0" xfId="1" applyNumberFormat="1" applyFont="1" applyFill="1" applyAlignment="1"/>
    <xf numFmtId="0" fontId="10" fillId="2" borderId="17" xfId="0" applyFont="1" applyFill="1" applyBorder="1"/>
    <xf numFmtId="0" fontId="11" fillId="4" borderId="18" xfId="0" applyFont="1" applyFill="1" applyBorder="1" applyAlignment="1" applyProtection="1">
      <alignment horizontal="right"/>
      <protection locked="0"/>
    </xf>
    <xf numFmtId="0" fontId="11" fillId="4" borderId="19" xfId="0" applyFont="1" applyFill="1" applyBorder="1" applyAlignment="1" applyProtection="1">
      <alignment horizontal="right"/>
      <protection locked="0"/>
    </xf>
    <xf numFmtId="10" fontId="8" fillId="0" borderId="19" xfId="1" applyNumberFormat="1" applyFont="1" applyFill="1" applyBorder="1" applyAlignment="1"/>
    <xf numFmtId="9" fontId="11" fillId="4" borderId="19" xfId="0" applyNumberFormat="1" applyFont="1" applyFill="1" applyBorder="1" applyProtection="1">
      <protection locked="0"/>
    </xf>
    <xf numFmtId="175" fontId="11" fillId="4" borderId="19" xfId="0" applyNumberFormat="1" applyFont="1" applyFill="1" applyBorder="1" applyProtection="1">
      <protection locked="0"/>
    </xf>
    <xf numFmtId="10" fontId="11" fillId="4" borderId="19" xfId="1" applyNumberFormat="1" applyFont="1" applyFill="1" applyBorder="1" applyAlignment="1" applyProtection="1">
      <protection locked="0"/>
    </xf>
    <xf numFmtId="0" fontId="8" fillId="0" borderId="20" xfId="1" applyNumberFormat="1" applyFont="1" applyFill="1" applyBorder="1" applyAlignment="1"/>
    <xf numFmtId="0" fontId="9" fillId="2" borderId="17" xfId="0" applyFont="1" applyFill="1" applyBorder="1" applyAlignment="1">
      <alignment horizontal="right"/>
    </xf>
    <xf numFmtId="0" fontId="4" fillId="0" borderId="21" xfId="0" applyFont="1" applyBorder="1"/>
    <xf numFmtId="0" fontId="8" fillId="3" borderId="0" xfId="0" applyFont="1" applyFill="1"/>
    <xf numFmtId="0" fontId="9" fillId="3" borderId="0" xfId="0" applyFont="1" applyFill="1" applyAlignment="1">
      <alignment horizontal="center"/>
    </xf>
    <xf numFmtId="3" fontId="7" fillId="3" borderId="0" xfId="0" applyNumberFormat="1" applyFont="1" applyFill="1" applyAlignment="1">
      <alignment horizontal="right"/>
    </xf>
    <xf numFmtId="0" fontId="8" fillId="3" borderId="0" xfId="0" applyFont="1" applyFill="1" applyAlignment="1">
      <alignment horizontal="left" indent="1"/>
    </xf>
    <xf numFmtId="4" fontId="11" fillId="4" borderId="19" xfId="0" applyNumberFormat="1" applyFont="1" applyFill="1" applyBorder="1" applyProtection="1">
      <protection locked="0"/>
    </xf>
    <xf numFmtId="175" fontId="8" fillId="0" borderId="19" xfId="0" applyNumberFormat="1" applyFont="1" applyBorder="1" applyProtection="1">
      <protection locked="0"/>
    </xf>
    <xf numFmtId="176" fontId="11" fillId="4" borderId="19" xfId="0" applyNumberFormat="1" applyFont="1" applyFill="1" applyBorder="1" applyAlignment="1">
      <alignment horizontal="right"/>
    </xf>
    <xf numFmtId="176" fontId="11" fillId="4" borderId="20" xfId="0" applyNumberFormat="1" applyFont="1" applyFill="1" applyBorder="1" applyAlignment="1">
      <alignment horizontal="right"/>
    </xf>
    <xf numFmtId="0" fontId="11" fillId="4" borderId="19" xfId="0" applyFont="1" applyFill="1" applyBorder="1" applyProtection="1">
      <protection locked="0"/>
    </xf>
    <xf numFmtId="167" fontId="4" fillId="0" borderId="5" xfId="1" applyNumberFormat="1" applyFont="1" applyBorder="1"/>
    <xf numFmtId="0" fontId="4" fillId="0" borderId="22" xfId="0" applyFont="1" applyBorder="1"/>
    <xf numFmtId="177" fontId="11" fillId="4" borderId="19" xfId="0" applyNumberFormat="1" applyFont="1" applyFill="1" applyBorder="1" applyAlignment="1" applyProtection="1">
      <alignment horizontal="right"/>
      <protection locked="0"/>
    </xf>
    <xf numFmtId="178" fontId="11" fillId="4" borderId="19" xfId="0" applyNumberFormat="1" applyFont="1" applyFill="1" applyBorder="1" applyAlignment="1" applyProtection="1">
      <alignment horizontal="right"/>
      <protection locked="0"/>
    </xf>
    <xf numFmtId="179" fontId="11" fillId="4" borderId="19" xfId="1" applyNumberFormat="1" applyFont="1" applyFill="1" applyBorder="1" applyAlignment="1" applyProtection="1">
      <protection locked="0"/>
    </xf>
    <xf numFmtId="179" fontId="11" fillId="4" borderId="20" xfId="1" applyNumberFormat="1" applyFont="1" applyFill="1" applyBorder="1" applyAlignment="1" applyProtection="1">
      <protection locked="0"/>
    </xf>
    <xf numFmtId="0" fontId="4" fillId="0" borderId="0" xfId="0" applyFont="1" applyAlignment="1">
      <alignment vertical="center"/>
    </xf>
    <xf numFmtId="0" fontId="8" fillId="0" borderId="0" xfId="0" applyFont="1" applyAlignment="1">
      <alignment horizontal="left"/>
    </xf>
    <xf numFmtId="0" fontId="6" fillId="0" borderId="0" xfId="0" applyFont="1" applyAlignment="1">
      <alignment horizontal="left"/>
    </xf>
    <xf numFmtId="0" fontId="4" fillId="0" borderId="0" xfId="0" applyFont="1" applyAlignment="1">
      <alignment vertical="top" wrapText="1"/>
    </xf>
    <xf numFmtId="0" fontId="8" fillId="0" borderId="0" xfId="0" applyFont="1" applyAlignment="1">
      <alignment vertical="top"/>
    </xf>
    <xf numFmtId="0" fontId="8" fillId="0" borderId="0" xfId="0" applyFont="1"/>
    <xf numFmtId="0" fontId="4" fillId="0" borderId="0" xfId="0" applyFont="1"/>
  </cellXfs>
  <cellStyles count="3">
    <cellStyle name="Normal" xfId="0" builtinId="0"/>
    <cellStyle name="Normal 4 2" xfId="2" xr:uid="{A865FCFE-CEC1-418A-A141-3C9935625A7E}"/>
    <cellStyle name="Percent" xfId="1" builtinId="5"/>
  </cellStyles>
  <dxfs count="12">
    <dxf>
      <font>
        <color theme="9" tint="-0.499984740745262"/>
      </font>
      <fill>
        <patternFill>
          <bgColor theme="9" tint="0.79998168889431442"/>
        </patternFill>
      </fill>
    </dxf>
    <dxf>
      <font>
        <color theme="9" tint="-0.499984740745262"/>
      </font>
      <fill>
        <patternFill>
          <bgColor theme="9" tint="0.79998168889431442"/>
        </patternFill>
      </fill>
    </dxf>
    <dxf>
      <numFmt numFmtId="13" formatCode="0%"/>
    </dxf>
    <dxf>
      <numFmt numFmtId="165" formatCode="&quot;$&quot;#,##0.00"/>
    </dxf>
    <dxf>
      <numFmt numFmtId="13" formatCode="0%"/>
    </dxf>
    <dxf>
      <numFmt numFmtId="165" formatCode="&quot;$&quot;#,##0.00"/>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numFmt numFmtId="13" formatCode="0%"/>
    </dxf>
    <dxf>
      <numFmt numFmtId="166" formatCode="&quot;$&quot;#,##0.000"/>
    </dxf>
  </dxfs>
  <tableStyles count="0" defaultTableStyle="TableStyleMedium2" defaultPivotStyle="PivotStyleLight16"/>
  <colors>
    <mruColors>
      <color rgb="FF0000FF"/>
      <color rgb="FF4298B5"/>
      <color rgb="FF214D5A"/>
      <color rgb="FF54585A"/>
      <color rgb="FFC8102E"/>
      <color rgb="FF62993E"/>
      <color rgb="FF3B64AD"/>
      <color rgb="FFD26E2A"/>
      <color rgb="FF929292"/>
      <color rgb="FFE2A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styles" Target="styles.xml"/><Relationship Id="rId50" Type="http://schemas.microsoft.com/office/2017/10/relationships/person" Target="persons/person.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sharedStrings" Target="sharedStrings.xml"/><Relationship Id="rId8" Type="http://schemas.openxmlformats.org/officeDocument/2006/relationships/externalLink" Target="externalLinks/externalLink2.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theme" Target="theme/theme1.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Tax Credit Refund Cash Flow Comparison</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v>Investment Tax Credit</c:v>
          </c:tx>
          <c:spPr>
            <a:solidFill>
              <a:srgbClr val="4298B5"/>
            </a:solidFill>
            <a:ln w="6350">
              <a:solidFill>
                <a:schemeClr val="tx1"/>
              </a:solidFill>
            </a:ln>
            <a:effectLst/>
          </c:spPr>
          <c:invertIfNegative val="0"/>
          <c:cat>
            <c:numRef>
              <c:f>Lookup!$C$80:$L$80</c:f>
              <c:numCache>
                <c:formatCode>General</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Lookup!$C$81:$L$81</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B-3E87-42F7-97D7-BB4DDC539071}"/>
            </c:ext>
          </c:extLst>
        </c:ser>
        <c:ser>
          <c:idx val="1"/>
          <c:order val="1"/>
          <c:tx>
            <c:v>Production Tax Credit</c:v>
          </c:tx>
          <c:spPr>
            <a:solidFill>
              <a:srgbClr val="54585A"/>
            </a:solidFill>
            <a:ln w="6350">
              <a:solidFill>
                <a:schemeClr val="tx1"/>
              </a:solidFill>
            </a:ln>
            <a:effectLst/>
          </c:spPr>
          <c:invertIfNegative val="0"/>
          <c:cat>
            <c:numRef>
              <c:f>Lookup!$C$80:$L$80</c:f>
              <c:numCache>
                <c:formatCode>General</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Lookup!$C$82:$L$82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E-3E87-42F7-97D7-BB4DDC539071}"/>
            </c:ext>
          </c:extLst>
        </c:ser>
        <c:dLbls>
          <c:showLegendKey val="0"/>
          <c:showVal val="0"/>
          <c:showCatName val="0"/>
          <c:showSerName val="0"/>
          <c:showPercent val="0"/>
          <c:showBubbleSize val="0"/>
        </c:dLbls>
        <c:gapWidth val="30"/>
        <c:overlap val="-20"/>
        <c:axId val="1648244848"/>
        <c:axId val="1648254000"/>
      </c:barChart>
      <c:catAx>
        <c:axId val="16482448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48254000"/>
        <c:crosses val="autoZero"/>
        <c:auto val="1"/>
        <c:lblAlgn val="ctr"/>
        <c:lblOffset val="100"/>
        <c:noMultiLvlLbl val="0"/>
      </c:catAx>
      <c:valAx>
        <c:axId val="164825400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$/year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quot;$&quot;#,##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48244848"/>
        <c:crosses val="autoZero"/>
        <c:crossBetween val="between"/>
      </c:valAx>
      <c:spPr>
        <a:noFill/>
        <a:ln>
          <a:noFill/>
        </a:ln>
        <a:effectLst/>
      </c:spPr>
    </c:plotArea>
    <c:legend>
      <c:legendPos val="b"/>
      <c:layout>
        <c:manualLayout>
          <c:xMode val="edge"/>
          <c:yMode val="edge"/>
          <c:x val="0.21385788548276125"/>
          <c:y val="0.9010167866558958"/>
          <c:w val="0.56257530005351275"/>
          <c:h val="7.192571616259353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Net Present Value of Tax Credits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rgbClr val="4298B5"/>
            </a:solidFill>
            <a:ln>
              <a:solidFill>
                <a:sysClr val="windowText" lastClr="000000"/>
              </a:solidFill>
            </a:ln>
            <a:effectLst/>
          </c:spPr>
          <c:invertIfNegative val="0"/>
          <c:dPt>
            <c:idx val="1"/>
            <c:invertIfNegative val="0"/>
            <c:bubble3D val="0"/>
            <c:spPr>
              <a:solidFill>
                <a:srgbClr val="54585A"/>
              </a:solidFill>
              <a:ln>
                <a:solidFill>
                  <a:sysClr val="windowText" lastClr="000000"/>
                </a:solidFill>
              </a:ln>
              <a:effectLst/>
            </c:spPr>
            <c:extLst>
              <c:ext xmlns:c16="http://schemas.microsoft.com/office/drawing/2014/chart" uri="{C3380CC4-5D6E-409C-BE32-E72D297353CC}">
                <c16:uniqueId val="{00000001-F7D4-4EC9-BA16-368F21193B5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Calculator!$H$22:$I$22</c:f>
              <c:strCache>
                <c:ptCount val="2"/>
                <c:pt idx="0">
                  <c:v>Investment Tax Credit</c:v>
                </c:pt>
                <c:pt idx="1">
                  <c:v>Production Tax Credit</c:v>
                </c:pt>
              </c:strCache>
            </c:strRef>
          </c:cat>
          <c:val>
            <c:numRef>
              <c:f>Calculator!$H$23:$I$23</c:f>
              <c:numCache>
                <c:formatCode>"$"#,##0</c:formatCode>
                <c:ptCount val="2"/>
                <c:pt idx="0">
                  <c:v>0</c:v>
                </c:pt>
                <c:pt idx="1">
                  <c:v>0</c:v>
                </c:pt>
              </c:numCache>
            </c:numRef>
          </c:val>
          <c:extLst>
            <c:ext xmlns:c16="http://schemas.microsoft.com/office/drawing/2014/chart" uri="{C3380CC4-5D6E-409C-BE32-E72D297353CC}">
              <c16:uniqueId val="{00000002-F7D4-4EC9-BA16-368F21193B5E}"/>
            </c:ext>
          </c:extLst>
        </c:ser>
        <c:dLbls>
          <c:showLegendKey val="0"/>
          <c:showVal val="0"/>
          <c:showCatName val="0"/>
          <c:showSerName val="0"/>
          <c:showPercent val="0"/>
          <c:showBubbleSize val="0"/>
        </c:dLbls>
        <c:gapWidth val="100"/>
        <c:axId val="1692866319"/>
        <c:axId val="1692884623"/>
      </c:barChart>
      <c:catAx>
        <c:axId val="1692866319"/>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92884623"/>
        <c:crosses val="autoZero"/>
        <c:auto val="1"/>
        <c:lblAlgn val="ctr"/>
        <c:lblOffset val="100"/>
        <c:noMultiLvlLbl val="0"/>
      </c:catAx>
      <c:valAx>
        <c:axId val="1692884623"/>
        <c:scaling>
          <c:orientation val="minMax"/>
        </c:scaling>
        <c:delete val="0"/>
        <c:axPos val="l"/>
        <c:majorGridlines>
          <c:spPr>
            <a:ln w="9525" cap="flat" cmpd="sng" algn="ctr">
              <a:solidFill>
                <a:schemeClr val="tx1">
                  <a:lumMod val="15000"/>
                  <a:lumOff val="85000"/>
                </a:schemeClr>
              </a:solidFill>
              <a:round/>
            </a:ln>
            <a:effectLst/>
          </c:spPr>
        </c:majorGridlines>
        <c:title>
          <c:tx>
            <c:strRef>
              <c:f>Calculator!$H$12</c:f>
              <c:strCache>
                <c:ptCount val="1"/>
                <c:pt idx="0">
                  <c:v>PV (2023$)</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quot;$&quot;#,##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9286631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Effective</a:t>
            </a:r>
            <a:r>
              <a:rPr lang="en-US" baseline="0"/>
              <a:t> </a:t>
            </a:r>
            <a:r>
              <a:rPr lang="en-US"/>
              <a:t>NPV of Capital Costs by Scenario</a:t>
            </a:r>
          </a:p>
        </c:rich>
      </c:tx>
      <c:overlay val="0"/>
      <c:spPr>
        <a:noFill/>
        <a:ln>
          <a:noFill/>
        </a:ln>
        <a:effectLst/>
      </c:spPr>
    </c:title>
    <c:autoTitleDeleted val="0"/>
    <c:plotArea>
      <c:layout/>
      <c:barChart>
        <c:barDir val="col"/>
        <c:grouping val="clustered"/>
        <c:varyColors val="0"/>
        <c:ser>
          <c:idx val="0"/>
          <c:order val="0"/>
          <c:tx>
            <c:v>NPV</c:v>
          </c:tx>
          <c:spPr>
            <a:solidFill>
              <a:srgbClr val="4298B5"/>
            </a:solidFill>
            <a:ln w="6350">
              <a:solidFill>
                <a:schemeClr val="tx1"/>
              </a:solidFill>
            </a:ln>
          </c:spPr>
          <c:invertIfNegative val="0"/>
          <c:dLbls>
            <c:numFmt formatCode="&quot;$&quot;#,##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'Chart.Data'!$B$3:$B$5</c:f>
              <c:strCache>
                <c:ptCount val="3"/>
                <c:pt idx="0">
                  <c:v>No Credit</c:v>
                </c:pt>
                <c:pt idx="1">
                  <c:v>ITC</c:v>
                </c:pt>
                <c:pt idx="2">
                  <c:v>PTC</c:v>
                </c:pt>
              </c:strCache>
            </c:strRef>
          </c:cat>
          <c:val>
            <c:numRef>
              <c:f>('Chart.Data'!$D$11,'Chart.Data'!$F$11,'Chart.Data'!$H$11)</c:f>
              <c:numCache>
                <c:formatCode>"$"#,##0;\-"$"#,##0;\-</c:formatCode>
                <c:ptCount val="3"/>
                <c:pt idx="0">
                  <c:v>964270.86290395004</c:v>
                </c:pt>
                <c:pt idx="1">
                  <c:v>425341.81861866498</c:v>
                </c:pt>
                <c:pt idx="2">
                  <c:v>640558.28078889998</c:v>
                </c:pt>
              </c:numCache>
            </c:numRef>
          </c:val>
          <c:extLst>
            <c:ext xmlns:c16="http://schemas.microsoft.com/office/drawing/2014/chart" uri="{C3380CC4-5D6E-409C-BE32-E72D297353CC}">
              <c16:uniqueId val="{00000000-8E77-483C-8B24-A9326DEB5B69}"/>
            </c:ext>
          </c:extLst>
        </c:ser>
        <c:dLbls>
          <c:showLegendKey val="0"/>
          <c:showVal val="0"/>
          <c:showCatName val="0"/>
          <c:showSerName val="0"/>
          <c:showPercent val="0"/>
          <c:showBubbleSize val="0"/>
        </c:dLbls>
        <c:gapWidth val="219"/>
        <c:overlap val="-27"/>
        <c:axId val="1966656112"/>
        <c:axId val="1966661936"/>
      </c:barChart>
      <c:catAx>
        <c:axId val="19666561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966661936"/>
        <c:crosses val="autoZero"/>
        <c:auto val="1"/>
        <c:lblAlgn val="ctr"/>
        <c:lblOffset val="100"/>
        <c:noMultiLvlLbl val="0"/>
      </c:catAx>
      <c:valAx>
        <c:axId val="1966661936"/>
        <c:scaling>
          <c:orientation val="minMax"/>
        </c:scaling>
        <c:delete val="0"/>
        <c:axPos val="l"/>
        <c:numFmt formatCode="&quot;$&quot;#,##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966656112"/>
        <c:crosses val="autoZero"/>
        <c:crossBetween val="between"/>
        <c:dispUnits>
          <c:builtInUnit val="millions"/>
          <c:dispUnitsLbl/>
        </c:dispUnits>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Effective Capital Cost Reduction</a:t>
            </a:r>
          </a:p>
        </c:rich>
      </c:tx>
      <c:overlay val="0"/>
      <c:spPr>
        <a:noFill/>
        <a:ln>
          <a:noFill/>
        </a:ln>
        <a:effectLst/>
      </c:spPr>
    </c:title>
    <c:autoTitleDeleted val="0"/>
    <c:plotArea>
      <c:layout/>
      <c:barChart>
        <c:barDir val="col"/>
        <c:grouping val="stacked"/>
        <c:varyColors val="0"/>
        <c:ser>
          <c:idx val="5"/>
          <c:order val="0"/>
          <c:tx>
            <c:strRef>
              <c:f>'Chart.Data'!$B$23</c:f>
              <c:strCache>
                <c:ptCount val="1"/>
                <c:pt idx="0">
                  <c:v>Effective NPV of Financing Costs</c:v>
                </c:pt>
              </c:strCache>
            </c:strRef>
          </c:tx>
          <c:spPr>
            <a:ln w="6350">
              <a:solidFill>
                <a:schemeClr val="tx1"/>
              </a:solidFill>
            </a:ln>
          </c:spPr>
          <c:invertIfNegative val="0"/>
          <c:dLbls>
            <c:dLbl>
              <c:idx val="0"/>
              <c:layout>
                <c:manualLayout>
                  <c:x val="0.57091923587224425"/>
                  <c:y val="-6.5675137084843932E-2"/>
                </c:manualLayout>
              </c:layout>
              <c:showLegendKey val="0"/>
              <c:showVal val="0"/>
              <c:showCatName val="0"/>
              <c:showSerName val="1"/>
              <c:showPercent val="0"/>
              <c:showBubbleSize val="0"/>
              <c:extLst>
                <c:ext xmlns:c15="http://schemas.microsoft.com/office/drawing/2012/chart" uri="{CE6537A1-D6FC-4f65-9D91-7224C49458BB}">
                  <c15:layout>
                    <c:manualLayout>
                      <c:w val="0.37709584851367439"/>
                      <c:h val="0.10034222730320086"/>
                    </c:manualLayout>
                  </c15:layout>
                </c:ext>
                <c:ext xmlns:c16="http://schemas.microsoft.com/office/drawing/2014/chart" uri="{C3380CC4-5D6E-409C-BE32-E72D297353CC}">
                  <c16:uniqueId val="{0000000C-EA0A-4F0D-B842-E3C56501AFDE}"/>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Investment Tax Credit Savings</c:v>
              </c:pt>
            </c:strLit>
          </c:cat>
          <c:val>
            <c:numRef>
              <c:f>'Chart.Data'!$C$23</c:f>
              <c:numCache>
                <c:formatCode>"$"#,##0_);\("$"#,##0\)</c:formatCode>
                <c:ptCount val="1"/>
                <c:pt idx="0">
                  <c:v>459369.16410815797</c:v>
                </c:pt>
              </c:numCache>
            </c:numRef>
          </c:val>
          <c:extLst>
            <c:ext xmlns:c16="http://schemas.microsoft.com/office/drawing/2014/chart" uri="{C3380CC4-5D6E-409C-BE32-E72D297353CC}">
              <c16:uniqueId val="{0000000B-EA0A-4F0D-B842-E3C56501AFDE}"/>
            </c:ext>
          </c:extLst>
        </c:ser>
        <c:ser>
          <c:idx val="0"/>
          <c:order val="1"/>
          <c:tx>
            <c:strRef>
              <c:f>'Chart.Data'!$B$22</c:f>
              <c:strCache>
                <c:ptCount val="1"/>
                <c:pt idx="0">
                  <c:v>Less Energy Community Requirements</c:v>
                </c:pt>
              </c:strCache>
            </c:strRef>
          </c:tx>
          <c:spPr>
            <a:ln w="6350">
              <a:solidFill>
                <a:schemeClr val="tx1"/>
              </a:solidFill>
            </a:ln>
          </c:spPr>
          <c:invertIfNegative val="0"/>
          <c:dLbls>
            <c:dLbl>
              <c:idx val="0"/>
              <c:layout>
                <c:manualLayout>
                  <c:x val="0.43574148873478241"/>
                  <c:y val="-4.6907118438720375E-3"/>
                </c:manualLayout>
              </c:layout>
              <c:spPr>
                <a:noFill/>
                <a:ln>
                  <a:noFill/>
                </a:ln>
                <a:effectLst/>
              </c:spPr>
              <c:txPr>
                <a:bodyPr wrap="square" lIns="38100" tIns="19050" rIns="38100" bIns="19050" anchor="ctr">
                  <a:noAutofit/>
                </a:bodyPr>
                <a:lstStyle/>
                <a:p>
                  <a:pPr>
                    <a:defRPr sz="800"/>
                  </a:pPr>
                  <a:endParaRPr lang="en-US"/>
                </a:p>
              </c:txPr>
              <c:showLegendKey val="0"/>
              <c:showVal val="0"/>
              <c:showCatName val="0"/>
              <c:showSerName val="1"/>
              <c:showPercent val="0"/>
              <c:showBubbleSize val="0"/>
              <c:extLst>
                <c:ext xmlns:c15="http://schemas.microsoft.com/office/drawing/2012/chart" uri="{CE6537A1-D6FC-4f65-9D91-7224C49458BB}">
                  <c15:layout>
                    <c:manualLayout>
                      <c:w val="0.41889778564019847"/>
                      <c:h val="7.7801766727675345E-2"/>
                    </c:manualLayout>
                  </c15:layout>
                </c:ext>
                <c:ext xmlns:c16="http://schemas.microsoft.com/office/drawing/2014/chart" uri="{C3380CC4-5D6E-409C-BE32-E72D297353CC}">
                  <c16:uniqueId val="{00000009-EA0A-4F0D-B842-E3C56501AFDE}"/>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Investment Tax Credit Savings</c:v>
              </c:pt>
            </c:strLit>
          </c:cat>
          <c:val>
            <c:numRef>
              <c:f>'Chart.Data'!$D$22</c:f>
              <c:numCache>
                <c:formatCode>"$"#,##0;\-"$"#,##0;\-</c:formatCode>
                <c:ptCount val="1"/>
                <c:pt idx="0">
                  <c:v>100980.33975915902</c:v>
                </c:pt>
              </c:numCache>
            </c:numRef>
          </c:val>
          <c:extLst>
            <c:ext xmlns:c16="http://schemas.microsoft.com/office/drawing/2014/chart" uri="{C3380CC4-5D6E-409C-BE32-E72D297353CC}">
              <c16:uniqueId val="{00000000-EA0A-4F0D-B842-E3C56501AFDE}"/>
            </c:ext>
          </c:extLst>
        </c:ser>
        <c:ser>
          <c:idx val="1"/>
          <c:order val="2"/>
          <c:tx>
            <c:strRef>
              <c:f>'Chart.Data'!$B$21</c:f>
              <c:strCache>
                <c:ptCount val="1"/>
                <c:pt idx="0">
                  <c:v>Less Domestic Content Requirements</c:v>
                </c:pt>
              </c:strCache>
            </c:strRef>
          </c:tx>
          <c:spPr>
            <a:ln w="6350">
              <a:solidFill>
                <a:schemeClr val="tx1"/>
              </a:solidFill>
            </a:ln>
          </c:spPr>
          <c:invertIfNegative val="0"/>
          <c:dLbls>
            <c:dLbl>
              <c:idx val="0"/>
              <c:layout>
                <c:manualLayout>
                  <c:x val="0.33519256458313773"/>
                  <c:y val="3.9316431897136036E-3"/>
                </c:manualLayout>
              </c:layout>
              <c:spPr>
                <a:noFill/>
                <a:ln>
                  <a:noFill/>
                </a:ln>
                <a:effectLst/>
              </c:spPr>
              <c:txPr>
                <a:bodyPr rot="0" vert="horz" wrap="square" lIns="38100" tIns="19050" rIns="38100" bIns="19050" anchor="ctr">
                  <a:noAutofit/>
                </a:bodyPr>
                <a:lstStyle/>
                <a:p>
                  <a:pPr>
                    <a:defRPr sz="800"/>
                  </a:pPr>
                  <a:endParaRPr lang="en-US"/>
                </a:p>
              </c:txPr>
              <c:dLblPos val="ctr"/>
              <c:showLegendKey val="0"/>
              <c:showVal val="0"/>
              <c:showCatName val="0"/>
              <c:showSerName val="1"/>
              <c:showPercent val="0"/>
              <c:showBubbleSize val="0"/>
              <c:extLst>
                <c:ext xmlns:c15="http://schemas.microsoft.com/office/drawing/2012/chart" uri="{CE6537A1-D6FC-4f65-9D91-7224C49458BB}">
                  <c15:layout>
                    <c:manualLayout>
                      <c:w val="0.40868438048938288"/>
                      <c:h val="9.6566091609059324E-2"/>
                    </c:manualLayout>
                  </c15:layout>
                </c:ext>
                <c:ext xmlns:c16="http://schemas.microsoft.com/office/drawing/2014/chart" uri="{C3380CC4-5D6E-409C-BE32-E72D297353CC}">
                  <c16:uniqueId val="{00000008-EA0A-4F0D-B842-E3C56501AFDE}"/>
                </c:ext>
              </c:extLst>
            </c:dLbl>
            <c:spPr>
              <a:noFill/>
              <a:ln>
                <a:noFill/>
              </a:ln>
              <a:effectLst/>
            </c:spPr>
            <c:txPr>
              <a:bodyPr rot="-5400000" vert="horz" wrap="square" lIns="38100" tIns="19050" rIns="38100" bIns="19050" anchor="ctr">
                <a:spAutoFit/>
              </a:bodyPr>
              <a:lstStyle/>
              <a:p>
                <a:pPr>
                  <a:defRPr sz="800"/>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Investment Tax Credit Savings</c:v>
              </c:pt>
            </c:strLit>
          </c:cat>
          <c:val>
            <c:numRef>
              <c:f>'Chart.Data'!$D$21</c:f>
              <c:numCache>
                <c:formatCode>"$"#,##0;\-"$"#,##0;\-</c:formatCode>
                <c:ptCount val="1"/>
                <c:pt idx="0">
                  <c:v>100980.33975915797</c:v>
                </c:pt>
              </c:numCache>
            </c:numRef>
          </c:val>
          <c:extLst>
            <c:ext xmlns:c16="http://schemas.microsoft.com/office/drawing/2014/chart" uri="{C3380CC4-5D6E-409C-BE32-E72D297353CC}">
              <c16:uniqueId val="{00000001-EA0A-4F0D-B842-E3C56501AFDE}"/>
            </c:ext>
          </c:extLst>
        </c:ser>
        <c:ser>
          <c:idx val="2"/>
          <c:order val="3"/>
          <c:tx>
            <c:strRef>
              <c:f>'Chart.Data'!$B$20</c:f>
              <c:strCache>
                <c:ptCount val="1"/>
                <c:pt idx="0">
                  <c:v>Less Prevailing Wage Requirements</c:v>
                </c:pt>
              </c:strCache>
            </c:strRef>
          </c:tx>
          <c:spPr>
            <a:ln w="6350">
              <a:solidFill>
                <a:schemeClr val="tx1"/>
              </a:solidFill>
            </a:ln>
          </c:spPr>
          <c:invertIfNegative val="0"/>
          <c:dLbls>
            <c:dLbl>
              <c:idx val="0"/>
              <c:layout>
                <c:manualLayout>
                  <c:x val="0.30136037724538028"/>
                  <c:y val="-3.7593290645725483E-3"/>
                </c:manualLayout>
              </c:layout>
              <c:spPr>
                <a:noFill/>
                <a:ln>
                  <a:noFill/>
                </a:ln>
                <a:effectLst/>
              </c:spPr>
              <c:txPr>
                <a:bodyPr rot="0" vert="horz" wrap="square" lIns="38100" tIns="19050" rIns="38100" bIns="19050" anchor="ctr">
                  <a:spAutoFit/>
                </a:bodyPr>
                <a:lstStyle/>
                <a:p>
                  <a:pPr>
                    <a:defRPr sz="800"/>
                  </a:pPr>
                  <a:endParaRPr lang="en-US"/>
                </a:p>
              </c:txPr>
              <c:dLblPos val="ctr"/>
              <c:showLegendKey val="0"/>
              <c:showVal val="0"/>
              <c:showCatName val="0"/>
              <c:showSerName val="1"/>
              <c:showPercent val="0"/>
              <c:showBubbleSize val="0"/>
              <c:extLst>
                <c:ext xmlns:c15="http://schemas.microsoft.com/office/drawing/2012/chart" uri="{CE6537A1-D6FC-4f65-9D91-7224C49458BB}">
                  <c15:layout>
                    <c:manualLayout>
                      <c:w val="0.24205032728457301"/>
                      <c:h val="0.14347690381251926"/>
                    </c:manualLayout>
                  </c15:layout>
                </c:ext>
                <c:ext xmlns:c16="http://schemas.microsoft.com/office/drawing/2014/chart" uri="{C3380CC4-5D6E-409C-BE32-E72D297353CC}">
                  <c16:uniqueId val="{00000007-EA0A-4F0D-B842-E3C56501AFDE}"/>
                </c:ext>
              </c:extLst>
            </c:dLbl>
            <c:spPr>
              <a:noFill/>
              <a:ln>
                <a:noFill/>
              </a:ln>
              <a:effectLst/>
            </c:spPr>
            <c:txPr>
              <a:bodyPr rot="-5400000" vert="horz" wrap="square" lIns="38100" tIns="19050" rIns="38100" bIns="19050" anchor="ctr">
                <a:spAutoFit/>
              </a:bodyPr>
              <a:lstStyle/>
              <a:p>
                <a:pPr>
                  <a:defRPr sz="800"/>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Investment Tax Credit Savings</c:v>
              </c:pt>
            </c:strLit>
          </c:cat>
          <c:val>
            <c:numRef>
              <c:f>'Chart.Data'!$D$20</c:f>
              <c:numCache>
                <c:formatCode>"$"#,##0;\-"$"#,##0;\-</c:formatCode>
                <c:ptCount val="1"/>
                <c:pt idx="0">
                  <c:v>242352.81542197999</c:v>
                </c:pt>
              </c:numCache>
            </c:numRef>
          </c:val>
          <c:extLst>
            <c:ext xmlns:c16="http://schemas.microsoft.com/office/drawing/2014/chart" uri="{C3380CC4-5D6E-409C-BE32-E72D297353CC}">
              <c16:uniqueId val="{00000002-EA0A-4F0D-B842-E3C56501AFDE}"/>
            </c:ext>
          </c:extLst>
        </c:ser>
        <c:ser>
          <c:idx val="3"/>
          <c:order val="4"/>
          <c:tx>
            <c:strRef>
              <c:f>'Chart.Data'!$B$19</c:f>
              <c:strCache>
                <c:ptCount val="1"/>
                <c:pt idx="0">
                  <c:v>Less Base Credit</c:v>
                </c:pt>
              </c:strCache>
            </c:strRef>
          </c:tx>
          <c:spPr>
            <a:ln w="6350">
              <a:solidFill>
                <a:schemeClr val="tx1"/>
              </a:solidFill>
            </a:ln>
          </c:spPr>
          <c:invertIfNegative val="0"/>
          <c:dLbls>
            <c:dLbl>
              <c:idx val="0"/>
              <c:layout>
                <c:manualLayout>
                  <c:x val="0.21260342520526687"/>
                  <c:y val="-4.6910812203460163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EA0A-4F0D-B842-E3C56501AFDE}"/>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Investment Tax Credit Savings</c:v>
              </c:pt>
            </c:strLit>
          </c:cat>
          <c:val>
            <c:numRef>
              <c:f>'Chart.Data'!$D$19</c:f>
              <c:numCache>
                <c:formatCode>"$"#,##0;\-"$"#,##0;\-</c:formatCode>
                <c:ptCount val="1"/>
                <c:pt idx="0">
                  <c:v>60588.203855495085</c:v>
                </c:pt>
              </c:numCache>
            </c:numRef>
          </c:val>
          <c:extLst>
            <c:ext xmlns:c16="http://schemas.microsoft.com/office/drawing/2014/chart" uri="{C3380CC4-5D6E-409C-BE32-E72D297353CC}">
              <c16:uniqueId val="{00000003-EA0A-4F0D-B842-E3C56501AFDE}"/>
            </c:ext>
          </c:extLst>
        </c:ser>
        <c:ser>
          <c:idx val="4"/>
          <c:order val="5"/>
          <c:tx>
            <c:strRef>
              <c:f>'Chart.Data'!$B$18</c:f>
              <c:strCache>
                <c:ptCount val="1"/>
                <c:pt idx="0">
                  <c:v>NPV of Financing Costs</c:v>
                </c:pt>
              </c:strCache>
            </c:strRef>
          </c:tx>
          <c:invertIfNegative val="0"/>
          <c:dLbls>
            <c:dLbl>
              <c:idx val="0"/>
              <c:layout>
                <c:manualLayout>
                  <c:x val="6.8355591549757774E-2"/>
                  <c:y val="-5.1601893423805931E-2"/>
                </c:manualLayout>
              </c:layout>
              <c:dLblPos val="ctr"/>
              <c:showLegendKey val="0"/>
              <c:showVal val="0"/>
              <c:showCatName val="0"/>
              <c:showSerName val="1"/>
              <c:showPercent val="0"/>
              <c:showBubbleSize val="0"/>
              <c:extLst>
                <c:ext xmlns:c15="http://schemas.microsoft.com/office/drawing/2012/chart" uri="{CE6537A1-D6FC-4f65-9D91-7224C49458BB}">
                  <c15:layout>
                    <c:manualLayout>
                      <c:w val="0.26244863379757555"/>
                      <c:h val="0.10034222730320086"/>
                    </c:manualLayout>
                  </c15:layout>
                </c:ext>
                <c:ext xmlns:c16="http://schemas.microsoft.com/office/drawing/2014/chart" uri="{C3380CC4-5D6E-409C-BE32-E72D297353CC}">
                  <c16:uniqueId val="{00000005-EA0A-4F0D-B842-E3C56501AFDE}"/>
                </c:ext>
              </c:extLst>
            </c:dLbl>
            <c:spPr>
              <a:noFill/>
              <a:ln>
                <a:noFill/>
              </a:ln>
              <a:effectLst/>
            </c:spPr>
            <c:txPr>
              <a:bodyPr rot="0" vert="horz" wrap="square" lIns="38100" tIns="19050" rIns="38100" bIns="19050" anchor="ctr">
                <a:spAutoFit/>
              </a:bodyPr>
              <a:lstStyle/>
              <a:p>
                <a:pPr>
                  <a:defRPr sz="800"/>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Investment Tax Credit Savings</c:v>
              </c:pt>
            </c:strLit>
          </c:cat>
          <c:val>
            <c:numRef>
              <c:f>'Chart.Data'!$D$18</c:f>
              <c:numCache>
                <c:formatCode>"$"#,##0;\-"$"#,##0;\-</c:formatCode>
                <c:ptCount val="1"/>
                <c:pt idx="0">
                  <c:v>0</c:v>
                </c:pt>
              </c:numCache>
            </c:numRef>
          </c:val>
          <c:extLst>
            <c:ext xmlns:c16="http://schemas.microsoft.com/office/drawing/2014/chart" uri="{C3380CC4-5D6E-409C-BE32-E72D297353CC}">
              <c16:uniqueId val="{00000004-EA0A-4F0D-B842-E3C56501AFDE}"/>
            </c:ext>
          </c:extLst>
        </c:ser>
        <c:dLbls>
          <c:showLegendKey val="0"/>
          <c:showVal val="0"/>
          <c:showCatName val="0"/>
          <c:showSerName val="0"/>
          <c:showPercent val="0"/>
          <c:showBubbleSize val="0"/>
        </c:dLbls>
        <c:gapWidth val="219"/>
        <c:axId val="1966656112"/>
        <c:axId val="1966661936"/>
      </c:barChart>
      <c:catAx>
        <c:axId val="1966656112"/>
        <c:scaling>
          <c:orientation val="maxMin"/>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966661936"/>
        <c:crosses val="autoZero"/>
        <c:auto val="1"/>
        <c:lblAlgn val="ctr"/>
        <c:lblOffset val="100"/>
        <c:noMultiLvlLbl val="0"/>
      </c:catAx>
      <c:valAx>
        <c:axId val="1966661936"/>
        <c:scaling>
          <c:orientation val="minMax"/>
          <c:max val="1000000"/>
        </c:scaling>
        <c:delete val="0"/>
        <c:axPos val="r"/>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966656112"/>
        <c:crosses val="autoZero"/>
        <c:crossBetween val="between"/>
        <c:majorUnit val="1000000"/>
        <c:dispUnits>
          <c:builtInUnit val="millions"/>
        </c:dispUnits>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Effective Capital</a:t>
            </a:r>
            <a:r>
              <a:rPr lang="en-US" baseline="0"/>
              <a:t> Cost</a:t>
            </a:r>
            <a:r>
              <a:rPr lang="en-US"/>
              <a:t> Reduction</a:t>
            </a:r>
          </a:p>
        </c:rich>
      </c:tx>
      <c:overlay val="0"/>
      <c:spPr>
        <a:noFill/>
        <a:ln>
          <a:noFill/>
        </a:ln>
        <a:effectLst/>
      </c:spPr>
    </c:title>
    <c:autoTitleDeleted val="0"/>
    <c:plotArea>
      <c:layout/>
      <c:barChart>
        <c:barDir val="col"/>
        <c:grouping val="stacked"/>
        <c:varyColors val="0"/>
        <c:ser>
          <c:idx val="5"/>
          <c:order val="0"/>
          <c:tx>
            <c:strRef>
              <c:f>'Chart.Data'!$B$23</c:f>
              <c:strCache>
                <c:ptCount val="1"/>
                <c:pt idx="0">
                  <c:v>Effective NPV of Financing Costs</c:v>
                </c:pt>
              </c:strCache>
            </c:strRef>
          </c:tx>
          <c:spPr>
            <a:solidFill>
              <a:srgbClr val="62993E"/>
            </a:solidFill>
            <a:ln>
              <a:solidFill>
                <a:sysClr val="windowText" lastClr="000000"/>
              </a:solidFill>
            </a:ln>
          </c:spPr>
          <c:invertIfNegative val="0"/>
          <c:dLbls>
            <c:dLbl>
              <c:idx val="0"/>
              <c:layout>
                <c:manualLayout>
                  <c:x val="0.57747318438218609"/>
                  <c:y val="-1.8764324881383979E-2"/>
                </c:manualLayout>
              </c:layout>
              <c:spPr>
                <a:noFill/>
                <a:ln>
                  <a:noFill/>
                </a:ln>
                <a:effectLst/>
              </c:spPr>
              <c:txPr>
                <a:bodyPr wrap="square" lIns="38100" tIns="19050" rIns="38100" bIns="19050" anchor="ctr">
                  <a:noAutofit/>
                </a:bodyPr>
                <a:lstStyle/>
                <a:p>
                  <a:pPr>
                    <a:defRPr sz="800"/>
                  </a:pPr>
                  <a:endParaRPr lang="en-US"/>
                </a:p>
              </c:txPr>
              <c:showLegendKey val="0"/>
              <c:showVal val="0"/>
              <c:showCatName val="0"/>
              <c:showSerName val="1"/>
              <c:showPercent val="0"/>
              <c:showBubbleSize val="0"/>
              <c:extLst>
                <c:ext xmlns:c15="http://schemas.microsoft.com/office/drawing/2012/chart" uri="{CE6537A1-D6FC-4f65-9D91-7224C49458BB}">
                  <c15:layout>
                    <c:manualLayout>
                      <c:w val="0.3627308439270529"/>
                      <c:h val="7.6886821201470862E-2"/>
                    </c:manualLayout>
                  </c15:layout>
                </c:ext>
                <c:ext xmlns:c16="http://schemas.microsoft.com/office/drawing/2014/chart" uri="{C3380CC4-5D6E-409C-BE32-E72D297353CC}">
                  <c16:uniqueId val="{00000000-6D58-4284-AAB5-05F036AD4ECD}"/>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Investment Tax Credit Savings</c:v>
              </c:pt>
            </c:strLit>
          </c:cat>
          <c:val>
            <c:numRef>
              <c:f>'Chart.Data'!$C$33</c:f>
              <c:numCache>
                <c:formatCode>"$"#,##0_);\("$"#,##0\)</c:formatCode>
                <c:ptCount val="1"/>
                <c:pt idx="0">
                  <c:v>370268.86432066601</c:v>
                </c:pt>
              </c:numCache>
            </c:numRef>
          </c:val>
          <c:extLst>
            <c:ext xmlns:c16="http://schemas.microsoft.com/office/drawing/2014/chart" uri="{C3380CC4-5D6E-409C-BE32-E72D297353CC}">
              <c16:uniqueId val="{00000001-6D58-4284-AAB5-05F036AD4ECD}"/>
            </c:ext>
          </c:extLst>
        </c:ser>
        <c:ser>
          <c:idx val="0"/>
          <c:order val="1"/>
          <c:tx>
            <c:strRef>
              <c:f>'Chart.Data'!$B$22</c:f>
              <c:strCache>
                <c:ptCount val="1"/>
                <c:pt idx="0">
                  <c:v>Less Energy Community Requirements</c:v>
                </c:pt>
              </c:strCache>
            </c:strRef>
          </c:tx>
          <c:spPr>
            <a:solidFill>
              <a:srgbClr val="3B64AD"/>
            </a:solidFill>
            <a:ln>
              <a:solidFill>
                <a:sysClr val="windowText" lastClr="000000"/>
              </a:solidFill>
            </a:ln>
          </c:spPr>
          <c:invertIfNegative val="0"/>
          <c:dLbls>
            <c:dLbl>
              <c:idx val="0"/>
              <c:layout>
                <c:manualLayout>
                  <c:x val="0.43956947968143623"/>
                  <c:y val="9.3821624406919043E-3"/>
                </c:manualLayout>
              </c:layout>
              <c:spPr>
                <a:noFill/>
                <a:ln>
                  <a:noFill/>
                </a:ln>
                <a:effectLst/>
              </c:spPr>
              <c:txPr>
                <a:bodyPr wrap="square" lIns="38100" tIns="19050" rIns="38100" bIns="19050" anchor="ctr">
                  <a:noAutofit/>
                </a:bodyPr>
                <a:lstStyle/>
                <a:p>
                  <a:pPr>
                    <a:defRPr sz="800"/>
                  </a:pPr>
                  <a:endParaRPr lang="en-US"/>
                </a:p>
              </c:txPr>
              <c:showLegendKey val="0"/>
              <c:showVal val="0"/>
              <c:showCatName val="0"/>
              <c:showSerName val="1"/>
              <c:showPercent val="0"/>
              <c:showBubbleSize val="0"/>
              <c:extLst>
                <c:ext xmlns:c15="http://schemas.microsoft.com/office/drawing/2012/chart" uri="{CE6537A1-D6FC-4f65-9D91-7224C49458BB}">
                  <c15:layout>
                    <c:manualLayout>
                      <c:w val="0.43038978930949567"/>
                      <c:h val="8.7183929168367341E-2"/>
                    </c:manualLayout>
                  </c15:layout>
                </c:ext>
                <c:ext xmlns:c16="http://schemas.microsoft.com/office/drawing/2014/chart" uri="{C3380CC4-5D6E-409C-BE32-E72D297353CC}">
                  <c16:uniqueId val="{00000002-6D58-4284-AAB5-05F036AD4ECD}"/>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Investment Tax Credit Savings</c:v>
              </c:pt>
            </c:strLit>
          </c:cat>
          <c:val>
            <c:numRef>
              <c:f>'Chart.Data'!$D$32</c:f>
              <c:numCache>
                <c:formatCode>"$"#,##0;\-"$"#,##0;\-</c:formatCode>
                <c:ptCount val="1"/>
                <c:pt idx="0">
                  <c:v>118800.399716657</c:v>
                </c:pt>
              </c:numCache>
            </c:numRef>
          </c:val>
          <c:extLst>
            <c:ext xmlns:c16="http://schemas.microsoft.com/office/drawing/2014/chart" uri="{C3380CC4-5D6E-409C-BE32-E72D297353CC}">
              <c16:uniqueId val="{00000003-6D58-4284-AAB5-05F036AD4ECD}"/>
            </c:ext>
          </c:extLst>
        </c:ser>
        <c:ser>
          <c:idx val="1"/>
          <c:order val="2"/>
          <c:tx>
            <c:strRef>
              <c:f>'Chart.Data'!$B$21</c:f>
              <c:strCache>
                <c:ptCount val="1"/>
                <c:pt idx="0">
                  <c:v>Less Domestic Content Requirements</c:v>
                </c:pt>
              </c:strCache>
            </c:strRef>
          </c:tx>
          <c:spPr>
            <a:solidFill>
              <a:srgbClr val="D26E2A"/>
            </a:solidFill>
            <a:ln>
              <a:solidFill>
                <a:sysClr val="windowText" lastClr="000000"/>
              </a:solidFill>
            </a:ln>
          </c:spPr>
          <c:invertIfNegative val="0"/>
          <c:dLbls>
            <c:dLbl>
              <c:idx val="0"/>
              <c:layout>
                <c:manualLayout>
                  <c:x val="0.3275219914646989"/>
                  <c:y val="4.6910812203459946E-3"/>
                </c:manualLayout>
              </c:layout>
              <c:spPr>
                <a:noFill/>
                <a:ln>
                  <a:noFill/>
                </a:ln>
                <a:effectLst/>
              </c:spPr>
              <c:txPr>
                <a:bodyPr wrap="square" lIns="38100" tIns="19050" rIns="38100" bIns="19050" anchor="ctr">
                  <a:noAutofit/>
                </a:bodyPr>
                <a:lstStyle/>
                <a:p>
                  <a:pPr>
                    <a:defRPr sz="800"/>
                  </a:pPr>
                  <a:endParaRPr lang="en-US"/>
                </a:p>
              </c:txPr>
              <c:showLegendKey val="0"/>
              <c:showVal val="0"/>
              <c:showCatName val="0"/>
              <c:showSerName val="1"/>
              <c:showPercent val="0"/>
              <c:showBubbleSize val="0"/>
              <c:extLst>
                <c:ext xmlns:c15="http://schemas.microsoft.com/office/drawing/2012/chart" uri="{CE6537A1-D6FC-4f65-9D91-7224C49458BB}">
                  <c15:layout>
                    <c:manualLayout>
                      <c:w val="0.41217496349365956"/>
                      <c:h val="0.10125717282940533"/>
                    </c:manualLayout>
                  </c15:layout>
                </c:ext>
                <c:ext xmlns:c16="http://schemas.microsoft.com/office/drawing/2014/chart" uri="{C3380CC4-5D6E-409C-BE32-E72D297353CC}">
                  <c16:uniqueId val="{00000004-6D58-4284-AAB5-05F036AD4ECD}"/>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Investment Tax Credit Savings</c:v>
              </c:pt>
            </c:strLit>
          </c:cat>
          <c:val>
            <c:numRef>
              <c:f>'Chart.Data'!$D$31</c:f>
              <c:numCache>
                <c:formatCode>"$"#,##0;\-"$"#,##0;\-</c:formatCode>
                <c:ptCount val="1"/>
                <c:pt idx="0">
                  <c:v>118800.39971665601</c:v>
                </c:pt>
              </c:numCache>
            </c:numRef>
          </c:val>
          <c:extLst>
            <c:ext xmlns:c16="http://schemas.microsoft.com/office/drawing/2014/chart" uri="{C3380CC4-5D6E-409C-BE32-E72D297353CC}">
              <c16:uniqueId val="{00000005-6D58-4284-AAB5-05F036AD4ECD}"/>
            </c:ext>
          </c:extLst>
        </c:ser>
        <c:ser>
          <c:idx val="2"/>
          <c:order val="3"/>
          <c:tx>
            <c:strRef>
              <c:f>'Chart.Data'!$B$20</c:f>
              <c:strCache>
                <c:ptCount val="1"/>
                <c:pt idx="0">
                  <c:v>Less Prevailing Wage Requirements</c:v>
                </c:pt>
              </c:strCache>
            </c:strRef>
          </c:tx>
          <c:spPr>
            <a:solidFill>
              <a:srgbClr val="929292"/>
            </a:solidFill>
            <a:ln>
              <a:solidFill>
                <a:sysClr val="windowText" lastClr="000000"/>
              </a:solidFill>
            </a:ln>
          </c:spPr>
          <c:invertIfNegative val="0"/>
          <c:dLbls>
            <c:dLbl>
              <c:idx val="0"/>
              <c:layout>
                <c:manualLayout>
                  <c:x val="0.30166690608340979"/>
                  <c:y val="2.3455406101729973E-3"/>
                </c:manualLayout>
              </c:layout>
              <c:spPr>
                <a:noFill/>
                <a:ln>
                  <a:noFill/>
                </a:ln>
                <a:effectLst/>
              </c:spPr>
              <c:txPr>
                <a:bodyPr wrap="square" lIns="38100" tIns="19050" rIns="38100" bIns="19050" anchor="ctr">
                  <a:noAutofit/>
                </a:bodyPr>
                <a:lstStyle/>
                <a:p>
                  <a:pPr>
                    <a:defRPr sz="800"/>
                  </a:pPr>
                  <a:endParaRPr lang="en-US"/>
                </a:p>
              </c:txPr>
              <c:showLegendKey val="0"/>
              <c:showVal val="0"/>
              <c:showCatName val="0"/>
              <c:showSerName val="1"/>
              <c:showPercent val="0"/>
              <c:showBubbleSize val="0"/>
              <c:extLst>
                <c:ext xmlns:c15="http://schemas.microsoft.com/office/drawing/2012/chart" uri="{CE6537A1-D6FC-4f65-9D91-7224C49458BB}">
                  <c15:layout>
                    <c:manualLayout>
                      <c:w val="0.2449233282018973"/>
                      <c:h val="0.1247125789311353"/>
                    </c:manualLayout>
                  </c15:layout>
                </c:ext>
                <c:ext xmlns:c16="http://schemas.microsoft.com/office/drawing/2014/chart" uri="{C3380CC4-5D6E-409C-BE32-E72D297353CC}">
                  <c16:uniqueId val="{00000006-6D58-4284-AAB5-05F036AD4ECD}"/>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Investment Tax Credit Savings</c:v>
              </c:pt>
            </c:strLit>
          </c:cat>
          <c:val>
            <c:numRef>
              <c:f>'Chart.Data'!$D$30</c:f>
              <c:numCache>
                <c:formatCode>"$"#,##0;\-"$"#,##0;\-</c:formatCode>
                <c:ptCount val="1"/>
                <c:pt idx="0">
                  <c:v>285120.95931997697</c:v>
                </c:pt>
              </c:numCache>
            </c:numRef>
          </c:val>
          <c:extLst>
            <c:ext xmlns:c16="http://schemas.microsoft.com/office/drawing/2014/chart" uri="{C3380CC4-5D6E-409C-BE32-E72D297353CC}">
              <c16:uniqueId val="{00000007-6D58-4284-AAB5-05F036AD4ECD}"/>
            </c:ext>
          </c:extLst>
        </c:ser>
        <c:ser>
          <c:idx val="3"/>
          <c:order val="4"/>
          <c:tx>
            <c:strRef>
              <c:f>'Chart.Data'!$B$29</c:f>
              <c:strCache>
                <c:ptCount val="1"/>
                <c:pt idx="0">
                  <c:v>Less Base Credit</c:v>
                </c:pt>
              </c:strCache>
            </c:strRef>
          </c:tx>
          <c:spPr>
            <a:solidFill>
              <a:srgbClr val="E2AA00"/>
            </a:solidFill>
            <a:ln>
              <a:solidFill>
                <a:sysClr val="windowText" lastClr="000000"/>
              </a:solidFill>
            </a:ln>
          </c:spPr>
          <c:invertIfNegative val="0"/>
          <c:dLbls>
            <c:dLbl>
              <c:idx val="0"/>
              <c:layout>
                <c:manualLayout>
                  <c:x val="0.21547529501986781"/>
                  <c:y val="-2.1500540550506659E-17"/>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D58-4284-AAB5-05F036AD4ECD}"/>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Investment Tax Credit Savings</c:v>
              </c:pt>
            </c:strLit>
          </c:cat>
          <c:val>
            <c:numRef>
              <c:f>'Chart.Data'!$D$29</c:f>
              <c:numCache>
                <c:formatCode>"$"#,##0;\-"$"#,##0;\-</c:formatCode>
                <c:ptCount val="1"/>
                <c:pt idx="0">
                  <c:v>71280.23982999404</c:v>
                </c:pt>
              </c:numCache>
            </c:numRef>
          </c:val>
          <c:extLst>
            <c:ext xmlns:c16="http://schemas.microsoft.com/office/drawing/2014/chart" uri="{C3380CC4-5D6E-409C-BE32-E72D297353CC}">
              <c16:uniqueId val="{00000009-6D58-4284-AAB5-05F036AD4ECD}"/>
            </c:ext>
          </c:extLst>
        </c:ser>
        <c:ser>
          <c:idx val="4"/>
          <c:order val="5"/>
          <c:tx>
            <c:strRef>
              <c:f>'Chart.Data'!$B$18</c:f>
              <c:strCache>
                <c:ptCount val="1"/>
                <c:pt idx="0">
                  <c:v>NPV of Financing Costs</c:v>
                </c:pt>
              </c:strCache>
            </c:strRef>
          </c:tx>
          <c:invertIfNegative val="0"/>
          <c:dLbls>
            <c:dLbl>
              <c:idx val="0"/>
              <c:layout>
                <c:manualLayout>
                  <c:x val="6.8355591549757774E-2"/>
                  <c:y val="-5.1601893423805931E-2"/>
                </c:manualLayout>
              </c:layout>
              <c:dLblPos val="ctr"/>
              <c:showLegendKey val="0"/>
              <c:showVal val="0"/>
              <c:showCatName val="0"/>
              <c:showSerName val="1"/>
              <c:showPercent val="0"/>
              <c:showBubbleSize val="0"/>
              <c:extLst>
                <c:ext xmlns:c15="http://schemas.microsoft.com/office/drawing/2012/chart" uri="{CE6537A1-D6FC-4f65-9D91-7224C49458BB}">
                  <c15:layout>
                    <c:manualLayout>
                      <c:w val="0.26244863379757555"/>
                      <c:h val="0.10034222730320086"/>
                    </c:manualLayout>
                  </c15:layout>
                </c:ext>
                <c:ext xmlns:c16="http://schemas.microsoft.com/office/drawing/2014/chart" uri="{C3380CC4-5D6E-409C-BE32-E72D297353CC}">
                  <c16:uniqueId val="{0000000A-6D58-4284-AAB5-05F036AD4ECD}"/>
                </c:ext>
              </c:extLst>
            </c:dLbl>
            <c:spPr>
              <a:noFill/>
              <a:ln>
                <a:noFill/>
              </a:ln>
              <a:effectLst/>
            </c:spPr>
            <c:txPr>
              <a:bodyPr rot="0" vert="horz" wrap="square" lIns="38100" tIns="19050" rIns="38100" bIns="19050" anchor="ctr">
                <a:spAutoFit/>
              </a:bodyPr>
              <a:lstStyle/>
              <a:p>
                <a:pPr>
                  <a:defRPr sz="800"/>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Investment Tax Credit Savings</c:v>
              </c:pt>
            </c:strLit>
          </c:cat>
          <c:val>
            <c:numRef>
              <c:f>'Chart.Data'!$D$18</c:f>
              <c:numCache>
                <c:formatCode>"$"#,##0;\-"$"#,##0;\-</c:formatCode>
                <c:ptCount val="1"/>
                <c:pt idx="0">
                  <c:v>0</c:v>
                </c:pt>
              </c:numCache>
            </c:numRef>
          </c:val>
          <c:extLst>
            <c:ext xmlns:c16="http://schemas.microsoft.com/office/drawing/2014/chart" uri="{C3380CC4-5D6E-409C-BE32-E72D297353CC}">
              <c16:uniqueId val="{0000000B-6D58-4284-AAB5-05F036AD4ECD}"/>
            </c:ext>
          </c:extLst>
        </c:ser>
        <c:dLbls>
          <c:showLegendKey val="0"/>
          <c:showVal val="0"/>
          <c:showCatName val="0"/>
          <c:showSerName val="0"/>
          <c:showPercent val="0"/>
          <c:showBubbleSize val="0"/>
        </c:dLbls>
        <c:gapWidth val="219"/>
        <c:axId val="1966656112"/>
        <c:axId val="1966661936"/>
      </c:barChart>
      <c:catAx>
        <c:axId val="1966656112"/>
        <c:scaling>
          <c:orientation val="maxMin"/>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966661936"/>
        <c:crosses val="autoZero"/>
        <c:auto val="1"/>
        <c:lblAlgn val="ctr"/>
        <c:lblOffset val="100"/>
        <c:noMultiLvlLbl val="0"/>
      </c:catAx>
      <c:valAx>
        <c:axId val="1966661936"/>
        <c:scaling>
          <c:orientation val="minMax"/>
          <c:max val="1000000"/>
        </c:scaling>
        <c:delete val="0"/>
        <c:axPos val="r"/>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966656112"/>
        <c:crosses val="autoZero"/>
        <c:crossBetween val="between"/>
        <c:majorUnit val="1000000"/>
        <c:dispUnits>
          <c:builtInUnit val="millions"/>
        </c:dispUnits>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Tax Credit per kWh of Electricity Produced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'Chart.Data'!$B$42</c:f>
              <c:strCache>
                <c:ptCount val="1"/>
                <c:pt idx="0">
                  <c:v>Space 1</c:v>
                </c:pt>
              </c:strCache>
            </c:strRef>
          </c:tx>
          <c:spPr>
            <a:solidFill>
              <a:schemeClr val="accent1"/>
            </a:solidFill>
            <a:ln>
              <a:noFill/>
            </a:ln>
            <a:effectLst/>
          </c:spPr>
          <c:invertIfNegative val="0"/>
          <c:cat>
            <c:strLit>
              <c:ptCount val="1"/>
              <c:pt idx="0">
                <c:v>Production Tax Credit Value</c:v>
              </c:pt>
            </c:strLit>
          </c:cat>
          <c:val>
            <c:numRef>
              <c:f>'Chart.Data'!$C$42</c:f>
              <c:numCache>
                <c:formatCode>General</c:formatCode>
                <c:ptCount val="1"/>
                <c:pt idx="0">
                  <c:v>0</c:v>
                </c:pt>
              </c:numCache>
            </c:numRef>
          </c:val>
          <c:extLst>
            <c:ext xmlns:c16="http://schemas.microsoft.com/office/drawing/2014/chart" uri="{C3380CC4-5D6E-409C-BE32-E72D297353CC}">
              <c16:uniqueId val="{00000000-4DA9-4BC3-9060-BC73E646087D}"/>
            </c:ext>
          </c:extLst>
        </c:ser>
        <c:ser>
          <c:idx val="1"/>
          <c:order val="1"/>
          <c:tx>
            <c:strRef>
              <c:f>'Chart.Data'!$B$43</c:f>
              <c:strCache>
                <c:ptCount val="1"/>
                <c:pt idx="0">
                  <c:v>Space 2</c:v>
                </c:pt>
              </c:strCache>
            </c:strRef>
          </c:tx>
          <c:spPr>
            <a:solidFill>
              <a:schemeClr val="accent2"/>
            </a:solidFill>
            <a:ln>
              <a:noFill/>
            </a:ln>
            <a:effectLst/>
          </c:spPr>
          <c:invertIfNegative val="0"/>
          <c:cat>
            <c:strLit>
              <c:ptCount val="1"/>
              <c:pt idx="0">
                <c:v>Production Tax Credit Value</c:v>
              </c:pt>
            </c:strLit>
          </c:cat>
          <c:val>
            <c:numRef>
              <c:f>'Chart.Data'!$C$43</c:f>
              <c:numCache>
                <c:formatCode>General</c:formatCode>
                <c:ptCount val="1"/>
                <c:pt idx="0">
                  <c:v>0</c:v>
                </c:pt>
              </c:numCache>
            </c:numRef>
          </c:val>
          <c:extLst>
            <c:ext xmlns:c16="http://schemas.microsoft.com/office/drawing/2014/chart" uri="{C3380CC4-5D6E-409C-BE32-E72D297353CC}">
              <c16:uniqueId val="{00000001-4DA9-4BC3-9060-BC73E646087D}"/>
            </c:ext>
          </c:extLst>
        </c:ser>
        <c:ser>
          <c:idx val="2"/>
          <c:order val="2"/>
          <c:tx>
            <c:strRef>
              <c:f>'Chart.Data'!$B$44</c:f>
              <c:strCache>
                <c:ptCount val="1"/>
                <c:pt idx="0">
                  <c:v>Base Credit</c:v>
                </c:pt>
              </c:strCache>
            </c:strRef>
          </c:tx>
          <c:spPr>
            <a:solidFill>
              <a:srgbClr val="E2AA00"/>
            </a:solidFill>
            <a:ln w="6350">
              <a:solidFill>
                <a:sysClr val="windowText" lastClr="000000"/>
              </a:solidFill>
            </a:ln>
            <a:effectLst/>
          </c:spPr>
          <c:invertIfNegative val="0"/>
          <c:dLbls>
            <c:dLbl>
              <c:idx val="0"/>
              <c:layout>
                <c:manualLayout>
                  <c:x val="-0.24722233158355206"/>
                  <c:y val="-1.0029709827938344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ctr"/>
              <c:showLegendKey val="0"/>
              <c:showVal val="0"/>
              <c:showCatName val="0"/>
              <c:showSerName val="1"/>
              <c:showPercent val="0"/>
              <c:showBubbleSize val="0"/>
              <c:extLst>
                <c:ext xmlns:c15="http://schemas.microsoft.com/office/drawing/2012/chart" uri="{CE6537A1-D6FC-4f65-9D91-7224C49458BB}">
                  <c15:layout>
                    <c:manualLayout>
                      <c:w val="0.13833333333333334"/>
                      <c:h val="7.4977034120734892E-2"/>
                    </c:manualLayout>
                  </c15:layout>
                </c:ext>
                <c:ext xmlns:c16="http://schemas.microsoft.com/office/drawing/2014/chart" uri="{C3380CC4-5D6E-409C-BE32-E72D297353CC}">
                  <c16:uniqueId val="{00000018-4DA9-4BC3-9060-BC73E64608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Production Tax Credit Value</c:v>
              </c:pt>
            </c:strLit>
          </c:cat>
          <c:val>
            <c:numRef>
              <c:f>'Chart.Data'!$C$44</c:f>
              <c:numCache>
                <c:formatCode>0.00</c:formatCode>
                <c:ptCount val="1"/>
                <c:pt idx="0">
                  <c:v>0.3</c:v>
                </c:pt>
              </c:numCache>
            </c:numRef>
          </c:val>
          <c:extLst>
            <c:ext xmlns:c16="http://schemas.microsoft.com/office/drawing/2014/chart" uri="{C3380CC4-5D6E-409C-BE32-E72D297353CC}">
              <c16:uniqueId val="{00000002-4DA9-4BC3-9060-BC73E646087D}"/>
            </c:ext>
          </c:extLst>
        </c:ser>
        <c:ser>
          <c:idx val="3"/>
          <c:order val="3"/>
          <c:tx>
            <c:strRef>
              <c:f>'Chart.Data'!$B$45</c:f>
              <c:strCache>
                <c:ptCount val="1"/>
                <c:pt idx="0">
                  <c:v>Plus Energy Community Requirements</c:v>
                </c:pt>
              </c:strCache>
            </c:strRef>
          </c:tx>
          <c:spPr>
            <a:solidFill>
              <a:srgbClr val="929292"/>
            </a:solidFill>
            <a:ln w="6350">
              <a:solidFill>
                <a:sysClr val="windowText" lastClr="000000"/>
              </a:solidFill>
            </a:ln>
            <a:effectLst/>
          </c:spPr>
          <c:invertIfNegative val="0"/>
          <c:dLbls>
            <c:dLbl>
              <c:idx val="0"/>
              <c:layout>
                <c:manualLayout>
                  <c:x val="-0.21527788713910764"/>
                  <c:y val="-3.240722513852435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41334711286089232"/>
                      <c:h val="6.7523330417031194E-2"/>
                    </c:manualLayout>
                  </c15:layout>
                </c:ext>
                <c:ext xmlns:c16="http://schemas.microsoft.com/office/drawing/2014/chart" uri="{C3380CC4-5D6E-409C-BE32-E72D297353CC}">
                  <c16:uniqueId val="{00000000-E611-45CD-BDB9-D3FBA3433CC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Production Tax Credit Value</c:v>
              </c:pt>
            </c:strLit>
          </c:cat>
          <c:val>
            <c:numRef>
              <c:f>'Chart.Data'!$C$45</c:f>
              <c:numCache>
                <c:formatCode>0.00</c:formatCode>
                <c:ptCount val="1"/>
                <c:pt idx="0">
                  <c:v>0</c:v>
                </c:pt>
              </c:numCache>
            </c:numRef>
          </c:val>
          <c:extLst>
            <c:ext xmlns:c16="http://schemas.microsoft.com/office/drawing/2014/chart" uri="{C3380CC4-5D6E-409C-BE32-E72D297353CC}">
              <c16:uniqueId val="{00000003-4DA9-4BC3-9060-BC73E646087D}"/>
            </c:ext>
          </c:extLst>
        </c:ser>
        <c:ser>
          <c:idx val="4"/>
          <c:order val="4"/>
          <c:tx>
            <c:strRef>
              <c:f>'Chart.Data'!$B$46</c:f>
              <c:strCache>
                <c:ptCount val="1"/>
                <c:pt idx="0">
                  <c:v>Plus Domestic Content Requirements</c:v>
                </c:pt>
              </c:strCache>
            </c:strRef>
          </c:tx>
          <c:spPr>
            <a:solidFill>
              <a:schemeClr val="accent2"/>
            </a:solidFill>
            <a:ln w="6350">
              <a:solidFill>
                <a:sysClr val="windowText" lastClr="000000"/>
              </a:solidFill>
            </a:ln>
            <a:effectLst/>
          </c:spPr>
          <c:invertIfNegative val="0"/>
          <c:dLbls>
            <c:dLbl>
              <c:idx val="0"/>
              <c:layout>
                <c:manualLayout>
                  <c:x val="-0.31666655730533677"/>
                  <c:y val="-7.870370370370379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38923600174978129"/>
                      <c:h val="5.3634441528142313E-2"/>
                    </c:manualLayout>
                  </c15:layout>
                </c:ext>
                <c:ext xmlns:c16="http://schemas.microsoft.com/office/drawing/2014/chart" uri="{C3380CC4-5D6E-409C-BE32-E72D297353CC}">
                  <c16:uniqueId val="{00000001-E611-45CD-BDB9-D3FBA3433CC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Production Tax Credit Value</c:v>
              </c:pt>
            </c:strLit>
          </c:cat>
          <c:val>
            <c:numRef>
              <c:f>'Chart.Data'!$C$46</c:f>
              <c:numCache>
                <c:formatCode>0.00</c:formatCode>
                <c:ptCount val="1"/>
                <c:pt idx="0">
                  <c:v>0</c:v>
                </c:pt>
              </c:numCache>
            </c:numRef>
          </c:val>
          <c:extLst>
            <c:ext xmlns:c16="http://schemas.microsoft.com/office/drawing/2014/chart" uri="{C3380CC4-5D6E-409C-BE32-E72D297353CC}">
              <c16:uniqueId val="{00000004-4DA9-4BC3-9060-BC73E646087D}"/>
            </c:ext>
          </c:extLst>
        </c:ser>
        <c:ser>
          <c:idx val="5"/>
          <c:order val="5"/>
          <c:tx>
            <c:strRef>
              <c:f>'Chart.Data'!$B$47</c:f>
              <c:strCache>
                <c:ptCount val="1"/>
                <c:pt idx="0">
                  <c:v>Plus Inflation Adjustment</c:v>
                </c:pt>
              </c:strCache>
            </c:strRef>
          </c:tx>
          <c:spPr>
            <a:solidFill>
              <a:srgbClr val="3B64AD"/>
            </a:solidFill>
            <a:ln w="6350">
              <a:solidFill>
                <a:sysClr val="windowText" lastClr="000000"/>
              </a:solidFill>
            </a:ln>
            <a:effectLst/>
          </c:spPr>
          <c:invertIfNegative val="0"/>
          <c:dLbls>
            <c:dLbl>
              <c:idx val="0"/>
              <c:layout>
                <c:manualLayout>
                  <c:x val="-0.47361111111111109"/>
                  <c:y val="-9.027759550889472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2633611111111111"/>
                      <c:h val="7.587962962962963E-2"/>
                    </c:manualLayout>
                  </c15:layout>
                </c:ext>
                <c:ext xmlns:c16="http://schemas.microsoft.com/office/drawing/2014/chart" uri="{C3380CC4-5D6E-409C-BE32-E72D297353CC}">
                  <c16:uniqueId val="{0000001B-4DA9-4BC3-9060-BC73E646087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Production Tax Credit Value</c:v>
              </c:pt>
            </c:strLit>
          </c:cat>
          <c:val>
            <c:numRef>
              <c:f>'Chart.Data'!$C$47</c:f>
              <c:numCache>
                <c:formatCode>0.00</c:formatCode>
                <c:ptCount val="1"/>
                <c:pt idx="0">
                  <c:v>0.25000000000000006</c:v>
                </c:pt>
              </c:numCache>
            </c:numRef>
          </c:val>
          <c:extLst>
            <c:ext xmlns:c16="http://schemas.microsoft.com/office/drawing/2014/chart" uri="{C3380CC4-5D6E-409C-BE32-E72D297353CC}">
              <c16:uniqueId val="{00000019-4DA9-4BC3-9060-BC73E646087D}"/>
            </c:ext>
          </c:extLst>
        </c:ser>
        <c:ser>
          <c:idx val="6"/>
          <c:order val="6"/>
          <c:tx>
            <c:strRef>
              <c:f>'Chart.Data'!$B$48</c:f>
              <c:strCache>
                <c:ptCount val="1"/>
                <c:pt idx="0">
                  <c:v>Plus Prevailing Wage Requirements</c:v>
                </c:pt>
              </c:strCache>
            </c:strRef>
          </c:tx>
          <c:spPr>
            <a:solidFill>
              <a:srgbClr val="62993E"/>
            </a:solidFill>
            <a:ln w="6350">
              <a:solidFill>
                <a:sysClr val="windowText" lastClr="000000"/>
              </a:solidFill>
            </a:ln>
            <a:effectLst/>
          </c:spPr>
          <c:invertIfNegative val="0"/>
          <c:dLbls>
            <c:dLbl>
              <c:idx val="0"/>
              <c:layout>
                <c:manualLayout>
                  <c:x val="-0.47638867016622921"/>
                  <c:y val="4.861092884222797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37772769028871389"/>
                      <c:h val="6.2893700787401557E-2"/>
                    </c:manualLayout>
                  </c15:layout>
                </c:ext>
                <c:ext xmlns:c16="http://schemas.microsoft.com/office/drawing/2014/chart" uri="{C3380CC4-5D6E-409C-BE32-E72D297353CC}">
                  <c16:uniqueId val="{0000001C-4DA9-4BC3-9060-BC73E646087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Production Tax Credit Value</c:v>
              </c:pt>
            </c:strLit>
          </c:cat>
          <c:val>
            <c:numRef>
              <c:f>'Chart.Data'!$C$48</c:f>
              <c:numCache>
                <c:formatCode>General</c:formatCode>
                <c:ptCount val="1"/>
                <c:pt idx="0">
                  <c:v>2.2000000000000002</c:v>
                </c:pt>
              </c:numCache>
            </c:numRef>
          </c:val>
          <c:extLst>
            <c:ext xmlns:c16="http://schemas.microsoft.com/office/drawing/2014/chart" uri="{C3380CC4-5D6E-409C-BE32-E72D297353CC}">
              <c16:uniqueId val="{0000001A-4DA9-4BC3-9060-BC73E646087D}"/>
            </c:ext>
          </c:extLst>
        </c:ser>
        <c:dLbls>
          <c:showLegendKey val="0"/>
          <c:showVal val="0"/>
          <c:showCatName val="0"/>
          <c:showSerName val="0"/>
          <c:showPercent val="0"/>
          <c:showBubbleSize val="0"/>
        </c:dLbls>
        <c:gapWidth val="150"/>
        <c:axId val="1588647424"/>
        <c:axId val="1588637856"/>
      </c:barChart>
      <c:catAx>
        <c:axId val="1588647424"/>
        <c:scaling>
          <c:orientation val="minMax"/>
        </c:scaling>
        <c:delete val="0"/>
        <c:axPos val="b"/>
        <c:numFmt formatCode="General" sourceLinked="1"/>
        <c:majorTickMark val="none"/>
        <c:minorTickMark val="none"/>
        <c:tickLblPos val="nextTo"/>
        <c:spPr>
          <a:noFill/>
          <a:ln w="6350"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8637856"/>
        <c:crosses val="autoZero"/>
        <c:auto val="1"/>
        <c:lblAlgn val="ctr"/>
        <c:lblOffset val="100"/>
        <c:noMultiLvlLbl val="0"/>
      </c:catAx>
      <c:valAx>
        <c:axId val="1588637856"/>
        <c:scaling>
          <c:orientation val="minMax"/>
          <c:max val="3.5"/>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 sourceLinked="0"/>
        <c:majorTickMark val="out"/>
        <c:minorTickMark val="none"/>
        <c:tickLblPos val="nextTo"/>
        <c:spPr>
          <a:noFill/>
          <a:ln w="6350">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8647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Effective Capital Cost Reduction</a:t>
            </a:r>
          </a:p>
        </c:rich>
      </c:tx>
      <c:overlay val="0"/>
      <c:spPr>
        <a:noFill/>
        <a:ln>
          <a:noFill/>
        </a:ln>
        <a:effectLst/>
      </c:spPr>
    </c:title>
    <c:autoTitleDeleted val="0"/>
    <c:plotArea>
      <c:layout/>
      <c:barChart>
        <c:barDir val="col"/>
        <c:grouping val="stacked"/>
        <c:varyColors val="0"/>
        <c:ser>
          <c:idx val="5"/>
          <c:order val="0"/>
          <c:tx>
            <c:strRef>
              <c:f>'Chart.Data'!$B$23</c:f>
              <c:strCache>
                <c:ptCount val="1"/>
                <c:pt idx="0">
                  <c:v>Effective NPV of Financing Costs</c:v>
                </c:pt>
              </c:strCache>
            </c:strRef>
          </c:tx>
          <c:spPr>
            <a:ln w="6350">
              <a:solidFill>
                <a:schemeClr val="tx1"/>
              </a:solidFill>
            </a:ln>
          </c:spPr>
          <c:invertIfNegative val="0"/>
          <c:dLbls>
            <c:dLbl>
              <c:idx val="0"/>
              <c:layout>
                <c:manualLayout>
                  <c:x val="0.7814563626224843"/>
                  <c:y val="-4.2219730983114025E-2"/>
                </c:manualLayout>
              </c:layout>
              <c:showLegendKey val="0"/>
              <c:showVal val="0"/>
              <c:showCatName val="0"/>
              <c:showSerName val="1"/>
              <c:showPercent val="0"/>
              <c:showBubbleSize val="0"/>
              <c:extLst>
                <c:ext xmlns:c15="http://schemas.microsoft.com/office/drawing/2012/chart" uri="{CE6537A1-D6FC-4f65-9D91-7224C49458BB}">
                  <c15:layout>
                    <c:manualLayout>
                      <c:w val="0.36847684576170148"/>
                      <c:h val="0.10034222730320086"/>
                    </c:manualLayout>
                  </c15:layout>
                </c:ext>
                <c:ext xmlns:c16="http://schemas.microsoft.com/office/drawing/2014/chart" uri="{C3380CC4-5D6E-409C-BE32-E72D297353CC}">
                  <c16:uniqueId val="{00000000-941D-4445-BBAE-CCF10D5FC7C6}"/>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Investment Tax Credit Savings</c:v>
              </c:pt>
            </c:strLit>
          </c:cat>
          <c:val>
            <c:numRef>
              <c:f>'Chart.Data'!$C$24</c:f>
              <c:numCache>
                <c:formatCode>"$"#,##0_);\("$"#,##0\)</c:formatCode>
                <c:ptCount val="1"/>
                <c:pt idx="0">
                  <c:v>358388.824349</c:v>
                </c:pt>
              </c:numCache>
            </c:numRef>
          </c:val>
          <c:extLst>
            <c:ext xmlns:c16="http://schemas.microsoft.com/office/drawing/2014/chart" uri="{C3380CC4-5D6E-409C-BE32-E72D297353CC}">
              <c16:uniqueId val="{00000001-941D-4445-BBAE-CCF10D5FC7C6}"/>
            </c:ext>
          </c:extLst>
        </c:ser>
        <c:ser>
          <c:idx val="6"/>
          <c:order val="1"/>
          <c:tx>
            <c:strRef>
              <c:f>'Chart.Data'!$B$24</c:f>
              <c:strCache>
                <c:ptCount val="1"/>
                <c:pt idx="0">
                  <c:v>Less Low Income Requirements</c:v>
                </c:pt>
              </c:strCache>
            </c:strRef>
          </c:tx>
          <c:spPr>
            <a:ln w="6350">
              <a:solidFill>
                <a:schemeClr val="tx1"/>
              </a:solidFill>
            </a:ln>
          </c:spPr>
          <c:invertIfNegative val="0"/>
          <c:dLbls>
            <c:dLbl>
              <c:idx val="0"/>
              <c:layout>
                <c:manualLayout>
                  <c:x val="0.49990215961442969"/>
                  <c:y val="9.3821624406919893E-3"/>
                </c:manualLayout>
              </c:layout>
              <c:showLegendKey val="0"/>
              <c:showVal val="0"/>
              <c:showCatName val="0"/>
              <c:showSerName val="1"/>
              <c:showPercent val="0"/>
              <c:showBubbleSize val="0"/>
              <c:extLst>
                <c:ext xmlns:c15="http://schemas.microsoft.com/office/drawing/2012/chart" uri="{CE6537A1-D6FC-4f65-9D91-7224C49458BB}">
                  <c15:layout>
                    <c:manualLayout>
                      <c:w val="0.35414034496370855"/>
                      <c:h val="0.10034222730320086"/>
                    </c:manualLayout>
                  </c15:layout>
                </c:ext>
                <c:ext xmlns:c16="http://schemas.microsoft.com/office/drawing/2014/chart" uri="{C3380CC4-5D6E-409C-BE32-E72D297353CC}">
                  <c16:uniqueId val="{0000000D-941D-4445-BBAE-CCF10D5FC7C6}"/>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'Chart.Data'!$D$24</c:f>
              <c:numCache>
                <c:formatCode>"$"#,##0;\-"$"#,##0;\-</c:formatCode>
                <c:ptCount val="1"/>
                <c:pt idx="0">
                  <c:v>100980.33975915797</c:v>
                </c:pt>
              </c:numCache>
            </c:numRef>
          </c:val>
          <c:extLst>
            <c:ext xmlns:c16="http://schemas.microsoft.com/office/drawing/2014/chart" uri="{C3380CC4-5D6E-409C-BE32-E72D297353CC}">
              <c16:uniqueId val="{0000000C-941D-4445-BBAE-CCF10D5FC7C6}"/>
            </c:ext>
          </c:extLst>
        </c:ser>
        <c:ser>
          <c:idx val="0"/>
          <c:order val="2"/>
          <c:tx>
            <c:strRef>
              <c:f>'Chart.Data'!$B$22</c:f>
              <c:strCache>
                <c:ptCount val="1"/>
                <c:pt idx="0">
                  <c:v>Less Energy Community Requirements</c:v>
                </c:pt>
              </c:strCache>
            </c:strRef>
          </c:tx>
          <c:spPr>
            <a:ln w="6350">
              <a:solidFill>
                <a:schemeClr val="tx1"/>
              </a:solidFill>
            </a:ln>
          </c:spPr>
          <c:invertIfNegative val="0"/>
          <c:dLbls>
            <c:dLbl>
              <c:idx val="0"/>
              <c:layout>
                <c:manualLayout>
                  <c:x val="0.36199800247259056"/>
                  <c:y val="4.6912659085830161E-3"/>
                </c:manualLayout>
              </c:layout>
              <c:spPr>
                <a:noFill/>
                <a:ln>
                  <a:noFill/>
                </a:ln>
                <a:effectLst/>
              </c:spPr>
              <c:txPr>
                <a:bodyPr wrap="square" lIns="38100" tIns="19050" rIns="38100" bIns="19050" anchor="ctr">
                  <a:noAutofit/>
                </a:bodyPr>
                <a:lstStyle/>
                <a:p>
                  <a:pPr>
                    <a:defRPr sz="800"/>
                  </a:pPr>
                  <a:endParaRPr lang="en-US"/>
                </a:p>
              </c:txPr>
              <c:showLegendKey val="0"/>
              <c:showVal val="0"/>
              <c:showCatName val="0"/>
              <c:showSerName val="1"/>
              <c:showPercent val="0"/>
              <c:showBubbleSize val="0"/>
              <c:extLst>
                <c:ext xmlns:c15="http://schemas.microsoft.com/office/drawing/2012/chart" uri="{CE6537A1-D6FC-4f65-9D91-7224C49458BB}">
                  <c15:layout>
                    <c:manualLayout>
                      <c:w val="0.42751678839217133"/>
                      <c:h val="8.2492847948021336E-2"/>
                    </c:manualLayout>
                  </c15:layout>
                </c:ext>
                <c:ext xmlns:c16="http://schemas.microsoft.com/office/drawing/2014/chart" uri="{C3380CC4-5D6E-409C-BE32-E72D297353CC}">
                  <c16:uniqueId val="{00000002-941D-4445-BBAE-CCF10D5FC7C6}"/>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Investment Tax Credit Savings</c:v>
              </c:pt>
            </c:strLit>
          </c:cat>
          <c:val>
            <c:numRef>
              <c:f>'Chart.Data'!$D$22</c:f>
              <c:numCache>
                <c:formatCode>"$"#,##0;\-"$"#,##0;\-</c:formatCode>
                <c:ptCount val="1"/>
                <c:pt idx="0">
                  <c:v>100980.33975915902</c:v>
                </c:pt>
              </c:numCache>
            </c:numRef>
          </c:val>
          <c:extLst>
            <c:ext xmlns:c16="http://schemas.microsoft.com/office/drawing/2014/chart" uri="{C3380CC4-5D6E-409C-BE32-E72D297353CC}">
              <c16:uniqueId val="{00000003-941D-4445-BBAE-CCF10D5FC7C6}"/>
            </c:ext>
          </c:extLst>
        </c:ser>
        <c:ser>
          <c:idx val="1"/>
          <c:order val="3"/>
          <c:tx>
            <c:strRef>
              <c:f>'Chart.Data'!$B$21</c:f>
              <c:strCache>
                <c:ptCount val="1"/>
                <c:pt idx="0">
                  <c:v>Less Domestic Content Requirements</c:v>
                </c:pt>
              </c:strCache>
            </c:strRef>
          </c:tx>
          <c:spPr>
            <a:ln w="6350">
              <a:solidFill>
                <a:schemeClr val="tx1"/>
              </a:solidFill>
            </a:ln>
          </c:spPr>
          <c:invertIfNegative val="0"/>
          <c:dLbls>
            <c:dLbl>
              <c:idx val="0"/>
              <c:layout>
                <c:manualLayout>
                  <c:x val="0.27293520025608164"/>
                  <c:y val="-4.6910812203459946E-3"/>
                </c:manualLayout>
              </c:layout>
              <c:spPr>
                <a:noFill/>
                <a:ln>
                  <a:noFill/>
                </a:ln>
                <a:effectLst/>
              </c:spPr>
              <c:txPr>
                <a:bodyPr wrap="square" lIns="38100" tIns="19050" rIns="38100" bIns="19050" anchor="ctr">
                  <a:noAutofit/>
                </a:bodyPr>
                <a:lstStyle/>
                <a:p>
                  <a:pPr>
                    <a:defRPr sz="800"/>
                  </a:pPr>
                  <a:endParaRPr lang="en-US"/>
                </a:p>
              </c:txPr>
              <c:showLegendKey val="0"/>
              <c:showVal val="0"/>
              <c:showCatName val="0"/>
              <c:showSerName val="1"/>
              <c:showPercent val="0"/>
              <c:showBubbleSize val="0"/>
              <c:extLst>
                <c:ext xmlns:c15="http://schemas.microsoft.com/office/drawing/2012/chart" uri="{CE6537A1-D6FC-4f65-9D91-7224C49458BB}">
                  <c15:layout>
                    <c:manualLayout>
                      <c:w val="0.41217496349365956"/>
                      <c:h val="9.6566091609059324E-2"/>
                    </c:manualLayout>
                  </c15:layout>
                </c:ext>
                <c:ext xmlns:c16="http://schemas.microsoft.com/office/drawing/2014/chart" uri="{C3380CC4-5D6E-409C-BE32-E72D297353CC}">
                  <c16:uniqueId val="{00000004-941D-4445-BBAE-CCF10D5FC7C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Investment Tax Credit Savings</c:v>
              </c:pt>
            </c:strLit>
          </c:cat>
          <c:val>
            <c:numRef>
              <c:f>'Chart.Data'!$D$21</c:f>
              <c:numCache>
                <c:formatCode>"$"#,##0;\-"$"#,##0;\-</c:formatCode>
                <c:ptCount val="1"/>
                <c:pt idx="0">
                  <c:v>100980.33975915797</c:v>
                </c:pt>
              </c:numCache>
            </c:numRef>
          </c:val>
          <c:extLst>
            <c:ext xmlns:c16="http://schemas.microsoft.com/office/drawing/2014/chart" uri="{C3380CC4-5D6E-409C-BE32-E72D297353CC}">
              <c16:uniqueId val="{00000005-941D-4445-BBAE-CCF10D5FC7C6}"/>
            </c:ext>
          </c:extLst>
        </c:ser>
        <c:ser>
          <c:idx val="2"/>
          <c:order val="4"/>
          <c:tx>
            <c:strRef>
              <c:f>'Chart.Data'!$B$20</c:f>
              <c:strCache>
                <c:ptCount val="1"/>
                <c:pt idx="0">
                  <c:v>Less Prevailing Wage Requirements</c:v>
                </c:pt>
              </c:strCache>
            </c:strRef>
          </c:tx>
          <c:spPr>
            <a:ln w="6350">
              <a:solidFill>
                <a:schemeClr val="tx1"/>
              </a:solidFill>
            </a:ln>
          </c:spPr>
          <c:invertIfNegative val="0"/>
          <c:dLbls>
            <c:dLbl>
              <c:idx val="0"/>
              <c:layout>
                <c:manualLayout>
                  <c:x val="0.25915305290280549"/>
                  <c:y val="-2.5800946711902972E-2"/>
                </c:manualLayout>
              </c:layout>
              <c:spPr>
                <a:noFill/>
                <a:ln>
                  <a:noFill/>
                </a:ln>
                <a:effectLst/>
              </c:spPr>
              <c:txPr>
                <a:bodyPr wrap="square" lIns="38100" tIns="19050" rIns="38100" bIns="19050" anchor="ctr">
                  <a:noAutofit/>
                </a:bodyPr>
                <a:lstStyle/>
                <a:p>
                  <a:pPr>
                    <a:defRPr sz="800"/>
                  </a:pPr>
                  <a:endParaRPr lang="en-US"/>
                </a:p>
              </c:txPr>
              <c:showLegendKey val="0"/>
              <c:showVal val="0"/>
              <c:showCatName val="0"/>
              <c:showSerName val="1"/>
              <c:showPercent val="0"/>
              <c:showBubbleSize val="0"/>
              <c:extLst>
                <c:ext xmlns:c15="http://schemas.microsoft.com/office/drawing/2012/chart" uri="{CE6537A1-D6FC-4f65-9D91-7224C49458BB}">
                  <c15:layout>
                    <c:manualLayout>
                      <c:w val="0.24205032728457301"/>
                      <c:h val="0.10125717282940533"/>
                    </c:manualLayout>
                  </c15:layout>
                </c:ext>
                <c:ext xmlns:c16="http://schemas.microsoft.com/office/drawing/2014/chart" uri="{C3380CC4-5D6E-409C-BE32-E72D297353CC}">
                  <c16:uniqueId val="{00000006-941D-4445-BBAE-CCF10D5FC7C6}"/>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Investment Tax Credit Savings</c:v>
              </c:pt>
            </c:strLit>
          </c:cat>
          <c:val>
            <c:numRef>
              <c:f>'Chart.Data'!$D$20</c:f>
              <c:numCache>
                <c:formatCode>"$"#,##0;\-"$"#,##0;\-</c:formatCode>
                <c:ptCount val="1"/>
                <c:pt idx="0">
                  <c:v>242352.81542197999</c:v>
                </c:pt>
              </c:numCache>
            </c:numRef>
          </c:val>
          <c:extLst>
            <c:ext xmlns:c16="http://schemas.microsoft.com/office/drawing/2014/chart" uri="{C3380CC4-5D6E-409C-BE32-E72D297353CC}">
              <c16:uniqueId val="{00000007-941D-4445-BBAE-CCF10D5FC7C6}"/>
            </c:ext>
          </c:extLst>
        </c:ser>
        <c:ser>
          <c:idx val="3"/>
          <c:order val="5"/>
          <c:tx>
            <c:strRef>
              <c:f>'Chart.Data'!$B$19</c:f>
              <c:strCache>
                <c:ptCount val="1"/>
                <c:pt idx="0">
                  <c:v>Less Base Credit</c:v>
                </c:pt>
              </c:strCache>
            </c:strRef>
          </c:tx>
          <c:spPr>
            <a:ln w="6350">
              <a:solidFill>
                <a:schemeClr val="tx1"/>
              </a:solidFill>
            </a:ln>
          </c:spPr>
          <c:invertIfNegative val="0"/>
          <c:dLbls>
            <c:dLbl>
              <c:idx val="0"/>
              <c:layout>
                <c:manualLayout>
                  <c:x val="0.1867450596260801"/>
                  <c:y val="0"/>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41D-4445-BBAE-CCF10D5FC7C6}"/>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Investment Tax Credit Savings</c:v>
              </c:pt>
            </c:strLit>
          </c:cat>
          <c:val>
            <c:numRef>
              <c:f>'Chart.Data'!$D$19</c:f>
              <c:numCache>
                <c:formatCode>"$"#,##0;\-"$"#,##0;\-</c:formatCode>
                <c:ptCount val="1"/>
                <c:pt idx="0">
                  <c:v>60588.203855495085</c:v>
                </c:pt>
              </c:numCache>
            </c:numRef>
          </c:val>
          <c:extLst>
            <c:ext xmlns:c16="http://schemas.microsoft.com/office/drawing/2014/chart" uri="{C3380CC4-5D6E-409C-BE32-E72D297353CC}">
              <c16:uniqueId val="{00000009-941D-4445-BBAE-CCF10D5FC7C6}"/>
            </c:ext>
          </c:extLst>
        </c:ser>
        <c:ser>
          <c:idx val="4"/>
          <c:order val="6"/>
          <c:tx>
            <c:strRef>
              <c:f>'Chart.Data'!$B$18</c:f>
              <c:strCache>
                <c:ptCount val="1"/>
                <c:pt idx="0">
                  <c:v>NPV of Financing Costs</c:v>
                </c:pt>
              </c:strCache>
            </c:strRef>
          </c:tx>
          <c:invertIfNegative val="0"/>
          <c:cat>
            <c:strLit>
              <c:ptCount val="1"/>
              <c:pt idx="0">
                <c:v>Investment Tax Credit Savings</c:v>
              </c:pt>
            </c:strLit>
          </c:cat>
          <c:val>
            <c:numRef>
              <c:f>'Chart.Data'!$D$18</c:f>
              <c:numCache>
                <c:formatCode>"$"#,##0;\-"$"#,##0;\-</c:formatCode>
                <c:ptCount val="1"/>
                <c:pt idx="0">
                  <c:v>0</c:v>
                </c:pt>
              </c:numCache>
            </c:numRef>
          </c:val>
          <c:extLst>
            <c:ext xmlns:c16="http://schemas.microsoft.com/office/drawing/2014/chart" uri="{C3380CC4-5D6E-409C-BE32-E72D297353CC}">
              <c16:uniqueId val="{0000000B-941D-4445-BBAE-CCF10D5FC7C6}"/>
            </c:ext>
          </c:extLst>
        </c:ser>
        <c:dLbls>
          <c:showLegendKey val="0"/>
          <c:showVal val="0"/>
          <c:showCatName val="0"/>
          <c:showSerName val="0"/>
          <c:showPercent val="0"/>
          <c:showBubbleSize val="0"/>
        </c:dLbls>
        <c:gapWidth val="219"/>
        <c:axId val="1966656112"/>
        <c:axId val="1966661936"/>
      </c:barChart>
      <c:catAx>
        <c:axId val="1966656112"/>
        <c:scaling>
          <c:orientation val="maxMin"/>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966661936"/>
        <c:crosses val="autoZero"/>
        <c:auto val="1"/>
        <c:lblAlgn val="ctr"/>
        <c:lblOffset val="100"/>
        <c:noMultiLvlLbl val="0"/>
      </c:catAx>
      <c:valAx>
        <c:axId val="1966661936"/>
        <c:scaling>
          <c:orientation val="minMax"/>
          <c:max val="1000000"/>
        </c:scaling>
        <c:delete val="0"/>
        <c:axPos val="r"/>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966656112"/>
        <c:crosses val="autoZero"/>
        <c:crossBetween val="between"/>
        <c:majorUnit val="1000000"/>
        <c:dispUnits>
          <c:builtInUnit val="millions"/>
        </c:dispUnits>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Effective Capital</a:t>
            </a:r>
            <a:r>
              <a:rPr lang="en-US" baseline="0"/>
              <a:t> Cost</a:t>
            </a:r>
            <a:r>
              <a:rPr lang="en-US"/>
              <a:t> Reduction</a:t>
            </a:r>
          </a:p>
        </c:rich>
      </c:tx>
      <c:overlay val="0"/>
      <c:spPr>
        <a:noFill/>
        <a:ln>
          <a:noFill/>
        </a:ln>
        <a:effectLst/>
      </c:spPr>
    </c:title>
    <c:autoTitleDeleted val="0"/>
    <c:plotArea>
      <c:layout/>
      <c:barChart>
        <c:barDir val="col"/>
        <c:grouping val="stacked"/>
        <c:varyColors val="0"/>
        <c:ser>
          <c:idx val="5"/>
          <c:order val="0"/>
          <c:tx>
            <c:strRef>
              <c:f>'Chart.Data'!$B$23</c:f>
              <c:strCache>
                <c:ptCount val="1"/>
                <c:pt idx="0">
                  <c:v>Effective NPV of Financing Costs</c:v>
                </c:pt>
              </c:strCache>
            </c:strRef>
          </c:tx>
          <c:spPr>
            <a:ln>
              <a:solidFill>
                <a:schemeClr val="tx1"/>
              </a:solidFill>
            </a:ln>
          </c:spPr>
          <c:invertIfNegative val="0"/>
          <c:cat>
            <c:strLit>
              <c:ptCount val="1"/>
              <c:pt idx="0">
                <c:v>Investment Tax Credit Savings</c:v>
              </c:pt>
            </c:strLit>
          </c:cat>
          <c:val>
            <c:numRef>
              <c:f>'Chart.Data'!$C$34</c:f>
              <c:numCache>
                <c:formatCode>"$"#,##0_);\("$"#,##0\)</c:formatCode>
                <c:ptCount val="1"/>
                <c:pt idx="0">
                  <c:v>132668.064887352</c:v>
                </c:pt>
              </c:numCache>
            </c:numRef>
          </c:val>
          <c:extLst>
            <c:ext xmlns:c16="http://schemas.microsoft.com/office/drawing/2014/chart" uri="{C3380CC4-5D6E-409C-BE32-E72D297353CC}">
              <c16:uniqueId val="{00000001-BE0D-474F-8B8B-5C0E5261B79C}"/>
            </c:ext>
          </c:extLst>
        </c:ser>
        <c:ser>
          <c:idx val="6"/>
          <c:order val="1"/>
          <c:tx>
            <c:strRef>
              <c:f>'Chart.Data'!$B$34</c:f>
              <c:strCache>
                <c:ptCount val="1"/>
                <c:pt idx="0">
                  <c:v>Less Low Income Requirements</c:v>
                </c:pt>
              </c:strCache>
            </c:strRef>
          </c:tx>
          <c:spPr>
            <a:ln>
              <a:solidFill>
                <a:schemeClr val="tx1"/>
              </a:solidFill>
            </a:ln>
          </c:spPr>
          <c:invertIfNegative val="0"/>
          <c:dLbls>
            <c:dLbl>
              <c:idx val="0"/>
              <c:layout>
                <c:manualLayout>
                  <c:x val="0.49990249894524669"/>
                  <c:y val="-9.3819777524550545E-3"/>
                </c:manualLayout>
              </c:layout>
              <c:spPr>
                <a:noFill/>
                <a:ln>
                  <a:noFill/>
                </a:ln>
                <a:effectLst/>
              </c:spPr>
              <c:txPr>
                <a:bodyPr wrap="square" lIns="38100" tIns="19050" rIns="38100" bIns="19050" anchor="ctr">
                  <a:noAutofit/>
                </a:bodyPr>
                <a:lstStyle/>
                <a:p>
                  <a:pPr>
                    <a:defRPr sz="800"/>
                  </a:pPr>
                  <a:endParaRPr lang="en-US"/>
                </a:p>
              </c:txPr>
              <c:showLegendKey val="0"/>
              <c:showVal val="0"/>
              <c:showCatName val="0"/>
              <c:showSerName val="1"/>
              <c:showPercent val="0"/>
              <c:showBubbleSize val="0"/>
              <c:extLst>
                <c:ext xmlns:c15="http://schemas.microsoft.com/office/drawing/2012/chart" uri="{CE6537A1-D6FC-4f65-9D91-7224C49458BB}">
                  <c15:layout>
                    <c:manualLayout>
                      <c:w val="0.35988634679835713"/>
                      <c:h val="7.2195739981124857E-2"/>
                    </c:manualLayout>
                  </c15:layout>
                </c:ext>
                <c:ext xmlns:c16="http://schemas.microsoft.com/office/drawing/2014/chart" uri="{C3380CC4-5D6E-409C-BE32-E72D297353CC}">
                  <c16:uniqueId val="{0000000D-BE0D-474F-8B8B-5C0E5261B79C}"/>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'Chart.Data'!$D$34</c:f>
              <c:numCache>
                <c:formatCode>"$"#,##0;\-"$"#,##0;\-</c:formatCode>
                <c:ptCount val="1"/>
                <c:pt idx="0">
                  <c:v>237600.79943331401</c:v>
                </c:pt>
              </c:numCache>
            </c:numRef>
          </c:val>
          <c:extLst>
            <c:ext xmlns:c16="http://schemas.microsoft.com/office/drawing/2014/chart" uri="{C3380CC4-5D6E-409C-BE32-E72D297353CC}">
              <c16:uniqueId val="{0000000C-BE0D-474F-8B8B-5C0E5261B79C}"/>
            </c:ext>
          </c:extLst>
        </c:ser>
        <c:ser>
          <c:idx val="0"/>
          <c:order val="2"/>
          <c:tx>
            <c:strRef>
              <c:f>'Chart.Data'!$B$22</c:f>
              <c:strCache>
                <c:ptCount val="1"/>
                <c:pt idx="0">
                  <c:v>Less Energy Community Requirements</c:v>
                </c:pt>
              </c:strCache>
            </c:strRef>
          </c:tx>
          <c:spPr>
            <a:ln>
              <a:solidFill>
                <a:schemeClr val="tx1"/>
              </a:solidFill>
            </a:ln>
          </c:spPr>
          <c:invertIfNegative val="0"/>
          <c:dLbls>
            <c:dLbl>
              <c:idx val="0"/>
              <c:layout>
                <c:manualLayout>
                  <c:x val="0.43956947968143623"/>
                  <c:y val="9.3821624406919043E-3"/>
                </c:manualLayout>
              </c:layout>
              <c:spPr>
                <a:noFill/>
                <a:ln>
                  <a:noFill/>
                </a:ln>
                <a:effectLst/>
              </c:spPr>
              <c:txPr>
                <a:bodyPr wrap="square" lIns="38100" tIns="19050" rIns="38100" bIns="19050" anchor="ctr">
                  <a:noAutofit/>
                </a:bodyPr>
                <a:lstStyle/>
                <a:p>
                  <a:pPr>
                    <a:defRPr sz="800"/>
                  </a:pPr>
                  <a:endParaRPr lang="en-US"/>
                </a:p>
              </c:txPr>
              <c:showLegendKey val="0"/>
              <c:showVal val="0"/>
              <c:showCatName val="0"/>
              <c:showSerName val="1"/>
              <c:showPercent val="0"/>
              <c:showBubbleSize val="0"/>
              <c:extLst>
                <c:ext xmlns:c15="http://schemas.microsoft.com/office/drawing/2012/chart" uri="{CE6537A1-D6FC-4f65-9D91-7224C49458BB}">
                  <c15:layout>
                    <c:manualLayout>
                      <c:w val="0.43038978930949567"/>
                      <c:h val="8.7183929168367341E-2"/>
                    </c:manualLayout>
                  </c15:layout>
                </c:ext>
                <c:ext xmlns:c16="http://schemas.microsoft.com/office/drawing/2014/chart" uri="{C3380CC4-5D6E-409C-BE32-E72D297353CC}">
                  <c16:uniqueId val="{00000002-BE0D-474F-8B8B-5C0E5261B79C}"/>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Investment Tax Credit Savings</c:v>
              </c:pt>
            </c:strLit>
          </c:cat>
          <c:val>
            <c:numRef>
              <c:f>'Chart.Data'!$D$32</c:f>
              <c:numCache>
                <c:formatCode>"$"#,##0;\-"$"#,##0;\-</c:formatCode>
                <c:ptCount val="1"/>
                <c:pt idx="0">
                  <c:v>118800.399716657</c:v>
                </c:pt>
              </c:numCache>
            </c:numRef>
          </c:val>
          <c:extLst>
            <c:ext xmlns:c16="http://schemas.microsoft.com/office/drawing/2014/chart" uri="{C3380CC4-5D6E-409C-BE32-E72D297353CC}">
              <c16:uniqueId val="{00000003-BE0D-474F-8B8B-5C0E5261B79C}"/>
            </c:ext>
          </c:extLst>
        </c:ser>
        <c:ser>
          <c:idx val="1"/>
          <c:order val="3"/>
          <c:tx>
            <c:strRef>
              <c:f>'Chart.Data'!$B$21</c:f>
              <c:strCache>
                <c:ptCount val="1"/>
                <c:pt idx="0">
                  <c:v>Less Domestic Content Requirements</c:v>
                </c:pt>
              </c:strCache>
            </c:strRef>
          </c:tx>
          <c:spPr>
            <a:ln>
              <a:solidFill>
                <a:schemeClr val="tx1"/>
              </a:solidFill>
            </a:ln>
          </c:spPr>
          <c:invertIfNegative val="0"/>
          <c:dLbls>
            <c:dLbl>
              <c:idx val="0"/>
              <c:layout>
                <c:manualLayout>
                  <c:x val="0.28011792876993707"/>
                  <c:y val="0"/>
                </c:manualLayout>
              </c:layout>
              <c:spPr>
                <a:noFill/>
                <a:ln>
                  <a:noFill/>
                </a:ln>
                <a:effectLst/>
              </c:spPr>
              <c:txPr>
                <a:bodyPr wrap="square" lIns="38100" tIns="19050" rIns="38100" bIns="19050" anchor="ctr">
                  <a:noAutofit/>
                </a:bodyPr>
                <a:lstStyle/>
                <a:p>
                  <a:pPr>
                    <a:defRPr sz="800"/>
                  </a:pPr>
                  <a:endParaRPr lang="en-US"/>
                </a:p>
              </c:txPr>
              <c:showLegendKey val="0"/>
              <c:showVal val="0"/>
              <c:showCatName val="0"/>
              <c:showSerName val="1"/>
              <c:showPercent val="0"/>
              <c:showBubbleSize val="0"/>
              <c:extLst>
                <c:ext xmlns:c15="http://schemas.microsoft.com/office/drawing/2012/chart" uri="{CE6537A1-D6FC-4f65-9D91-7224C49458BB}">
                  <c15:layout>
                    <c:manualLayout>
                      <c:w val="0.41504796441098385"/>
                      <c:h val="9.1875010388713332E-2"/>
                    </c:manualLayout>
                  </c15:layout>
                </c:ext>
                <c:ext xmlns:c16="http://schemas.microsoft.com/office/drawing/2014/chart" uri="{C3380CC4-5D6E-409C-BE32-E72D297353CC}">
                  <c16:uniqueId val="{00000004-BE0D-474F-8B8B-5C0E5261B79C}"/>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Investment Tax Credit Savings</c:v>
              </c:pt>
            </c:strLit>
          </c:cat>
          <c:val>
            <c:numRef>
              <c:f>'Chart.Data'!$D$31</c:f>
              <c:numCache>
                <c:formatCode>"$"#,##0;\-"$"#,##0;\-</c:formatCode>
                <c:ptCount val="1"/>
                <c:pt idx="0">
                  <c:v>118800.39971665601</c:v>
                </c:pt>
              </c:numCache>
            </c:numRef>
          </c:val>
          <c:extLst>
            <c:ext xmlns:c16="http://schemas.microsoft.com/office/drawing/2014/chart" uri="{C3380CC4-5D6E-409C-BE32-E72D297353CC}">
              <c16:uniqueId val="{00000005-BE0D-474F-8B8B-5C0E5261B79C}"/>
            </c:ext>
          </c:extLst>
        </c:ser>
        <c:ser>
          <c:idx val="2"/>
          <c:order val="4"/>
          <c:tx>
            <c:strRef>
              <c:f>'Chart.Data'!$B$20</c:f>
              <c:strCache>
                <c:ptCount val="1"/>
                <c:pt idx="0">
                  <c:v>Less Prevailing Wage Requirements</c:v>
                </c:pt>
              </c:strCache>
            </c:strRef>
          </c:tx>
          <c:spPr>
            <a:ln>
              <a:solidFill>
                <a:schemeClr val="tx1"/>
              </a:solidFill>
            </a:ln>
          </c:spPr>
          <c:invertIfNegative val="0"/>
          <c:dLbls>
            <c:dLbl>
              <c:idx val="0"/>
              <c:layout>
                <c:manualLayout>
                  <c:x val="0.26000703545893927"/>
                  <c:y val="1.8764509569621002E-2"/>
                </c:manualLayout>
              </c:layout>
              <c:spPr>
                <a:noFill/>
                <a:ln>
                  <a:noFill/>
                </a:ln>
                <a:effectLst/>
              </c:spPr>
              <c:txPr>
                <a:bodyPr wrap="square" lIns="38100" tIns="19050" rIns="38100" bIns="19050" anchor="ctr">
                  <a:noAutofit/>
                </a:bodyPr>
                <a:lstStyle/>
                <a:p>
                  <a:pPr>
                    <a:defRPr sz="800"/>
                  </a:pPr>
                  <a:endParaRPr lang="en-US"/>
                </a:p>
              </c:txPr>
              <c:showLegendKey val="0"/>
              <c:showVal val="0"/>
              <c:showCatName val="0"/>
              <c:showSerName val="1"/>
              <c:showPercent val="0"/>
              <c:showBubbleSize val="0"/>
              <c:extLst>
                <c:ext xmlns:c15="http://schemas.microsoft.com/office/drawing/2012/chart" uri="{CE6537A1-D6FC-4f65-9D91-7224C49458BB}">
                  <c15:layout>
                    <c:manualLayout>
                      <c:w val="0.24779632911922161"/>
                      <c:h val="0.15755014747355725"/>
                    </c:manualLayout>
                  </c15:layout>
                </c:ext>
                <c:ext xmlns:c16="http://schemas.microsoft.com/office/drawing/2014/chart" uri="{C3380CC4-5D6E-409C-BE32-E72D297353CC}">
                  <c16:uniqueId val="{00000006-BE0D-474F-8B8B-5C0E5261B79C}"/>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Investment Tax Credit Savings</c:v>
              </c:pt>
            </c:strLit>
          </c:cat>
          <c:val>
            <c:numRef>
              <c:f>'Chart.Data'!$D$30</c:f>
              <c:numCache>
                <c:formatCode>"$"#,##0;\-"$"#,##0;\-</c:formatCode>
                <c:ptCount val="1"/>
                <c:pt idx="0">
                  <c:v>285120.95931997697</c:v>
                </c:pt>
              </c:numCache>
            </c:numRef>
          </c:val>
          <c:extLst>
            <c:ext xmlns:c16="http://schemas.microsoft.com/office/drawing/2014/chart" uri="{C3380CC4-5D6E-409C-BE32-E72D297353CC}">
              <c16:uniqueId val="{00000007-BE0D-474F-8B8B-5C0E5261B79C}"/>
            </c:ext>
          </c:extLst>
        </c:ser>
        <c:ser>
          <c:idx val="3"/>
          <c:order val="5"/>
          <c:tx>
            <c:strRef>
              <c:f>'Chart.Data'!$B$29</c:f>
              <c:strCache>
                <c:ptCount val="1"/>
                <c:pt idx="0">
                  <c:v>Less Base Credit</c:v>
                </c:pt>
              </c:strCache>
            </c:strRef>
          </c:tx>
          <c:spPr>
            <a:ln>
              <a:solidFill>
                <a:schemeClr val="tx1"/>
              </a:solidFill>
            </a:ln>
          </c:spPr>
          <c:invertIfNegative val="0"/>
          <c:dLbls>
            <c:dLbl>
              <c:idx val="0"/>
              <c:layout>
                <c:manualLayout>
                  <c:x val="0.18387228492930041"/>
                  <c:y val="-2.1500540550506659E-17"/>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E0D-474F-8B8B-5C0E5261B79C}"/>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Investment Tax Credit Savings</c:v>
              </c:pt>
            </c:strLit>
          </c:cat>
          <c:val>
            <c:numRef>
              <c:f>'Chart.Data'!$D$29</c:f>
              <c:numCache>
                <c:formatCode>"$"#,##0;\-"$"#,##0;\-</c:formatCode>
                <c:ptCount val="1"/>
                <c:pt idx="0">
                  <c:v>71280.23982999404</c:v>
                </c:pt>
              </c:numCache>
            </c:numRef>
          </c:val>
          <c:extLst>
            <c:ext xmlns:c16="http://schemas.microsoft.com/office/drawing/2014/chart" uri="{C3380CC4-5D6E-409C-BE32-E72D297353CC}">
              <c16:uniqueId val="{00000009-BE0D-474F-8B8B-5C0E5261B79C}"/>
            </c:ext>
          </c:extLst>
        </c:ser>
        <c:ser>
          <c:idx val="4"/>
          <c:order val="6"/>
          <c:tx>
            <c:strRef>
              <c:f>'Chart.Data'!$B$18</c:f>
              <c:strCache>
                <c:ptCount val="1"/>
                <c:pt idx="0">
                  <c:v>NPV of Financing Costs</c:v>
                </c:pt>
              </c:strCache>
            </c:strRef>
          </c:tx>
          <c:invertIfNegative val="0"/>
          <c:cat>
            <c:strLit>
              <c:ptCount val="1"/>
              <c:pt idx="0">
                <c:v>Investment Tax Credit Savings</c:v>
              </c:pt>
            </c:strLit>
          </c:cat>
          <c:val>
            <c:numRef>
              <c:f>'Chart.Data'!$D$18</c:f>
              <c:numCache>
                <c:formatCode>"$"#,##0;\-"$"#,##0;\-</c:formatCode>
                <c:ptCount val="1"/>
                <c:pt idx="0">
                  <c:v>0</c:v>
                </c:pt>
              </c:numCache>
            </c:numRef>
          </c:val>
          <c:extLst>
            <c:ext xmlns:c16="http://schemas.microsoft.com/office/drawing/2014/chart" uri="{C3380CC4-5D6E-409C-BE32-E72D297353CC}">
              <c16:uniqueId val="{0000000B-BE0D-474F-8B8B-5C0E5261B79C}"/>
            </c:ext>
          </c:extLst>
        </c:ser>
        <c:dLbls>
          <c:showLegendKey val="0"/>
          <c:showVal val="0"/>
          <c:showCatName val="0"/>
          <c:showSerName val="0"/>
          <c:showPercent val="0"/>
          <c:showBubbleSize val="0"/>
        </c:dLbls>
        <c:gapWidth val="219"/>
        <c:axId val="1966656112"/>
        <c:axId val="1966661936"/>
      </c:barChart>
      <c:catAx>
        <c:axId val="1966656112"/>
        <c:scaling>
          <c:orientation val="maxMin"/>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966661936"/>
        <c:crosses val="autoZero"/>
        <c:auto val="1"/>
        <c:lblAlgn val="ctr"/>
        <c:lblOffset val="100"/>
        <c:noMultiLvlLbl val="0"/>
      </c:catAx>
      <c:valAx>
        <c:axId val="1966661936"/>
        <c:scaling>
          <c:orientation val="minMax"/>
          <c:max val="1000000"/>
        </c:scaling>
        <c:delete val="0"/>
        <c:axPos val="r"/>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966656112"/>
        <c:crosses val="autoZero"/>
        <c:crossBetween val="between"/>
        <c:majorUnit val="1000000"/>
        <c:dispUnits>
          <c:builtInUnit val="millions"/>
        </c:dispUnits>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Tax Credit per kWh of Electricity Produced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'Chart.Data'!$B$42</c:f>
              <c:strCache>
                <c:ptCount val="1"/>
                <c:pt idx="0">
                  <c:v>Space 1</c:v>
                </c:pt>
              </c:strCache>
            </c:strRef>
          </c:tx>
          <c:spPr>
            <a:solidFill>
              <a:schemeClr val="accent1"/>
            </a:solidFill>
            <a:ln>
              <a:noFill/>
            </a:ln>
            <a:effectLst/>
          </c:spPr>
          <c:invertIfNegative val="0"/>
          <c:cat>
            <c:strLit>
              <c:ptCount val="1"/>
              <c:pt idx="0">
                <c:v>Production Tax Credit Value</c:v>
              </c:pt>
            </c:strLit>
          </c:cat>
          <c:val>
            <c:numRef>
              <c:f>'Chart.Data'!$C$42</c:f>
              <c:numCache>
                <c:formatCode>General</c:formatCode>
                <c:ptCount val="1"/>
                <c:pt idx="0">
                  <c:v>0</c:v>
                </c:pt>
              </c:numCache>
            </c:numRef>
          </c:val>
          <c:extLst>
            <c:ext xmlns:c16="http://schemas.microsoft.com/office/drawing/2014/chart" uri="{C3380CC4-5D6E-409C-BE32-E72D297353CC}">
              <c16:uniqueId val="{00000000-8B19-48B1-AC56-AB28110D1BD9}"/>
            </c:ext>
          </c:extLst>
        </c:ser>
        <c:ser>
          <c:idx val="1"/>
          <c:order val="1"/>
          <c:tx>
            <c:strRef>
              <c:f>'Chart.Data'!$B$43</c:f>
              <c:strCache>
                <c:ptCount val="1"/>
                <c:pt idx="0">
                  <c:v>Space 2</c:v>
                </c:pt>
              </c:strCache>
            </c:strRef>
          </c:tx>
          <c:spPr>
            <a:solidFill>
              <a:schemeClr val="accent2"/>
            </a:solidFill>
            <a:ln>
              <a:noFill/>
            </a:ln>
            <a:effectLst/>
          </c:spPr>
          <c:invertIfNegative val="0"/>
          <c:cat>
            <c:strLit>
              <c:ptCount val="1"/>
              <c:pt idx="0">
                <c:v>Production Tax Credit Value</c:v>
              </c:pt>
            </c:strLit>
          </c:cat>
          <c:val>
            <c:numRef>
              <c:f>'Chart.Data'!$C$43</c:f>
              <c:numCache>
                <c:formatCode>General</c:formatCode>
                <c:ptCount val="1"/>
                <c:pt idx="0">
                  <c:v>0</c:v>
                </c:pt>
              </c:numCache>
            </c:numRef>
          </c:val>
          <c:extLst>
            <c:ext xmlns:c16="http://schemas.microsoft.com/office/drawing/2014/chart" uri="{C3380CC4-5D6E-409C-BE32-E72D297353CC}">
              <c16:uniqueId val="{00000001-8B19-48B1-AC56-AB28110D1BD9}"/>
            </c:ext>
          </c:extLst>
        </c:ser>
        <c:ser>
          <c:idx val="2"/>
          <c:order val="2"/>
          <c:tx>
            <c:strRef>
              <c:f>'Chart.Data'!$B$44</c:f>
              <c:strCache>
                <c:ptCount val="1"/>
                <c:pt idx="0">
                  <c:v>Base Credit</c:v>
                </c:pt>
              </c:strCache>
            </c:strRef>
          </c:tx>
          <c:spPr>
            <a:solidFill>
              <a:schemeClr val="accent3"/>
            </a:solidFill>
            <a:ln w="6350">
              <a:solidFill>
                <a:sysClr val="windowText" lastClr="000000"/>
              </a:solidFill>
            </a:ln>
            <a:effectLst/>
          </c:spPr>
          <c:invertIfNegative val="0"/>
          <c:dLbls>
            <c:dLbl>
              <c:idx val="0"/>
              <c:layout>
                <c:manualLayout>
                  <c:x val="-0.33611111111111114"/>
                  <c:y val="-8.4875562720133283E-17"/>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B19-48B1-AC56-AB28110D1BD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Production Tax Credit Value</c:v>
              </c:pt>
            </c:strLit>
          </c:cat>
          <c:val>
            <c:numRef>
              <c:f>'Chart.Data'!$C$58</c:f>
              <c:numCache>
                <c:formatCode>0.00</c:formatCode>
                <c:ptCount val="1"/>
                <c:pt idx="0">
                  <c:v>0.3</c:v>
                </c:pt>
              </c:numCache>
            </c:numRef>
          </c:val>
          <c:extLst>
            <c:ext xmlns:c16="http://schemas.microsoft.com/office/drawing/2014/chart" uri="{C3380CC4-5D6E-409C-BE32-E72D297353CC}">
              <c16:uniqueId val="{00000003-8B19-48B1-AC56-AB28110D1BD9}"/>
            </c:ext>
          </c:extLst>
        </c:ser>
        <c:ser>
          <c:idx val="5"/>
          <c:order val="3"/>
          <c:tx>
            <c:strRef>
              <c:f>'Chart.Data'!$B$47</c:f>
              <c:strCache>
                <c:ptCount val="1"/>
                <c:pt idx="0">
                  <c:v>Plus Inflation Adjustment</c:v>
                </c:pt>
              </c:strCache>
            </c:strRef>
          </c:tx>
          <c:spPr>
            <a:solidFill>
              <a:schemeClr val="accent6"/>
            </a:solidFill>
            <a:ln w="6350">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08-8B19-48B1-AC56-AB28110D1BD9}"/>
              </c:ext>
            </c:extLst>
          </c:dPt>
          <c:dLbls>
            <c:dLbl>
              <c:idx val="0"/>
              <c:layout>
                <c:manualLayout>
                  <c:x val="-0.39166666666666666"/>
                  <c:y val="-6.9444444444444441E-3"/>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28280555555555553"/>
                      <c:h val="6.6620370370370385E-2"/>
                    </c:manualLayout>
                  </c15:layout>
                </c:ext>
                <c:ext xmlns:c16="http://schemas.microsoft.com/office/drawing/2014/chart" uri="{C3380CC4-5D6E-409C-BE32-E72D297353CC}">
                  <c16:uniqueId val="{00000008-8B19-48B1-AC56-AB28110D1B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Production Tax Credit Value</c:v>
              </c:pt>
            </c:strLit>
          </c:cat>
          <c:val>
            <c:numRef>
              <c:f>'Chart.Data'!$C$61</c:f>
              <c:numCache>
                <c:formatCode>0.00</c:formatCode>
                <c:ptCount val="1"/>
                <c:pt idx="0">
                  <c:v>0.25000000000000006</c:v>
                </c:pt>
              </c:numCache>
            </c:numRef>
          </c:val>
          <c:extLst>
            <c:ext xmlns:c16="http://schemas.microsoft.com/office/drawing/2014/chart" uri="{C3380CC4-5D6E-409C-BE32-E72D297353CC}">
              <c16:uniqueId val="{00000009-8B19-48B1-AC56-AB28110D1BD9}"/>
            </c:ext>
          </c:extLst>
        </c:ser>
        <c:ser>
          <c:idx val="7"/>
          <c:order val="4"/>
          <c:tx>
            <c:strRef>
              <c:f>'Chart.Data'!$B$62</c:f>
              <c:strCache>
                <c:ptCount val="1"/>
                <c:pt idx="0">
                  <c:v>Less Tax-Exempt Funding Clawback</c:v>
                </c:pt>
              </c:strCache>
            </c:strRef>
          </c:tx>
          <c:spPr>
            <a:solidFill>
              <a:schemeClr val="accent2">
                <a:lumMod val="60000"/>
              </a:schemeClr>
            </a:solidFill>
            <a:ln w="6350">
              <a:solidFill>
                <a:sysClr val="windowText" lastClr="000000"/>
              </a:solidFill>
            </a:ln>
            <a:effectLst/>
          </c:spPr>
          <c:invertIfNegative val="0"/>
          <c:dLbls>
            <c:dLbl>
              <c:idx val="0"/>
              <c:layout>
                <c:manualLayout>
                  <c:x val="-0.45138888888888884"/>
                  <c:y val="-4.861074657334483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41336111111111118"/>
                      <c:h val="6.6620370370370385E-2"/>
                    </c:manualLayout>
                  </c15:layout>
                </c:ext>
                <c:ext xmlns:c16="http://schemas.microsoft.com/office/drawing/2014/chart" uri="{C3380CC4-5D6E-409C-BE32-E72D297353CC}">
                  <c16:uniqueId val="{0000000E-8B19-48B1-AC56-AB28110D1BD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Production Tax Credit Value</c:v>
              </c:pt>
            </c:strLit>
          </c:cat>
          <c:val>
            <c:numRef>
              <c:f>'Chart.Data'!$C$62</c:f>
              <c:numCache>
                <c:formatCode>General</c:formatCode>
                <c:ptCount val="1"/>
                <c:pt idx="0">
                  <c:v>-8.2500000000000004E-2</c:v>
                </c:pt>
              </c:numCache>
            </c:numRef>
          </c:val>
          <c:extLst>
            <c:ext xmlns:c16="http://schemas.microsoft.com/office/drawing/2014/chart" uri="{C3380CC4-5D6E-409C-BE32-E72D297353CC}">
              <c16:uniqueId val="{0000000C-8B19-48B1-AC56-AB28110D1BD9}"/>
            </c:ext>
          </c:extLst>
        </c:ser>
        <c:dLbls>
          <c:showLegendKey val="0"/>
          <c:showVal val="0"/>
          <c:showCatName val="0"/>
          <c:showSerName val="0"/>
          <c:showPercent val="0"/>
          <c:showBubbleSize val="0"/>
        </c:dLbls>
        <c:gapWidth val="150"/>
        <c:axId val="1588647424"/>
        <c:axId val="1588637856"/>
      </c:barChart>
      <c:catAx>
        <c:axId val="1588647424"/>
        <c:scaling>
          <c:orientation val="minMax"/>
        </c:scaling>
        <c:delete val="0"/>
        <c:axPos val="b"/>
        <c:numFmt formatCode="General" sourceLinked="1"/>
        <c:majorTickMark val="none"/>
        <c:minorTickMark val="none"/>
        <c:tickLblPos val="nextTo"/>
        <c:spPr>
          <a:noFill/>
          <a:ln w="6350"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8637856"/>
        <c:crosses val="autoZero"/>
        <c:auto val="1"/>
        <c:lblAlgn val="ctr"/>
        <c:lblOffset val="100"/>
        <c:noMultiLvlLbl val="0"/>
      </c:catAx>
      <c:valAx>
        <c:axId val="1588637856"/>
        <c:scaling>
          <c:orientation val="minMax"/>
          <c:max val="0.55000000000000004"/>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 sourceLinked="0"/>
        <c:majorTickMark val="out"/>
        <c:minorTickMark val="none"/>
        <c:tickLblPos val="nextTo"/>
        <c:spPr>
          <a:noFill/>
          <a:ln w="6350">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8647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Levelized $/kWh by Scenario</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rgbClr val="4298B5"/>
            </a:solidFill>
            <a:ln>
              <a:solidFill>
                <a:schemeClr val="tx1"/>
              </a:solidFill>
            </a:ln>
            <a:effectLst/>
          </c:spPr>
          <c:invertIfNegative val="0"/>
          <c:dLbls>
            <c:numFmt formatCode="&quot;$&quot;#,##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'Chart.Data'!$B$3:$B$5</c:f>
              <c:strCache>
                <c:ptCount val="3"/>
                <c:pt idx="0">
                  <c:v>No Credit</c:v>
                </c:pt>
                <c:pt idx="1">
                  <c:v>ITC</c:v>
                </c:pt>
                <c:pt idx="2">
                  <c:v>PTC</c:v>
                </c:pt>
              </c:strCache>
            </c:strRef>
          </c:cat>
          <c:val>
            <c:numRef>
              <c:f>'Chart.Data'!$C$3:$C$5</c:f>
              <c:numCache>
                <c:formatCode>"$"#,##0.000</c:formatCode>
                <c:ptCount val="3"/>
                <c:pt idx="0">
                  <c:v>-0.25974059872860528</c:v>
                </c:pt>
                <c:pt idx="1">
                  <c:v>-0.17518572784795045</c:v>
                </c:pt>
                <c:pt idx="2">
                  <c:v>-0.1972280063855589</c:v>
                </c:pt>
              </c:numCache>
            </c:numRef>
          </c:val>
          <c:extLst>
            <c:ext xmlns:c16="http://schemas.microsoft.com/office/drawing/2014/chart" uri="{C3380CC4-5D6E-409C-BE32-E72D297353CC}">
              <c16:uniqueId val="{00000000-50BF-49F6-B1DA-64652088D2BF}"/>
            </c:ext>
          </c:extLst>
        </c:ser>
        <c:dLbls>
          <c:showLegendKey val="0"/>
          <c:showVal val="0"/>
          <c:showCatName val="0"/>
          <c:showSerName val="0"/>
          <c:showPercent val="0"/>
          <c:showBubbleSize val="0"/>
        </c:dLbls>
        <c:gapWidth val="219"/>
        <c:overlap val="-27"/>
        <c:axId val="1966656112"/>
        <c:axId val="1966661936"/>
      </c:barChart>
      <c:catAx>
        <c:axId val="1966656112"/>
        <c:scaling>
          <c:orientation val="minMax"/>
        </c:scaling>
        <c:delete val="0"/>
        <c:axPos val="b"/>
        <c:numFmt formatCode="General" sourceLinked="1"/>
        <c:majorTickMark val="none"/>
        <c:minorTickMark val="none"/>
        <c:tickLblPos val="high"/>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966661936"/>
        <c:crosses val="autoZero"/>
        <c:auto val="1"/>
        <c:lblAlgn val="ctr"/>
        <c:lblOffset val="100"/>
        <c:noMultiLvlLbl val="0"/>
      </c:catAx>
      <c:valAx>
        <c:axId val="1966661936"/>
        <c:scaling>
          <c:orientation val="minMax"/>
        </c:scaling>
        <c:delete val="0"/>
        <c:axPos val="l"/>
        <c:numFmt formatCode="&quot;$&quot;#,##0.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9666561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NPV by Scenario</a:t>
            </a:r>
          </a:p>
        </c:rich>
      </c:tx>
      <c:overlay val="0"/>
      <c:spPr>
        <a:noFill/>
        <a:ln>
          <a:noFill/>
        </a:ln>
        <a:effectLst/>
      </c:spPr>
    </c:title>
    <c:autoTitleDeleted val="0"/>
    <c:plotArea>
      <c:layout/>
      <c:barChart>
        <c:barDir val="col"/>
        <c:grouping val="clustered"/>
        <c:varyColors val="0"/>
        <c:ser>
          <c:idx val="0"/>
          <c:order val="0"/>
          <c:spPr>
            <a:solidFill>
              <a:srgbClr val="4298B5"/>
            </a:solidFill>
            <a:ln>
              <a:solidFill>
                <a:schemeClr val="tx1"/>
              </a:solidFill>
            </a:ln>
            <a:effectLst/>
          </c:spPr>
          <c:invertIfNegative val="0"/>
          <c:dLbls>
            <c:numFmt formatCode="&quot;$&quot;#,##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'Chart.Data'!$B$3:$B$5</c:f>
              <c:strCache>
                <c:ptCount val="3"/>
                <c:pt idx="0">
                  <c:v>No Credit</c:v>
                </c:pt>
                <c:pt idx="1">
                  <c:v>ITC</c:v>
                </c:pt>
                <c:pt idx="2">
                  <c:v>PTC</c:v>
                </c:pt>
              </c:strCache>
            </c:strRef>
          </c:cat>
          <c:val>
            <c:numRef>
              <c:f>'Chart.Data'!$D$3:$D$5</c:f>
              <c:numCache>
                <c:formatCode>"$"#,##0</c:formatCode>
                <c:ptCount val="3"/>
                <c:pt idx="0">
                  <c:v>-2039981.3919476997</c:v>
                </c:pt>
                <c:pt idx="1">
                  <c:v>-1655659.5469545578</c:v>
                </c:pt>
                <c:pt idx="2">
                  <c:v>-1863978.5084689215</c:v>
                </c:pt>
              </c:numCache>
            </c:numRef>
          </c:val>
          <c:extLst>
            <c:ext xmlns:c16="http://schemas.microsoft.com/office/drawing/2014/chart" uri="{C3380CC4-5D6E-409C-BE32-E72D297353CC}">
              <c16:uniqueId val="{00000000-4905-4B71-B388-16D5DDD49098}"/>
            </c:ext>
          </c:extLst>
        </c:ser>
        <c:dLbls>
          <c:showLegendKey val="0"/>
          <c:showVal val="0"/>
          <c:showCatName val="0"/>
          <c:showSerName val="0"/>
          <c:showPercent val="0"/>
          <c:showBubbleSize val="0"/>
        </c:dLbls>
        <c:gapWidth val="219"/>
        <c:overlap val="-27"/>
        <c:axId val="1966656112"/>
        <c:axId val="1966661936"/>
      </c:barChart>
      <c:catAx>
        <c:axId val="1966656112"/>
        <c:scaling>
          <c:orientation val="minMax"/>
        </c:scaling>
        <c:delete val="0"/>
        <c:axPos val="b"/>
        <c:numFmt formatCode="General" sourceLinked="1"/>
        <c:majorTickMark val="none"/>
        <c:minorTickMark val="none"/>
        <c:tickLblPos val="high"/>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966661936"/>
        <c:crosses val="autoZero"/>
        <c:auto val="1"/>
        <c:lblAlgn val="ctr"/>
        <c:lblOffset val="100"/>
        <c:noMultiLvlLbl val="0"/>
      </c:catAx>
      <c:valAx>
        <c:axId val="1966661936"/>
        <c:scaling>
          <c:orientation val="minMax"/>
        </c:scaling>
        <c:delete val="0"/>
        <c:axPos val="l"/>
        <c:numFmt formatCode="&quot;$&quot;#,##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966656112"/>
        <c:crosses val="autoZero"/>
        <c:crossBetween val="between"/>
        <c:dispUnits>
          <c:builtInUnit val="millions"/>
          <c:dispUnitsLbl/>
        </c:dispUnits>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47625</xdr:colOff>
      <xdr:row>24</xdr:row>
      <xdr:rowOff>0</xdr:rowOff>
    </xdr:from>
    <xdr:to>
      <xdr:col>9</xdr:col>
      <xdr:colOff>0</xdr:colOff>
      <xdr:row>39</xdr:row>
      <xdr:rowOff>79756</xdr:rowOff>
    </xdr:to>
    <xdr:graphicFrame macro="">
      <xdr:nvGraphicFramePr>
        <xdr:cNvPr id="6" name="Chart 5">
          <a:extLst>
            <a:ext uri="{FF2B5EF4-FFF2-40B4-BE49-F238E27FC236}">
              <a16:creationId xmlns:a16="http://schemas.microsoft.com/office/drawing/2014/main" id="{8854BA39-167C-45CC-9495-BC69615F36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57150</xdr:colOff>
      <xdr:row>5</xdr:row>
      <xdr:rowOff>0</xdr:rowOff>
    </xdr:from>
    <xdr:to>
      <xdr:col>8</xdr:col>
      <xdr:colOff>1685925</xdr:colOff>
      <xdr:row>20</xdr:row>
      <xdr:rowOff>19050</xdr:rowOff>
    </xdr:to>
    <xdr:graphicFrame macro="">
      <xdr:nvGraphicFramePr>
        <xdr:cNvPr id="8" name="Chart 7">
          <a:extLst>
            <a:ext uri="{FF2B5EF4-FFF2-40B4-BE49-F238E27FC236}">
              <a16:creationId xmlns:a16="http://schemas.microsoft.com/office/drawing/2014/main" id="{4C182AFE-84FA-4C8D-9BEC-A4850A5973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361950</xdr:colOff>
      <xdr:row>1</xdr:row>
      <xdr:rowOff>171450</xdr:rowOff>
    </xdr:from>
    <xdr:to>
      <xdr:col>17</xdr:col>
      <xdr:colOff>515215</xdr:colOff>
      <xdr:row>16</xdr:row>
      <xdr:rowOff>30740</xdr:rowOff>
    </xdr:to>
    <xdr:graphicFrame macro="">
      <xdr:nvGraphicFramePr>
        <xdr:cNvPr id="2" name="Chart 1">
          <a:extLst>
            <a:ext uri="{FF2B5EF4-FFF2-40B4-BE49-F238E27FC236}">
              <a16:creationId xmlns:a16="http://schemas.microsoft.com/office/drawing/2014/main" id="{EA69D546-384A-4F1E-8C97-98C4911D95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53975</xdr:colOff>
      <xdr:row>19</xdr:row>
      <xdr:rowOff>123825</xdr:rowOff>
    </xdr:from>
    <xdr:to>
      <xdr:col>18</xdr:col>
      <xdr:colOff>207240</xdr:colOff>
      <xdr:row>33</xdr:row>
      <xdr:rowOff>164090</xdr:rowOff>
    </xdr:to>
    <xdr:graphicFrame macro="">
      <xdr:nvGraphicFramePr>
        <xdr:cNvPr id="3" name="Chart 2">
          <a:extLst>
            <a:ext uri="{FF2B5EF4-FFF2-40B4-BE49-F238E27FC236}">
              <a16:creationId xmlns:a16="http://schemas.microsoft.com/office/drawing/2014/main" id="{45358F58-51C0-4064-85CF-0238EE12C8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39</xdr:row>
      <xdr:rowOff>0</xdr:rowOff>
    </xdr:from>
    <xdr:to>
      <xdr:col>18</xdr:col>
      <xdr:colOff>153265</xdr:colOff>
      <xdr:row>53</xdr:row>
      <xdr:rowOff>40265</xdr:rowOff>
    </xdr:to>
    <xdr:graphicFrame macro="">
      <xdr:nvGraphicFramePr>
        <xdr:cNvPr id="4" name="Chart 3">
          <a:extLst>
            <a:ext uri="{FF2B5EF4-FFF2-40B4-BE49-F238E27FC236}">
              <a16:creationId xmlns:a16="http://schemas.microsoft.com/office/drawing/2014/main" id="{830CC505-C204-4A22-8555-7A9963D02A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176212</xdr:colOff>
      <xdr:row>35</xdr:row>
      <xdr:rowOff>109537</xdr:rowOff>
    </xdr:from>
    <xdr:to>
      <xdr:col>10</xdr:col>
      <xdr:colOff>290512</xdr:colOff>
      <xdr:row>49</xdr:row>
      <xdr:rowOff>185737</xdr:rowOff>
    </xdr:to>
    <xdr:graphicFrame macro="">
      <xdr:nvGraphicFramePr>
        <xdr:cNvPr id="5" name="Chart 4">
          <a:extLst>
            <a:ext uri="{FF2B5EF4-FFF2-40B4-BE49-F238E27FC236}">
              <a16:creationId xmlns:a16="http://schemas.microsoft.com/office/drawing/2014/main" id="{2BE1D35B-CB39-7FD2-0B41-5527D40D1B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123825</xdr:colOff>
      <xdr:row>22</xdr:row>
      <xdr:rowOff>171450</xdr:rowOff>
    </xdr:from>
    <xdr:to>
      <xdr:col>26</xdr:col>
      <xdr:colOff>277090</xdr:colOff>
      <xdr:row>37</xdr:row>
      <xdr:rowOff>21215</xdr:rowOff>
    </xdr:to>
    <xdr:graphicFrame macro="">
      <xdr:nvGraphicFramePr>
        <xdr:cNvPr id="6" name="Chart 5">
          <a:extLst>
            <a:ext uri="{FF2B5EF4-FFF2-40B4-BE49-F238E27FC236}">
              <a16:creationId xmlns:a16="http://schemas.microsoft.com/office/drawing/2014/main" id="{CE9138D2-8452-4A0D-83DD-947BF97E3F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0</xdr:colOff>
      <xdr:row>39</xdr:row>
      <xdr:rowOff>0</xdr:rowOff>
    </xdr:from>
    <xdr:to>
      <xdr:col>26</xdr:col>
      <xdr:colOff>153265</xdr:colOff>
      <xdr:row>53</xdr:row>
      <xdr:rowOff>40265</xdr:rowOff>
    </xdr:to>
    <xdr:graphicFrame macro="">
      <xdr:nvGraphicFramePr>
        <xdr:cNvPr id="7" name="Chart 6">
          <a:extLst>
            <a:ext uri="{FF2B5EF4-FFF2-40B4-BE49-F238E27FC236}">
              <a16:creationId xmlns:a16="http://schemas.microsoft.com/office/drawing/2014/main" id="{55B0F05E-D7A3-48C0-968B-C8269B79B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51</xdr:row>
      <xdr:rowOff>0</xdr:rowOff>
    </xdr:from>
    <xdr:to>
      <xdr:col>10</xdr:col>
      <xdr:colOff>114300</xdr:colOff>
      <xdr:row>65</xdr:row>
      <xdr:rowOff>76200</xdr:rowOff>
    </xdr:to>
    <xdr:graphicFrame macro="">
      <xdr:nvGraphicFramePr>
        <xdr:cNvPr id="8" name="Chart 7">
          <a:extLst>
            <a:ext uri="{FF2B5EF4-FFF2-40B4-BE49-F238E27FC236}">
              <a16:creationId xmlns:a16="http://schemas.microsoft.com/office/drawing/2014/main" id="{C4B9F9CE-C16E-4FB5-A4FA-8D582B7A3F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1</xdr:row>
      <xdr:rowOff>65376</xdr:rowOff>
    </xdr:from>
    <xdr:to>
      <xdr:col>26</xdr:col>
      <xdr:colOff>287338</xdr:colOff>
      <xdr:row>16</xdr:row>
      <xdr:rowOff>54841</xdr:rowOff>
    </xdr:to>
    <xdr:graphicFrame macro="">
      <xdr:nvGraphicFramePr>
        <xdr:cNvPr id="9" name="Chart 3">
          <a:extLst>
            <a:ext uri="{FF2B5EF4-FFF2-40B4-BE49-F238E27FC236}">
              <a16:creationId xmlns:a16="http://schemas.microsoft.com/office/drawing/2014/main" id="{AA51CA49-A189-4693-B1A1-9E0386CB7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26</xdr:col>
      <xdr:colOff>582539</xdr:colOff>
      <xdr:row>3</xdr:row>
      <xdr:rowOff>0</xdr:rowOff>
    </xdr:from>
    <xdr:to>
      <xdr:col>34</xdr:col>
      <xdr:colOff>364329</xdr:colOff>
      <xdr:row>18</xdr:row>
      <xdr:rowOff>2165</xdr:rowOff>
    </xdr:to>
    <xdr:graphicFrame macro="">
      <xdr:nvGraphicFramePr>
        <xdr:cNvPr id="10" name="Chart 9">
          <a:extLst>
            <a:ext uri="{FF2B5EF4-FFF2-40B4-BE49-F238E27FC236}">
              <a16:creationId xmlns:a16="http://schemas.microsoft.com/office/drawing/2014/main" id="{F2E6A12F-5742-4864-A309-FF903873AB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0.2715</cdr:x>
      <cdr:y>0.18295</cdr:y>
    </cdr:from>
    <cdr:to>
      <cdr:x>0.37708</cdr:x>
      <cdr:y>0.24628</cdr:y>
    </cdr:to>
    <cdr:sp macro="" textlink="">
      <cdr:nvSpPr>
        <cdr:cNvPr id="2" name="TextBox 1">
          <a:extLst xmlns:a="http://schemas.openxmlformats.org/drawingml/2006/main">
            <a:ext uri="{FF2B5EF4-FFF2-40B4-BE49-F238E27FC236}">
              <a16:creationId xmlns:a16="http://schemas.microsoft.com/office/drawing/2014/main" id="{2C82AF09-13F2-4B31-CCFB-017BB2394FF9}"/>
            </a:ext>
          </a:extLst>
        </cdr:cNvPr>
        <cdr:cNvSpPr txBox="1"/>
      </cdr:nvSpPr>
      <cdr:spPr>
        <a:xfrm xmlns:a="http://schemas.openxmlformats.org/drawingml/2006/main">
          <a:off x="1200149" y="495300"/>
          <a:ext cx="466725"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latin typeface="Arial" panose="020B0604020202020204" pitchFamily="34" charset="0"/>
              <a:cs typeface="Arial" panose="020B0604020202020204" pitchFamily="34" charset="0"/>
            </a:rPr>
            <a:t>-5.1%</a:t>
          </a:r>
        </a:p>
      </cdr:txBody>
    </cdr:sp>
  </cdr:relSizeAnchor>
  <cdr:relSizeAnchor xmlns:cdr="http://schemas.openxmlformats.org/drawingml/2006/chartDrawing">
    <cdr:from>
      <cdr:x>0.37062</cdr:x>
      <cdr:y>0.29671</cdr:y>
    </cdr:from>
    <cdr:to>
      <cdr:x>0.48769</cdr:x>
      <cdr:y>0.36942</cdr:y>
    </cdr:to>
    <cdr:sp macro="" textlink="">
      <cdr:nvSpPr>
        <cdr:cNvPr id="3" name="TextBox 1">
          <a:extLst xmlns:a="http://schemas.openxmlformats.org/drawingml/2006/main">
            <a:ext uri="{FF2B5EF4-FFF2-40B4-BE49-F238E27FC236}">
              <a16:creationId xmlns:a16="http://schemas.microsoft.com/office/drawing/2014/main" id="{C251C0BB-E891-2BCF-D56F-376A7D99C5CE}"/>
            </a:ext>
          </a:extLst>
        </cdr:cNvPr>
        <cdr:cNvSpPr txBox="1"/>
      </cdr:nvSpPr>
      <cdr:spPr>
        <a:xfrm xmlns:a="http://schemas.openxmlformats.org/drawingml/2006/main">
          <a:off x="1638300" y="803275"/>
          <a:ext cx="517525"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-20.4%</a:t>
          </a:r>
        </a:p>
      </cdr:txBody>
    </cdr:sp>
  </cdr:relSizeAnchor>
  <cdr:relSizeAnchor xmlns:cdr="http://schemas.openxmlformats.org/drawingml/2006/chartDrawing">
    <cdr:from>
      <cdr:x>0.49416</cdr:x>
      <cdr:y>0.41985</cdr:y>
    </cdr:from>
    <cdr:to>
      <cdr:x>0.59615</cdr:x>
      <cdr:y>0.49256</cdr:y>
    </cdr:to>
    <cdr:sp macro="" textlink="">
      <cdr:nvSpPr>
        <cdr:cNvPr id="4" name="TextBox 1">
          <a:extLst xmlns:a="http://schemas.openxmlformats.org/drawingml/2006/main">
            <a:ext uri="{FF2B5EF4-FFF2-40B4-BE49-F238E27FC236}">
              <a16:creationId xmlns:a16="http://schemas.microsoft.com/office/drawing/2014/main" id="{579A0F0E-CD5D-42EC-8637-16858D6D6001}"/>
            </a:ext>
          </a:extLst>
        </cdr:cNvPr>
        <cdr:cNvSpPr txBox="1"/>
      </cdr:nvSpPr>
      <cdr:spPr>
        <a:xfrm xmlns:a="http://schemas.openxmlformats.org/drawingml/2006/main">
          <a:off x="2184400" y="1136650"/>
          <a:ext cx="450850"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-8.5%</a:t>
          </a:r>
        </a:p>
      </cdr:txBody>
    </cdr:sp>
  </cdr:relSizeAnchor>
  <cdr:relSizeAnchor xmlns:cdr="http://schemas.openxmlformats.org/drawingml/2006/chartDrawing">
    <cdr:from>
      <cdr:x>0.60836</cdr:x>
      <cdr:y>0.4867</cdr:y>
    </cdr:from>
    <cdr:to>
      <cdr:x>0.71035</cdr:x>
      <cdr:y>0.55941</cdr:y>
    </cdr:to>
    <cdr:sp macro="" textlink="">
      <cdr:nvSpPr>
        <cdr:cNvPr id="5" name="TextBox 1">
          <a:extLst xmlns:a="http://schemas.openxmlformats.org/drawingml/2006/main">
            <a:ext uri="{FF2B5EF4-FFF2-40B4-BE49-F238E27FC236}">
              <a16:creationId xmlns:a16="http://schemas.microsoft.com/office/drawing/2014/main" id="{600672B2-D67B-BF43-6A93-B14154F48E9E}"/>
            </a:ext>
          </a:extLst>
        </cdr:cNvPr>
        <cdr:cNvSpPr txBox="1"/>
      </cdr:nvSpPr>
      <cdr:spPr>
        <a:xfrm xmlns:a="http://schemas.openxmlformats.org/drawingml/2006/main">
          <a:off x="2689225" y="1317625"/>
          <a:ext cx="450850"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-8.5%</a:t>
          </a:r>
        </a:p>
      </cdr:txBody>
    </cdr:sp>
  </cdr:relSizeAnchor>
  <cdr:relSizeAnchor xmlns:cdr="http://schemas.openxmlformats.org/drawingml/2006/chartDrawing">
    <cdr:from>
      <cdr:x>0.71538</cdr:x>
      <cdr:y>0.70132</cdr:y>
    </cdr:from>
    <cdr:to>
      <cdr:x>0.83317</cdr:x>
      <cdr:y>0.78107</cdr:y>
    </cdr:to>
    <cdr:sp macro="" textlink="">
      <cdr:nvSpPr>
        <cdr:cNvPr id="6" name="TextBox 1">
          <a:extLst xmlns:a="http://schemas.openxmlformats.org/drawingml/2006/main">
            <a:ext uri="{FF2B5EF4-FFF2-40B4-BE49-F238E27FC236}">
              <a16:creationId xmlns:a16="http://schemas.microsoft.com/office/drawing/2014/main" id="{C3539E57-C596-655A-539A-14674CF27712}"/>
            </a:ext>
          </a:extLst>
        </cdr:cNvPr>
        <cdr:cNvSpPr txBox="1"/>
      </cdr:nvSpPr>
      <cdr:spPr>
        <a:xfrm xmlns:a="http://schemas.openxmlformats.org/drawingml/2006/main">
          <a:off x="3162300" y="1898650"/>
          <a:ext cx="520700"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57.5%</a:t>
          </a:r>
        </a:p>
      </cdr:txBody>
    </cdr:sp>
  </cdr:relSizeAnchor>
  <cdr:relSizeAnchor xmlns:cdr="http://schemas.openxmlformats.org/drawingml/2006/chartDrawing">
    <cdr:from>
      <cdr:x>0.27653</cdr:x>
      <cdr:y>0.11024</cdr:y>
    </cdr:from>
    <cdr:to>
      <cdr:x>0.39432</cdr:x>
      <cdr:y>0.18999</cdr:y>
    </cdr:to>
    <cdr:sp macro="" textlink="">
      <cdr:nvSpPr>
        <cdr:cNvPr id="7" name="TextBox 1">
          <a:extLst xmlns:a="http://schemas.openxmlformats.org/drawingml/2006/main">
            <a:ext uri="{FF2B5EF4-FFF2-40B4-BE49-F238E27FC236}">
              <a16:creationId xmlns:a16="http://schemas.microsoft.com/office/drawing/2014/main" id="{324BA5FC-C83F-139B-D885-10EC2753FC71}"/>
            </a:ext>
          </a:extLst>
        </cdr:cNvPr>
        <cdr:cNvSpPr txBox="1"/>
      </cdr:nvSpPr>
      <cdr:spPr>
        <a:xfrm xmlns:a="http://schemas.openxmlformats.org/drawingml/2006/main">
          <a:off x="1222375" y="298450"/>
          <a:ext cx="520700"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100%</a:t>
          </a:r>
        </a:p>
      </cdr:txBody>
    </cdr:sp>
  </cdr:relSizeAnchor>
</c:userShapes>
</file>

<file path=xl/drawings/drawing4.xml><?xml version="1.0" encoding="utf-8"?>
<c:userShapes xmlns:c="http://schemas.openxmlformats.org/drawingml/2006/chart">
  <cdr:relSizeAnchor xmlns:cdr="http://schemas.openxmlformats.org/drawingml/2006/chartDrawing">
    <cdr:from>
      <cdr:x>0.27365</cdr:x>
      <cdr:y>0.18295</cdr:y>
    </cdr:from>
    <cdr:to>
      <cdr:x>0.37923</cdr:x>
      <cdr:y>0.24628</cdr:y>
    </cdr:to>
    <cdr:sp macro="" textlink="">
      <cdr:nvSpPr>
        <cdr:cNvPr id="2" name="TextBox 1">
          <a:extLst xmlns:a="http://schemas.openxmlformats.org/drawingml/2006/main">
            <a:ext uri="{FF2B5EF4-FFF2-40B4-BE49-F238E27FC236}">
              <a16:creationId xmlns:a16="http://schemas.microsoft.com/office/drawing/2014/main" id="{2C82AF09-13F2-4B31-CCFB-017BB2394FF9}"/>
            </a:ext>
          </a:extLst>
        </cdr:cNvPr>
        <cdr:cNvSpPr txBox="1"/>
      </cdr:nvSpPr>
      <cdr:spPr>
        <a:xfrm xmlns:a="http://schemas.openxmlformats.org/drawingml/2006/main">
          <a:off x="1209681" y="495294"/>
          <a:ext cx="466713" cy="1714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latin typeface="Arial" panose="020B0604020202020204" pitchFamily="34" charset="0"/>
              <a:cs typeface="Arial" panose="020B0604020202020204" pitchFamily="34" charset="0"/>
            </a:rPr>
            <a:t>-6.0%</a:t>
          </a:r>
        </a:p>
      </cdr:txBody>
    </cdr:sp>
  </cdr:relSizeAnchor>
  <cdr:relSizeAnchor xmlns:cdr="http://schemas.openxmlformats.org/drawingml/2006/chartDrawing">
    <cdr:from>
      <cdr:x>0.3857</cdr:x>
      <cdr:y>0.31078</cdr:y>
    </cdr:from>
    <cdr:to>
      <cdr:x>0.50277</cdr:x>
      <cdr:y>0.38349</cdr:y>
    </cdr:to>
    <cdr:sp macro="" textlink="">
      <cdr:nvSpPr>
        <cdr:cNvPr id="3" name="TextBox 1">
          <a:extLst xmlns:a="http://schemas.openxmlformats.org/drawingml/2006/main">
            <a:ext uri="{FF2B5EF4-FFF2-40B4-BE49-F238E27FC236}">
              <a16:creationId xmlns:a16="http://schemas.microsoft.com/office/drawing/2014/main" id="{C251C0BB-E891-2BCF-D56F-376A7D99C5CE}"/>
            </a:ext>
          </a:extLst>
        </cdr:cNvPr>
        <cdr:cNvSpPr txBox="1"/>
      </cdr:nvSpPr>
      <cdr:spPr>
        <a:xfrm xmlns:a="http://schemas.openxmlformats.org/drawingml/2006/main">
          <a:off x="1704988" y="841373"/>
          <a:ext cx="517504" cy="1968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-24%</a:t>
          </a:r>
        </a:p>
      </cdr:txBody>
    </cdr:sp>
  </cdr:relSizeAnchor>
  <cdr:relSizeAnchor xmlns:cdr="http://schemas.openxmlformats.org/drawingml/2006/chartDrawing">
    <cdr:from>
      <cdr:x>0.49416</cdr:x>
      <cdr:y>0.45855</cdr:y>
    </cdr:from>
    <cdr:to>
      <cdr:x>0.59615</cdr:x>
      <cdr:y>0.53126</cdr:y>
    </cdr:to>
    <cdr:sp macro="" textlink="">
      <cdr:nvSpPr>
        <cdr:cNvPr id="4" name="TextBox 1">
          <a:extLst xmlns:a="http://schemas.openxmlformats.org/drawingml/2006/main">
            <a:ext uri="{FF2B5EF4-FFF2-40B4-BE49-F238E27FC236}">
              <a16:creationId xmlns:a16="http://schemas.microsoft.com/office/drawing/2014/main" id="{579A0F0E-CD5D-42EC-8637-16858D6D6001}"/>
            </a:ext>
          </a:extLst>
        </cdr:cNvPr>
        <cdr:cNvSpPr txBox="1"/>
      </cdr:nvSpPr>
      <cdr:spPr>
        <a:xfrm xmlns:a="http://schemas.openxmlformats.org/drawingml/2006/main">
          <a:off x="2184417" y="1241420"/>
          <a:ext cx="450843" cy="1968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-10%</a:t>
          </a:r>
        </a:p>
      </cdr:txBody>
    </cdr:sp>
  </cdr:relSizeAnchor>
  <cdr:relSizeAnchor xmlns:cdr="http://schemas.openxmlformats.org/drawingml/2006/chartDrawing">
    <cdr:from>
      <cdr:x>0.60621</cdr:x>
      <cdr:y>0.54651</cdr:y>
    </cdr:from>
    <cdr:to>
      <cdr:x>0.7082</cdr:x>
      <cdr:y>0.61922</cdr:y>
    </cdr:to>
    <cdr:sp macro="" textlink="">
      <cdr:nvSpPr>
        <cdr:cNvPr id="5" name="TextBox 1">
          <a:extLst xmlns:a="http://schemas.openxmlformats.org/drawingml/2006/main">
            <a:ext uri="{FF2B5EF4-FFF2-40B4-BE49-F238E27FC236}">
              <a16:creationId xmlns:a16="http://schemas.microsoft.com/office/drawing/2014/main" id="{600672B2-D67B-BF43-6A93-B14154F48E9E}"/>
            </a:ext>
          </a:extLst>
        </cdr:cNvPr>
        <cdr:cNvSpPr txBox="1"/>
      </cdr:nvSpPr>
      <cdr:spPr>
        <a:xfrm xmlns:a="http://schemas.openxmlformats.org/drawingml/2006/main">
          <a:off x="2679709" y="1479551"/>
          <a:ext cx="450843" cy="1968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-10%</a:t>
          </a:r>
        </a:p>
      </cdr:txBody>
    </cdr:sp>
  </cdr:relSizeAnchor>
  <cdr:relSizeAnchor xmlns:cdr="http://schemas.openxmlformats.org/drawingml/2006/chartDrawing">
    <cdr:from>
      <cdr:x>0.72615</cdr:x>
      <cdr:y>0.73298</cdr:y>
    </cdr:from>
    <cdr:to>
      <cdr:x>0.8145</cdr:x>
      <cdr:y>0.83736</cdr:y>
    </cdr:to>
    <cdr:sp macro="" textlink="">
      <cdr:nvSpPr>
        <cdr:cNvPr id="6" name="TextBox 1">
          <a:extLst xmlns:a="http://schemas.openxmlformats.org/drawingml/2006/main">
            <a:ext uri="{FF2B5EF4-FFF2-40B4-BE49-F238E27FC236}">
              <a16:creationId xmlns:a16="http://schemas.microsoft.com/office/drawing/2014/main" id="{C3539E57-C596-655A-539A-14674CF27712}"/>
            </a:ext>
          </a:extLst>
        </cdr:cNvPr>
        <cdr:cNvSpPr txBox="1"/>
      </cdr:nvSpPr>
      <cdr:spPr>
        <a:xfrm xmlns:a="http://schemas.openxmlformats.org/drawingml/2006/main">
          <a:off x="3209937" y="1984384"/>
          <a:ext cx="390513" cy="282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50%</a:t>
          </a:r>
        </a:p>
      </cdr:txBody>
    </cdr:sp>
  </cdr:relSizeAnchor>
  <cdr:relSizeAnchor xmlns:cdr="http://schemas.openxmlformats.org/drawingml/2006/chartDrawing">
    <cdr:from>
      <cdr:x>0.27653</cdr:x>
      <cdr:y>0.11024</cdr:y>
    </cdr:from>
    <cdr:to>
      <cdr:x>0.39432</cdr:x>
      <cdr:y>0.18999</cdr:y>
    </cdr:to>
    <cdr:sp macro="" textlink="">
      <cdr:nvSpPr>
        <cdr:cNvPr id="7" name="TextBox 1">
          <a:extLst xmlns:a="http://schemas.openxmlformats.org/drawingml/2006/main">
            <a:ext uri="{FF2B5EF4-FFF2-40B4-BE49-F238E27FC236}">
              <a16:creationId xmlns:a16="http://schemas.microsoft.com/office/drawing/2014/main" id="{324BA5FC-C83F-139B-D885-10EC2753FC71}"/>
            </a:ext>
          </a:extLst>
        </cdr:cNvPr>
        <cdr:cNvSpPr txBox="1"/>
      </cdr:nvSpPr>
      <cdr:spPr>
        <a:xfrm xmlns:a="http://schemas.openxmlformats.org/drawingml/2006/main">
          <a:off x="1222375" y="298450"/>
          <a:ext cx="520700"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100%</a:t>
          </a:r>
        </a:p>
      </cdr:txBody>
    </cdr:sp>
  </cdr:relSizeAnchor>
</c:userShapes>
</file>

<file path=xl/drawings/drawing5.xml><?xml version="1.0" encoding="utf-8"?>
<c:userShapes xmlns:c="http://schemas.openxmlformats.org/drawingml/2006/chart">
  <cdr:relSizeAnchor xmlns:cdr="http://schemas.openxmlformats.org/drawingml/2006/chartDrawing">
    <cdr:from>
      <cdr:x>0.51319</cdr:x>
      <cdr:y>0.76505</cdr:y>
    </cdr:from>
    <cdr:to>
      <cdr:x>0.61528</cdr:x>
      <cdr:y>0.82755</cdr:y>
    </cdr:to>
    <cdr:sp macro="" textlink="">
      <cdr:nvSpPr>
        <cdr:cNvPr id="2" name="TextBox 1">
          <a:extLst xmlns:a="http://schemas.openxmlformats.org/drawingml/2006/main">
            <a:ext uri="{FF2B5EF4-FFF2-40B4-BE49-F238E27FC236}">
              <a16:creationId xmlns:a16="http://schemas.microsoft.com/office/drawing/2014/main" id="{B38E7E1D-0BBF-67D3-CDF6-4877F6D3859E}"/>
            </a:ext>
          </a:extLst>
        </cdr:cNvPr>
        <cdr:cNvSpPr txBox="1"/>
      </cdr:nvSpPr>
      <cdr:spPr>
        <a:xfrm xmlns:a="http://schemas.openxmlformats.org/drawingml/2006/main">
          <a:off x="2346325" y="2098675"/>
          <a:ext cx="466713" cy="1714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+10%</a:t>
          </a:r>
        </a:p>
      </cdr:txBody>
    </cdr:sp>
  </cdr:relSizeAnchor>
  <cdr:relSizeAnchor xmlns:cdr="http://schemas.openxmlformats.org/drawingml/2006/chartDrawing">
    <cdr:from>
      <cdr:x>0.60694</cdr:x>
      <cdr:y>0.7581</cdr:y>
    </cdr:from>
    <cdr:to>
      <cdr:x>0.70903</cdr:x>
      <cdr:y>0.8206</cdr:y>
    </cdr:to>
    <cdr:sp macro="" textlink="">
      <cdr:nvSpPr>
        <cdr:cNvPr id="3" name="TextBox 1">
          <a:extLst xmlns:a="http://schemas.openxmlformats.org/drawingml/2006/main">
            <a:ext uri="{FF2B5EF4-FFF2-40B4-BE49-F238E27FC236}">
              <a16:creationId xmlns:a16="http://schemas.microsoft.com/office/drawing/2014/main" id="{77EF2785-A53B-7096-BB48-FD928B4C1721}"/>
            </a:ext>
          </a:extLst>
        </cdr:cNvPr>
        <cdr:cNvSpPr txBox="1"/>
      </cdr:nvSpPr>
      <cdr:spPr>
        <a:xfrm xmlns:a="http://schemas.openxmlformats.org/drawingml/2006/main">
          <a:off x="2774950" y="2079625"/>
          <a:ext cx="466713" cy="1714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+10%</a:t>
          </a:r>
        </a:p>
      </cdr:txBody>
    </cdr:sp>
  </cdr:relSizeAnchor>
  <cdr:relSizeAnchor xmlns:cdr="http://schemas.openxmlformats.org/drawingml/2006/chartDrawing">
    <cdr:from>
      <cdr:x>0.70486</cdr:x>
      <cdr:y>0.68171</cdr:y>
    </cdr:from>
    <cdr:to>
      <cdr:x>0.80694</cdr:x>
      <cdr:y>0.74421</cdr:y>
    </cdr:to>
    <cdr:sp macro="" textlink="">
      <cdr:nvSpPr>
        <cdr:cNvPr id="4" name="TextBox 1">
          <a:extLst xmlns:a="http://schemas.openxmlformats.org/drawingml/2006/main">
            <a:ext uri="{FF2B5EF4-FFF2-40B4-BE49-F238E27FC236}">
              <a16:creationId xmlns:a16="http://schemas.microsoft.com/office/drawing/2014/main" id="{E9FA07A1-D27F-0076-2C2B-244078692510}"/>
            </a:ext>
          </a:extLst>
        </cdr:cNvPr>
        <cdr:cNvSpPr txBox="1"/>
      </cdr:nvSpPr>
      <cdr:spPr>
        <a:xfrm xmlns:a="http://schemas.openxmlformats.org/drawingml/2006/main">
          <a:off x="3222625" y="1870075"/>
          <a:ext cx="466713" cy="1714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+94%</a:t>
          </a:r>
        </a:p>
      </cdr:txBody>
    </cdr:sp>
  </cdr:relSizeAnchor>
  <cdr:relSizeAnchor xmlns:cdr="http://schemas.openxmlformats.org/drawingml/2006/chartDrawing">
    <cdr:from>
      <cdr:x>0.79861</cdr:x>
      <cdr:y>0.10185</cdr:y>
    </cdr:from>
    <cdr:to>
      <cdr:x>0.91979</cdr:x>
      <cdr:y>0.17188</cdr:y>
    </cdr:to>
    <cdr:sp macro="" textlink="">
      <cdr:nvSpPr>
        <cdr:cNvPr id="5" name="TextBox 1">
          <a:extLst xmlns:a="http://schemas.openxmlformats.org/drawingml/2006/main">
            <a:ext uri="{FF2B5EF4-FFF2-40B4-BE49-F238E27FC236}">
              <a16:creationId xmlns:a16="http://schemas.microsoft.com/office/drawing/2014/main" id="{20444BBE-2A3C-2D0C-C8FA-9130D3CD86F3}"/>
            </a:ext>
          </a:extLst>
        </cdr:cNvPr>
        <cdr:cNvSpPr txBox="1"/>
      </cdr:nvSpPr>
      <cdr:spPr>
        <a:xfrm xmlns:a="http://schemas.openxmlformats.org/drawingml/2006/main">
          <a:off x="3651250" y="279400"/>
          <a:ext cx="554038" cy="1920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+400%</a:t>
          </a:r>
        </a:p>
      </cdr:txBody>
    </cdr:sp>
  </cdr:relSizeAnchor>
  <cdr:relSizeAnchor xmlns:cdr="http://schemas.openxmlformats.org/drawingml/2006/chartDrawing">
    <cdr:from>
      <cdr:x>0.41944</cdr:x>
      <cdr:y>0.82755</cdr:y>
    </cdr:from>
    <cdr:to>
      <cdr:x>0.52153</cdr:x>
      <cdr:y>0.89005</cdr:y>
    </cdr:to>
    <cdr:sp macro="" textlink="">
      <cdr:nvSpPr>
        <cdr:cNvPr id="6" name="TextBox 1">
          <a:extLst xmlns:a="http://schemas.openxmlformats.org/drawingml/2006/main">
            <a:ext uri="{FF2B5EF4-FFF2-40B4-BE49-F238E27FC236}">
              <a16:creationId xmlns:a16="http://schemas.microsoft.com/office/drawing/2014/main" id="{3BA9E3EF-719A-B91B-2FDE-ACFB65F2F311}"/>
            </a:ext>
          </a:extLst>
        </cdr:cNvPr>
        <cdr:cNvSpPr txBox="1"/>
      </cdr:nvSpPr>
      <cdr:spPr>
        <a:xfrm xmlns:a="http://schemas.openxmlformats.org/drawingml/2006/main">
          <a:off x="1917700" y="2270125"/>
          <a:ext cx="466713" cy="1714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0.3¢</a:t>
          </a:r>
        </a:p>
      </cdr:txBody>
    </cdr:sp>
  </cdr:relSizeAnchor>
</c:userShapes>
</file>

<file path=xl/drawings/drawing6.xml><?xml version="1.0" encoding="utf-8"?>
<c:userShapes xmlns:c="http://schemas.openxmlformats.org/drawingml/2006/chart">
  <cdr:relSizeAnchor xmlns:cdr="http://schemas.openxmlformats.org/drawingml/2006/chartDrawing">
    <cdr:from>
      <cdr:x>0.24349</cdr:x>
      <cdr:y>0.17943</cdr:y>
    </cdr:from>
    <cdr:to>
      <cdr:x>0.34907</cdr:x>
      <cdr:y>0.24276</cdr:y>
    </cdr:to>
    <cdr:sp macro="" textlink="">
      <cdr:nvSpPr>
        <cdr:cNvPr id="2" name="TextBox 1">
          <a:extLst xmlns:a="http://schemas.openxmlformats.org/drawingml/2006/main">
            <a:ext uri="{FF2B5EF4-FFF2-40B4-BE49-F238E27FC236}">
              <a16:creationId xmlns:a16="http://schemas.microsoft.com/office/drawing/2014/main" id="{2C82AF09-13F2-4B31-CCFB-017BB2394FF9}"/>
            </a:ext>
          </a:extLst>
        </cdr:cNvPr>
        <cdr:cNvSpPr txBox="1"/>
      </cdr:nvSpPr>
      <cdr:spPr>
        <a:xfrm xmlns:a="http://schemas.openxmlformats.org/drawingml/2006/main">
          <a:off x="1076331" y="485769"/>
          <a:ext cx="466713" cy="1714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latin typeface="Arial" panose="020B0604020202020204" pitchFamily="34" charset="0"/>
              <a:cs typeface="Arial" panose="020B0604020202020204" pitchFamily="34" charset="0"/>
            </a:rPr>
            <a:t>-5.1%</a:t>
          </a:r>
        </a:p>
      </cdr:txBody>
    </cdr:sp>
  </cdr:relSizeAnchor>
  <cdr:relSizeAnchor xmlns:cdr="http://schemas.openxmlformats.org/drawingml/2006/chartDrawing">
    <cdr:from>
      <cdr:x>0.33399</cdr:x>
      <cdr:y>0.28967</cdr:y>
    </cdr:from>
    <cdr:to>
      <cdr:x>0.45106</cdr:x>
      <cdr:y>0.36238</cdr:y>
    </cdr:to>
    <cdr:sp macro="" textlink="">
      <cdr:nvSpPr>
        <cdr:cNvPr id="3" name="TextBox 1">
          <a:extLst xmlns:a="http://schemas.openxmlformats.org/drawingml/2006/main">
            <a:ext uri="{FF2B5EF4-FFF2-40B4-BE49-F238E27FC236}">
              <a16:creationId xmlns:a16="http://schemas.microsoft.com/office/drawing/2014/main" id="{C251C0BB-E891-2BCF-D56F-376A7D99C5CE}"/>
            </a:ext>
          </a:extLst>
        </cdr:cNvPr>
        <cdr:cNvSpPr txBox="1"/>
      </cdr:nvSpPr>
      <cdr:spPr>
        <a:xfrm xmlns:a="http://schemas.openxmlformats.org/drawingml/2006/main">
          <a:off x="1476388" y="784223"/>
          <a:ext cx="517504" cy="1968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-20.4%</a:t>
          </a:r>
        </a:p>
      </cdr:txBody>
    </cdr:sp>
  </cdr:relSizeAnchor>
  <cdr:relSizeAnchor xmlns:cdr="http://schemas.openxmlformats.org/drawingml/2006/chartDrawing">
    <cdr:from>
      <cdr:x>0.43814</cdr:x>
      <cdr:y>0.41281</cdr:y>
    </cdr:from>
    <cdr:to>
      <cdr:x>0.54013</cdr:x>
      <cdr:y>0.48552</cdr:y>
    </cdr:to>
    <cdr:sp macro="" textlink="">
      <cdr:nvSpPr>
        <cdr:cNvPr id="4" name="TextBox 1">
          <a:extLst xmlns:a="http://schemas.openxmlformats.org/drawingml/2006/main">
            <a:ext uri="{FF2B5EF4-FFF2-40B4-BE49-F238E27FC236}">
              <a16:creationId xmlns:a16="http://schemas.microsoft.com/office/drawing/2014/main" id="{579A0F0E-CD5D-42EC-8637-16858D6D6001}"/>
            </a:ext>
          </a:extLst>
        </cdr:cNvPr>
        <cdr:cNvSpPr txBox="1"/>
      </cdr:nvSpPr>
      <cdr:spPr>
        <a:xfrm xmlns:a="http://schemas.openxmlformats.org/drawingml/2006/main">
          <a:off x="1936767" y="1117595"/>
          <a:ext cx="450843" cy="1968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-8.5%</a:t>
          </a:r>
        </a:p>
      </cdr:txBody>
    </cdr:sp>
  </cdr:relSizeAnchor>
  <cdr:relSizeAnchor xmlns:cdr="http://schemas.openxmlformats.org/drawingml/2006/chartDrawing">
    <cdr:from>
      <cdr:x>0.5351</cdr:x>
      <cdr:y>0.48318</cdr:y>
    </cdr:from>
    <cdr:to>
      <cdr:x>0.63709</cdr:x>
      <cdr:y>0.55589</cdr:y>
    </cdr:to>
    <cdr:sp macro="" textlink="">
      <cdr:nvSpPr>
        <cdr:cNvPr id="5" name="TextBox 1">
          <a:extLst xmlns:a="http://schemas.openxmlformats.org/drawingml/2006/main">
            <a:ext uri="{FF2B5EF4-FFF2-40B4-BE49-F238E27FC236}">
              <a16:creationId xmlns:a16="http://schemas.microsoft.com/office/drawing/2014/main" id="{600672B2-D67B-BF43-6A93-B14154F48E9E}"/>
            </a:ext>
          </a:extLst>
        </cdr:cNvPr>
        <cdr:cNvSpPr txBox="1"/>
      </cdr:nvSpPr>
      <cdr:spPr>
        <a:xfrm xmlns:a="http://schemas.openxmlformats.org/drawingml/2006/main">
          <a:off x="2365384" y="1308101"/>
          <a:ext cx="450843" cy="1968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-8.5%</a:t>
          </a:r>
        </a:p>
      </cdr:txBody>
    </cdr:sp>
  </cdr:relSizeAnchor>
  <cdr:relSizeAnchor xmlns:cdr="http://schemas.openxmlformats.org/drawingml/2006/chartDrawing">
    <cdr:from>
      <cdr:x>0.74339</cdr:x>
      <cdr:y>0.71891</cdr:y>
    </cdr:from>
    <cdr:to>
      <cdr:x>0.86118</cdr:x>
      <cdr:y>0.79866</cdr:y>
    </cdr:to>
    <cdr:sp macro="" textlink="">
      <cdr:nvSpPr>
        <cdr:cNvPr id="6" name="TextBox 1">
          <a:extLst xmlns:a="http://schemas.openxmlformats.org/drawingml/2006/main">
            <a:ext uri="{FF2B5EF4-FFF2-40B4-BE49-F238E27FC236}">
              <a16:creationId xmlns:a16="http://schemas.microsoft.com/office/drawing/2014/main" id="{C3539E57-C596-655A-539A-14674CF27712}"/>
            </a:ext>
          </a:extLst>
        </cdr:cNvPr>
        <cdr:cNvSpPr txBox="1"/>
      </cdr:nvSpPr>
      <cdr:spPr>
        <a:xfrm xmlns:a="http://schemas.openxmlformats.org/drawingml/2006/main">
          <a:off x="3286137" y="1946284"/>
          <a:ext cx="520687" cy="2159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49%</a:t>
          </a:r>
        </a:p>
      </cdr:txBody>
    </cdr:sp>
  </cdr:relSizeAnchor>
  <cdr:relSizeAnchor xmlns:cdr="http://schemas.openxmlformats.org/drawingml/2006/chartDrawing">
    <cdr:from>
      <cdr:x>0.23774</cdr:x>
      <cdr:y>0.12431</cdr:y>
    </cdr:from>
    <cdr:to>
      <cdr:x>0.35553</cdr:x>
      <cdr:y>0.20406</cdr:y>
    </cdr:to>
    <cdr:sp macro="" textlink="">
      <cdr:nvSpPr>
        <cdr:cNvPr id="7" name="TextBox 1">
          <a:extLst xmlns:a="http://schemas.openxmlformats.org/drawingml/2006/main">
            <a:ext uri="{FF2B5EF4-FFF2-40B4-BE49-F238E27FC236}">
              <a16:creationId xmlns:a16="http://schemas.microsoft.com/office/drawing/2014/main" id="{324BA5FC-C83F-139B-D885-10EC2753FC71}"/>
            </a:ext>
          </a:extLst>
        </cdr:cNvPr>
        <cdr:cNvSpPr txBox="1"/>
      </cdr:nvSpPr>
      <cdr:spPr>
        <a:xfrm xmlns:a="http://schemas.openxmlformats.org/drawingml/2006/main">
          <a:off x="1050941" y="336549"/>
          <a:ext cx="520687" cy="2159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100%</a:t>
          </a:r>
        </a:p>
      </cdr:txBody>
    </cdr:sp>
  </cdr:relSizeAnchor>
  <cdr:relSizeAnchor xmlns:cdr="http://schemas.openxmlformats.org/drawingml/2006/chartDrawing">
    <cdr:from>
      <cdr:x>0.63852</cdr:x>
      <cdr:y>0.56058</cdr:y>
    </cdr:from>
    <cdr:to>
      <cdr:x>0.74051</cdr:x>
      <cdr:y>0.63329</cdr:y>
    </cdr:to>
    <cdr:sp macro="" textlink="">
      <cdr:nvSpPr>
        <cdr:cNvPr id="8" name="TextBox 1">
          <a:extLst xmlns:a="http://schemas.openxmlformats.org/drawingml/2006/main">
            <a:ext uri="{FF2B5EF4-FFF2-40B4-BE49-F238E27FC236}">
              <a16:creationId xmlns:a16="http://schemas.microsoft.com/office/drawing/2014/main" id="{EF4F543E-CAFD-4A02-ABB1-DCE5E6FFC9A7}"/>
            </a:ext>
          </a:extLst>
        </cdr:cNvPr>
        <cdr:cNvSpPr txBox="1"/>
      </cdr:nvSpPr>
      <cdr:spPr>
        <a:xfrm xmlns:a="http://schemas.openxmlformats.org/drawingml/2006/main">
          <a:off x="2822575" y="1517650"/>
          <a:ext cx="450843" cy="1968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-8.5%</a:t>
          </a:r>
        </a:p>
      </cdr:txBody>
    </cdr:sp>
  </cdr:relSizeAnchor>
  <cdr:relSizeAnchor xmlns:cdr="http://schemas.openxmlformats.org/drawingml/2006/chartDrawing">
    <cdr:from>
      <cdr:x>0</cdr:x>
      <cdr:y>0.09969</cdr:y>
    </cdr:from>
    <cdr:to>
      <cdr:x>0.23918</cdr:x>
      <cdr:y>0.18647</cdr:y>
    </cdr:to>
    <cdr:sp macro="" textlink="">
      <cdr:nvSpPr>
        <cdr:cNvPr id="9" name="TextBox 1">
          <a:extLst xmlns:a="http://schemas.openxmlformats.org/drawingml/2006/main">
            <a:ext uri="{FF2B5EF4-FFF2-40B4-BE49-F238E27FC236}">
              <a16:creationId xmlns:a16="http://schemas.microsoft.com/office/drawing/2014/main" id="{B6EB58F4-E386-902D-EA65-792E3BEEC50E}"/>
            </a:ext>
          </a:extLst>
        </cdr:cNvPr>
        <cdr:cNvSpPr txBox="1"/>
      </cdr:nvSpPr>
      <cdr:spPr>
        <a:xfrm xmlns:a="http://schemas.openxmlformats.org/drawingml/2006/main">
          <a:off x="0" y="269875"/>
          <a:ext cx="1057275" cy="2349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NPV of Financing Costs</a:t>
          </a:r>
        </a:p>
      </cdr:txBody>
    </cdr:sp>
  </cdr:relSizeAnchor>
</c:userShapes>
</file>

<file path=xl/drawings/drawing7.xml><?xml version="1.0" encoding="utf-8"?>
<c:userShapes xmlns:c="http://schemas.openxmlformats.org/drawingml/2006/chart">
  <cdr:relSizeAnchor xmlns:cdr="http://schemas.openxmlformats.org/drawingml/2006/chartDrawing">
    <cdr:from>
      <cdr:x>0.24348</cdr:x>
      <cdr:y>0.18295</cdr:y>
    </cdr:from>
    <cdr:to>
      <cdr:x>0.34906</cdr:x>
      <cdr:y>0.24628</cdr:y>
    </cdr:to>
    <cdr:sp macro="" textlink="">
      <cdr:nvSpPr>
        <cdr:cNvPr id="2" name="TextBox 1">
          <a:extLst xmlns:a="http://schemas.openxmlformats.org/drawingml/2006/main">
            <a:ext uri="{FF2B5EF4-FFF2-40B4-BE49-F238E27FC236}">
              <a16:creationId xmlns:a16="http://schemas.microsoft.com/office/drawing/2014/main" id="{2C82AF09-13F2-4B31-CCFB-017BB2394FF9}"/>
            </a:ext>
          </a:extLst>
        </cdr:cNvPr>
        <cdr:cNvSpPr txBox="1"/>
      </cdr:nvSpPr>
      <cdr:spPr>
        <a:xfrm xmlns:a="http://schemas.openxmlformats.org/drawingml/2006/main">
          <a:off x="1076310" y="495294"/>
          <a:ext cx="466713" cy="1714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latin typeface="Arial" panose="020B0604020202020204" pitchFamily="34" charset="0"/>
              <a:cs typeface="Arial" panose="020B0604020202020204" pitchFamily="34" charset="0"/>
            </a:rPr>
            <a:t>-6.0%</a:t>
          </a:r>
        </a:p>
      </cdr:txBody>
    </cdr:sp>
  </cdr:relSizeAnchor>
  <cdr:relSizeAnchor xmlns:cdr="http://schemas.openxmlformats.org/drawingml/2006/chartDrawing">
    <cdr:from>
      <cdr:x>0.34045</cdr:x>
      <cdr:y>0.30726</cdr:y>
    </cdr:from>
    <cdr:to>
      <cdr:x>0.45752</cdr:x>
      <cdr:y>0.37997</cdr:y>
    </cdr:to>
    <cdr:sp macro="" textlink="">
      <cdr:nvSpPr>
        <cdr:cNvPr id="3" name="TextBox 1">
          <a:extLst xmlns:a="http://schemas.openxmlformats.org/drawingml/2006/main">
            <a:ext uri="{FF2B5EF4-FFF2-40B4-BE49-F238E27FC236}">
              <a16:creationId xmlns:a16="http://schemas.microsoft.com/office/drawing/2014/main" id="{C251C0BB-E891-2BCF-D56F-376A7D99C5CE}"/>
            </a:ext>
          </a:extLst>
        </cdr:cNvPr>
        <cdr:cNvSpPr txBox="1"/>
      </cdr:nvSpPr>
      <cdr:spPr>
        <a:xfrm xmlns:a="http://schemas.openxmlformats.org/drawingml/2006/main">
          <a:off x="1504948" y="831839"/>
          <a:ext cx="517504" cy="1968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-24%</a:t>
          </a:r>
        </a:p>
      </cdr:txBody>
    </cdr:sp>
  </cdr:relSizeAnchor>
  <cdr:relSizeAnchor xmlns:cdr="http://schemas.openxmlformats.org/drawingml/2006/chartDrawing">
    <cdr:from>
      <cdr:x>0.44245</cdr:x>
      <cdr:y>0.45855</cdr:y>
    </cdr:from>
    <cdr:to>
      <cdr:x>0.54444</cdr:x>
      <cdr:y>0.53126</cdr:y>
    </cdr:to>
    <cdr:sp macro="" textlink="">
      <cdr:nvSpPr>
        <cdr:cNvPr id="4" name="TextBox 1">
          <a:extLst xmlns:a="http://schemas.openxmlformats.org/drawingml/2006/main">
            <a:ext uri="{FF2B5EF4-FFF2-40B4-BE49-F238E27FC236}">
              <a16:creationId xmlns:a16="http://schemas.microsoft.com/office/drawing/2014/main" id="{579A0F0E-CD5D-42EC-8637-16858D6D6001}"/>
            </a:ext>
          </a:extLst>
        </cdr:cNvPr>
        <cdr:cNvSpPr txBox="1"/>
      </cdr:nvSpPr>
      <cdr:spPr>
        <a:xfrm xmlns:a="http://schemas.openxmlformats.org/drawingml/2006/main">
          <a:off x="1955817" y="1241416"/>
          <a:ext cx="450843" cy="1968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-10%</a:t>
          </a:r>
        </a:p>
      </cdr:txBody>
    </cdr:sp>
  </cdr:relSizeAnchor>
  <cdr:relSizeAnchor xmlns:cdr="http://schemas.openxmlformats.org/drawingml/2006/chartDrawing">
    <cdr:from>
      <cdr:x>0.54372</cdr:x>
      <cdr:y>0.54299</cdr:y>
    </cdr:from>
    <cdr:to>
      <cdr:x>0.64571</cdr:x>
      <cdr:y>0.6157</cdr:y>
    </cdr:to>
    <cdr:sp macro="" textlink="">
      <cdr:nvSpPr>
        <cdr:cNvPr id="5" name="TextBox 1">
          <a:extLst xmlns:a="http://schemas.openxmlformats.org/drawingml/2006/main">
            <a:ext uri="{FF2B5EF4-FFF2-40B4-BE49-F238E27FC236}">
              <a16:creationId xmlns:a16="http://schemas.microsoft.com/office/drawing/2014/main" id="{600672B2-D67B-BF43-6A93-B14154F48E9E}"/>
            </a:ext>
          </a:extLst>
        </cdr:cNvPr>
        <cdr:cNvSpPr txBox="1"/>
      </cdr:nvSpPr>
      <cdr:spPr>
        <a:xfrm xmlns:a="http://schemas.openxmlformats.org/drawingml/2006/main">
          <a:off x="2403505" y="1470022"/>
          <a:ext cx="450843" cy="1968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-10%</a:t>
          </a:r>
        </a:p>
      </cdr:txBody>
    </cdr:sp>
  </cdr:relSizeAnchor>
  <cdr:relSizeAnchor xmlns:cdr="http://schemas.openxmlformats.org/drawingml/2006/chartDrawing">
    <cdr:from>
      <cdr:x>0.73908</cdr:x>
      <cdr:y>0.8139</cdr:y>
    </cdr:from>
    <cdr:to>
      <cdr:x>0.82743</cdr:x>
      <cdr:y>0.91828</cdr:y>
    </cdr:to>
    <cdr:sp macro="" textlink="">
      <cdr:nvSpPr>
        <cdr:cNvPr id="6" name="TextBox 1">
          <a:extLst xmlns:a="http://schemas.openxmlformats.org/drawingml/2006/main">
            <a:ext uri="{FF2B5EF4-FFF2-40B4-BE49-F238E27FC236}">
              <a16:creationId xmlns:a16="http://schemas.microsoft.com/office/drawing/2014/main" id="{C3539E57-C596-655A-539A-14674CF27712}"/>
            </a:ext>
          </a:extLst>
        </cdr:cNvPr>
        <cdr:cNvSpPr txBox="1"/>
      </cdr:nvSpPr>
      <cdr:spPr>
        <a:xfrm xmlns:a="http://schemas.openxmlformats.org/drawingml/2006/main">
          <a:off x="3267071" y="2203446"/>
          <a:ext cx="390548" cy="2825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30%</a:t>
          </a:r>
        </a:p>
      </cdr:txBody>
    </cdr:sp>
  </cdr:relSizeAnchor>
  <cdr:relSizeAnchor xmlns:cdr="http://schemas.openxmlformats.org/drawingml/2006/chartDrawing">
    <cdr:from>
      <cdr:x>0.24205</cdr:x>
      <cdr:y>0.11728</cdr:y>
    </cdr:from>
    <cdr:to>
      <cdr:x>0.35984</cdr:x>
      <cdr:y>0.19703</cdr:y>
    </cdr:to>
    <cdr:sp macro="" textlink="">
      <cdr:nvSpPr>
        <cdr:cNvPr id="7" name="TextBox 1">
          <a:extLst xmlns:a="http://schemas.openxmlformats.org/drawingml/2006/main">
            <a:ext uri="{FF2B5EF4-FFF2-40B4-BE49-F238E27FC236}">
              <a16:creationId xmlns:a16="http://schemas.microsoft.com/office/drawing/2014/main" id="{324BA5FC-C83F-139B-D885-10EC2753FC71}"/>
            </a:ext>
          </a:extLst>
        </cdr:cNvPr>
        <cdr:cNvSpPr txBox="1"/>
      </cdr:nvSpPr>
      <cdr:spPr>
        <a:xfrm xmlns:a="http://schemas.openxmlformats.org/drawingml/2006/main">
          <a:off x="1069991" y="317499"/>
          <a:ext cx="520687" cy="2159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100%</a:t>
          </a:r>
        </a:p>
      </cdr:txBody>
    </cdr:sp>
  </cdr:relSizeAnchor>
  <cdr:relSizeAnchor xmlns:cdr="http://schemas.openxmlformats.org/drawingml/2006/chartDrawing">
    <cdr:from>
      <cdr:x>0</cdr:x>
      <cdr:y>0.09265</cdr:y>
    </cdr:from>
    <cdr:to>
      <cdr:x>0.26719</cdr:x>
      <cdr:y>0.17943</cdr:y>
    </cdr:to>
    <cdr:sp macro="" textlink="">
      <cdr:nvSpPr>
        <cdr:cNvPr id="8" name="TextBox 1">
          <a:extLst xmlns:a="http://schemas.openxmlformats.org/drawingml/2006/main">
            <a:ext uri="{FF2B5EF4-FFF2-40B4-BE49-F238E27FC236}">
              <a16:creationId xmlns:a16="http://schemas.microsoft.com/office/drawing/2014/main" id="{A0C305BE-2B3E-8BEF-31A1-3980306F1C7D}"/>
            </a:ext>
          </a:extLst>
        </cdr:cNvPr>
        <cdr:cNvSpPr txBox="1"/>
      </cdr:nvSpPr>
      <cdr:spPr>
        <a:xfrm xmlns:a="http://schemas.openxmlformats.org/drawingml/2006/main">
          <a:off x="0" y="250825"/>
          <a:ext cx="1181100" cy="2349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NPV of Financing Costs</a:t>
          </a:r>
        </a:p>
      </cdr:txBody>
    </cdr:sp>
  </cdr:relSizeAnchor>
  <cdr:relSizeAnchor xmlns:cdr="http://schemas.openxmlformats.org/drawingml/2006/chartDrawing">
    <cdr:from>
      <cdr:x>0.63637</cdr:x>
      <cdr:y>0.66965</cdr:y>
    </cdr:from>
    <cdr:to>
      <cdr:x>0.73836</cdr:x>
      <cdr:y>0.74236</cdr:y>
    </cdr:to>
    <cdr:sp macro="" textlink="">
      <cdr:nvSpPr>
        <cdr:cNvPr id="9" name="TextBox 1">
          <a:extLst xmlns:a="http://schemas.openxmlformats.org/drawingml/2006/main">
            <a:ext uri="{FF2B5EF4-FFF2-40B4-BE49-F238E27FC236}">
              <a16:creationId xmlns:a16="http://schemas.microsoft.com/office/drawing/2014/main" id="{DF880E89-1400-D168-2024-93360ADA9640}"/>
            </a:ext>
          </a:extLst>
        </cdr:cNvPr>
        <cdr:cNvSpPr txBox="1"/>
      </cdr:nvSpPr>
      <cdr:spPr>
        <a:xfrm xmlns:a="http://schemas.openxmlformats.org/drawingml/2006/main">
          <a:off x="2813050" y="1812925"/>
          <a:ext cx="450843" cy="1968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-20%</a:t>
          </a:r>
        </a:p>
      </cdr:txBody>
    </cdr:sp>
  </cdr:relSizeAnchor>
</c:userShapes>
</file>

<file path=xl/drawings/drawing8.xml><?xml version="1.0" encoding="utf-8"?>
<c:userShapes xmlns:c="http://schemas.openxmlformats.org/drawingml/2006/chart">
  <cdr:relSizeAnchor xmlns:cdr="http://schemas.openxmlformats.org/drawingml/2006/chartDrawing">
    <cdr:from>
      <cdr:x>0.63611</cdr:x>
      <cdr:y>0.26852</cdr:y>
    </cdr:from>
    <cdr:to>
      <cdr:x>0.73819</cdr:x>
      <cdr:y>0.33102</cdr:y>
    </cdr:to>
    <cdr:sp macro="" textlink="">
      <cdr:nvSpPr>
        <cdr:cNvPr id="4" name="TextBox 1">
          <a:extLst xmlns:a="http://schemas.openxmlformats.org/drawingml/2006/main">
            <a:ext uri="{FF2B5EF4-FFF2-40B4-BE49-F238E27FC236}">
              <a16:creationId xmlns:a16="http://schemas.microsoft.com/office/drawing/2014/main" id="{E9FA07A1-D27F-0076-2C2B-244078692510}"/>
            </a:ext>
          </a:extLst>
        </cdr:cNvPr>
        <cdr:cNvSpPr txBox="1"/>
      </cdr:nvSpPr>
      <cdr:spPr>
        <a:xfrm xmlns:a="http://schemas.openxmlformats.org/drawingml/2006/main">
          <a:off x="2908295" y="736592"/>
          <a:ext cx="466710" cy="171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+83%</a:t>
          </a:r>
        </a:p>
      </cdr:txBody>
    </cdr:sp>
  </cdr:relSizeAnchor>
  <cdr:relSizeAnchor xmlns:cdr="http://schemas.openxmlformats.org/drawingml/2006/chartDrawing">
    <cdr:from>
      <cdr:x>0.76944</cdr:x>
      <cdr:y>0.79629</cdr:y>
    </cdr:from>
    <cdr:to>
      <cdr:x>0.89062</cdr:x>
      <cdr:y>0.86632</cdr:y>
    </cdr:to>
    <cdr:sp macro="" textlink="">
      <cdr:nvSpPr>
        <cdr:cNvPr id="5" name="TextBox 1">
          <a:extLst xmlns:a="http://schemas.openxmlformats.org/drawingml/2006/main">
            <a:ext uri="{FF2B5EF4-FFF2-40B4-BE49-F238E27FC236}">
              <a16:creationId xmlns:a16="http://schemas.microsoft.com/office/drawing/2014/main" id="{20444BBE-2A3C-2D0C-C8FA-9130D3CD86F3}"/>
            </a:ext>
          </a:extLst>
        </cdr:cNvPr>
        <cdr:cNvSpPr txBox="1"/>
      </cdr:nvSpPr>
      <cdr:spPr>
        <a:xfrm xmlns:a="http://schemas.openxmlformats.org/drawingml/2006/main">
          <a:off x="3517895" y="2184395"/>
          <a:ext cx="554035" cy="1921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-15%</a:t>
          </a:r>
        </a:p>
      </cdr:txBody>
    </cdr:sp>
  </cdr:relSizeAnchor>
  <cdr:relSizeAnchor xmlns:cdr="http://schemas.openxmlformats.org/drawingml/2006/chartDrawing">
    <cdr:from>
      <cdr:x>0.52361</cdr:x>
      <cdr:y>0.59491</cdr:y>
    </cdr:from>
    <cdr:to>
      <cdr:x>0.6257</cdr:x>
      <cdr:y>0.65741</cdr:y>
    </cdr:to>
    <cdr:sp macro="" textlink="">
      <cdr:nvSpPr>
        <cdr:cNvPr id="6" name="TextBox 1">
          <a:extLst xmlns:a="http://schemas.openxmlformats.org/drawingml/2006/main">
            <a:ext uri="{FF2B5EF4-FFF2-40B4-BE49-F238E27FC236}">
              <a16:creationId xmlns:a16="http://schemas.microsoft.com/office/drawing/2014/main" id="{3BA9E3EF-719A-B91B-2FDE-ACFB65F2F311}"/>
            </a:ext>
          </a:extLst>
        </cdr:cNvPr>
        <cdr:cNvSpPr txBox="1"/>
      </cdr:nvSpPr>
      <cdr:spPr>
        <a:xfrm xmlns:a="http://schemas.openxmlformats.org/drawingml/2006/main">
          <a:off x="2393930" y="1631960"/>
          <a:ext cx="466755" cy="171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Arial" panose="020B0604020202020204" pitchFamily="34" charset="0"/>
              <a:cs typeface="Arial" panose="020B0604020202020204" pitchFamily="34" charset="0"/>
            </a:rPr>
            <a:t>0.3¢</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27</xdr:col>
      <xdr:colOff>160940</xdr:colOff>
      <xdr:row>36</xdr:row>
      <xdr:rowOff>73426</xdr:rowOff>
    </xdr:from>
    <xdr:to>
      <xdr:col>30</xdr:col>
      <xdr:colOff>316141</xdr:colOff>
      <xdr:row>46</xdr:row>
      <xdr:rowOff>103557</xdr:rowOff>
    </xdr:to>
    <xdr:pic>
      <xdr:nvPicPr>
        <xdr:cNvPr id="3" name="Picture 2">
          <a:extLst>
            <a:ext uri="{FF2B5EF4-FFF2-40B4-BE49-F238E27FC236}">
              <a16:creationId xmlns:a16="http://schemas.microsoft.com/office/drawing/2014/main" id="{463F47E2-DAF1-C758-D434-9A4C73B468D9}"/>
            </a:ext>
          </a:extLst>
        </xdr:cNvPr>
        <xdr:cNvPicPr>
          <a:picLocks noChangeAspect="1"/>
        </xdr:cNvPicPr>
      </xdr:nvPicPr>
      <xdr:blipFill>
        <a:blip xmlns:r="http://schemas.openxmlformats.org/officeDocument/2006/relationships" r:embed="rId1"/>
        <a:stretch>
          <a:fillRect/>
        </a:stretch>
      </xdr:blipFill>
      <xdr:spPr>
        <a:xfrm>
          <a:off x="19298253" y="6288489"/>
          <a:ext cx="1988764" cy="1862106"/>
        </a:xfrm>
        <a:prstGeom prst="rect">
          <a:avLst/>
        </a:prstGeom>
      </xdr:spPr>
    </xdr:pic>
    <xdr:clientData/>
  </xdr:twoCellAnchor>
  <xdr:twoCellAnchor editAs="oneCell">
    <xdr:from>
      <xdr:col>27</xdr:col>
      <xdr:colOff>164101</xdr:colOff>
      <xdr:row>47</xdr:row>
      <xdr:rowOff>54192</xdr:rowOff>
    </xdr:from>
    <xdr:to>
      <xdr:col>30</xdr:col>
      <xdr:colOff>306878</xdr:colOff>
      <xdr:row>57</xdr:row>
      <xdr:rowOff>93088</xdr:rowOff>
    </xdr:to>
    <xdr:pic>
      <xdr:nvPicPr>
        <xdr:cNvPr id="4" name="Picture 3">
          <a:extLst>
            <a:ext uri="{FF2B5EF4-FFF2-40B4-BE49-F238E27FC236}">
              <a16:creationId xmlns:a16="http://schemas.microsoft.com/office/drawing/2014/main" id="{10780D9E-F649-1261-66FC-BA9D2B96EAAA}"/>
            </a:ext>
          </a:extLst>
        </xdr:cNvPr>
        <xdr:cNvPicPr>
          <a:picLocks noChangeAspect="1"/>
        </xdr:cNvPicPr>
      </xdr:nvPicPr>
      <xdr:blipFill>
        <a:blip xmlns:r="http://schemas.openxmlformats.org/officeDocument/2006/relationships" r:embed="rId2"/>
        <a:stretch>
          <a:fillRect/>
        </a:stretch>
      </xdr:blipFill>
      <xdr:spPr>
        <a:xfrm>
          <a:off x="19301414" y="8277442"/>
          <a:ext cx="1976340" cy="1864521"/>
        </a:xfrm>
        <a:prstGeom prst="rect">
          <a:avLst/>
        </a:prstGeom>
      </xdr:spPr>
    </xdr:pic>
    <xdr:clientData/>
  </xdr:twoCellAnchor>
  <xdr:twoCellAnchor editAs="oneCell">
    <xdr:from>
      <xdr:col>32</xdr:col>
      <xdr:colOff>110445</xdr:colOff>
      <xdr:row>22</xdr:row>
      <xdr:rowOff>165327</xdr:rowOff>
    </xdr:from>
    <xdr:to>
      <xdr:col>36</xdr:col>
      <xdr:colOff>488662</xdr:colOff>
      <xdr:row>33</xdr:row>
      <xdr:rowOff>154265</xdr:rowOff>
    </xdr:to>
    <xdr:pic>
      <xdr:nvPicPr>
        <xdr:cNvPr id="2" name="Picture 1">
          <a:extLst>
            <a:ext uri="{FF2B5EF4-FFF2-40B4-BE49-F238E27FC236}">
              <a16:creationId xmlns:a16="http://schemas.microsoft.com/office/drawing/2014/main" id="{541A93D9-3A7D-6764-FD83-7E73510A1CD6}"/>
            </a:ext>
          </a:extLst>
        </xdr:cNvPr>
        <xdr:cNvPicPr>
          <a:picLocks noChangeAspect="1"/>
        </xdr:cNvPicPr>
      </xdr:nvPicPr>
      <xdr:blipFill>
        <a:blip xmlns:r="http://schemas.openxmlformats.org/officeDocument/2006/relationships" r:embed="rId3"/>
        <a:stretch>
          <a:fillRect/>
        </a:stretch>
      </xdr:blipFill>
      <xdr:spPr>
        <a:xfrm>
          <a:off x="22303695" y="3816577"/>
          <a:ext cx="2816617" cy="20050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pe-srv1\projects\15000\15054%20-%20DRPT%20FASTLANE%20Application\4.0%20Project%20Data%20and%20Reference%20Information\4.2%20Work%20in%20Progress\Park%20n%20Ride%20Analysis%20from%20Client\437%20AL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brinic/AppData/Local/Microsoft/Windows/Temporary%20Internet%20Files/Content.Outlook/WJXR570L/train%20flows%20V4%20-%20sk%20t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etomasze_hdrinc_com/Documents/Work%20current%20Misc/RAISE%202022_UDOT/Submission%20Project/BCA%20Model/Final/RAISE%202022_UDOT_Provo%20Viaduct%20v9.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wu/Documents/(2022)Victorville%20TCEP/BNSF_Victorville_TCEP_Freight%20Model_CalBCA%2010%2026%2022%20DRAFT%20SW.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xiaoli/Documents/Projects/2019/POV%20NTCF/2019-03-25%20localised%20benefit%20V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kirsh/Documents/Client%20Files/Belleville%20Terminal/VFPA%20NTCF%20BCA%20Model%20FSD%204.05.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kafka/Documents/VFPA%20US%20modal%20impacts%20calc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wu/OneDrive%20-%20HDR,%20Inc/Transfer%20Documents/2021/(2021)TxDOT%20Grade%20Crossing/RailCAST%20DRAFT%20Template%20v6.7.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vbrinic/Documents/My%20Received%20Files/BCA,CVA-UintaBasinRailRoad%20140711%20v3%20ROI%20UPDATE%20-%202016%20UPDATE%20v1.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kirsh/Documents/Client%20Files/Inactive/UDOT/RAISE/Model/RAISE_BCA_UDOT_FLM%20Project%20Final%20v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twe-srv1\PROJECTS\7500\7562%20Austin%20Sustainable%20Places%20Analytical%20Tool\5.0%20PROJECT%20DATA%20AND%20REFERENCE%20INFORMATION\5.7%20Water\AFCEE_SROI_Final%20Draft%20-%20unlocked%20version.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windows\TEMP\My%20Documents\ESTIMATES\SPRING%20CREEK\MAIN%20EST%20SC\SC%20SUMMARY2-6-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skouznet/Documents/USDOT%20Grants/INFRA%20Grants%202017/Spokane%20Valley%20Grade%20Crossings/COSV%20Barker%20Road%20TIGER%202017%20BCA%20Model%2010.12.201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skirsh/Downloads/AE%20Solar_Draft%20Financial%20Comp%20(HDR%20v6.5%20-%2020190211).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Documents%20and%20Settings/Stephane%20Gros/My%20Documents/My%20Files/Projects/MODELS/TCA%20Model%20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Documents%20and%20Settings\Administrator\Desktop\Bob's%20Files\Newtown%20Creek\My%20Documents\ESTIMATES\SPRING%20CREEK\MAIN%20EST%20SC\SC%20SUMMARY2-6-9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Steph's%20Documents/Projects/Cdn%20Expansion/Copy%20of%2000367DET2006Fin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wworking/pitt/d1788930/17%20Avenue%20-%20MAE%20-30052016%20S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Steph's%20Documents/Projects/Cdn%20Expansion/Canada%20Plan%20v2.0/IVAxls/IVABubbl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Steph's%20Documents/Projects/KABATA/KABATA%20CRA%20MODEL_Scenario%202_May%20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skouznet/Documents/TIGER%20&amp;%20FASTLANE/TIGER%208%20QA-QC/Portland/PoP_FL%20_BCA_Model_2016_v2_OK_final%20post%20QC.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vbrinic/Documents/Gardiners%20&amp;%20DVP/Model/Gardiner-DVP%20CBA%20Model%20V15_ET.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Steph's%20Documents/Projects/Microsoft%20Campus%20Transportation/Microsoft%20Campus%20Transportation%20Business%20Case_alt2_Final%20for%20Phase%20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swu/OneDrive%20-%20HDR,%20Inc/Transfer%20Documents/2020/(2020)BBRR%20CRISI/Model/BBRR%20FY20%20CRISI%20BCA%20DRAFT%20061720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skouznet/Documents/Saskatoon%20Rail%20Relocation/SK%20TEST%20Montana%20grade%20separation%20model_v5.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7000/7060.Sea%20Beach%20Line/Base%20CRA%20Model.xls" TargetMode="External"/></Relationships>
</file>

<file path=xl/externalLinks/_rels/externalLink27.xml.rels><?xml version="1.0" encoding="UTF-8" standalone="yes"?>
<Relationships xmlns="http://schemas.openxmlformats.org/package/2006/relationships"><Relationship Id="rId2" Type="http://schemas.microsoft.com/office/2019/04/relationships/externalLinkLongPath" Target="/users/Steph's%20Documents/Projects/KABATA/For%20Steph%20From%20SS%20Server/6950.WSDOT%20CEVP/Final%20Model%20and%20Report/Documents%20and%20Settings/sgros/Desktop/ALASKA%20Network%20Folder/ALASKA%20DRAFT%20MODEL%20FINAL.xls?67048883" TargetMode="External"/><Relationship Id="rId1" Type="http://schemas.openxmlformats.org/officeDocument/2006/relationships/externalLinkPath" Target="file:///\\67048883\ALASKA%20DRAFT%20MODEL%20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rduan/AppData/Local/Microsoft/Windows/Temporary%20Internet%20Files/Content.Outlook/L033T8MQ/Models/BCA,CVA-UintaBasinRailRoad%20140630.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Documents%20and%20Settings/Stephane%20Gros/My%20Documents/My%20Files/Projects/MODELS/Greenway%20Revenue%20Model%20DRAFT%2008-10-0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etomasze/Documents/Work%20current%20Misc/NTCF%20Grants_May%202022/Neptune%20Terminals/CBA%20Model/NTCF_Neptune%20Terminal%20Bulkhead%20Wall%20CBA_June%20202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windows\TEMP\My%20Documents\MPWardsisland\Grit%20Chambers%2060%25\My%20Documents\ESTIMATES\SPRING%20CREEK\MAIN%20EST%20SC\SC%20SUMMARY2-6-9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2175184\206%20Prelim%20Design\206.1%20Prelim%20Design\Motor%20List\mastermotorli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vbrinic/Documents/Calgary%2017ave/Copy%20of%20ATBenefitCostModelV1z.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Documents%20and%20Settings/slarocqu/Local%20Settings/Temporary%20Internet%20Files/OLK6E/6900/6991%20Alaska-Canada%20Rail%20Link/File%20Recieved/Spreadsheets/Crest_200607020901_AMG.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etomasze/Documents/Work%20current%20Misc/TIGER%20V-Houston%20METRO/Other%20Transit%20TIGERS/Streetcar-CBA%20Ft%20Lauderdale%2010192011.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vbrinic/AppData/Local/Microsoft/Windows/Temporary%20Internet%20Files/Content.Outlook/10AHLDGM/Model/Gardiner-DVP%20Tolling%20Draft%20Model%20V2.3.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otwe-srv1\PROJECTS\7300\7337%20Argonne%20SROI%20Lite\FINAL\Argonne%20SROI%20Lite%20-%20Isolated%20-%20March.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harmeet.kaur/AppData/Local/Microsoft/Windows/Temporary%20Internet%20Files/Content.Outlook/AP5RXBC3/ATBCmodelV1zcalibratedto0.505.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RCFile\Office\CRC\CRC%20Workpaper%20Files\8.0%20Highway%20Planning%20and%20Engineering\TASK%20AD\8.0%20%20Highway%20Planning%20and%20Engineering\8.9%20%20Cost%20Estimating\Estimate\Quantities\Quantities%20-%20Highway-Mainline-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Inputs-437a"/>
      <sheetName val="Inputs-437b"/>
      <sheetName val="Inputs-437c"/>
      <sheetName val="Inputs-437d"/>
      <sheetName val="Definitions"/>
    </sheetNames>
    <sheetDataSet>
      <sheetData sheetId="0"/>
      <sheetData sheetId="1">
        <row r="3">
          <cell r="H3" t="str">
            <v>No</v>
          </cell>
          <cell r="M3" t="str">
            <v>No</v>
          </cell>
          <cell r="Q3">
            <v>0</v>
          </cell>
        </row>
        <row r="4">
          <cell r="E4" t="str">
            <v>NB/EB</v>
          </cell>
          <cell r="G4" t="str">
            <v>SB/WB</v>
          </cell>
          <cell r="J4" t="str">
            <v>NB/EB</v>
          </cell>
          <cell r="K4">
            <v>0</v>
          </cell>
          <cell r="L4" t="str">
            <v>SB/WB</v>
          </cell>
        </row>
        <row r="5">
          <cell r="C5">
            <v>14.86</v>
          </cell>
          <cell r="F5">
            <v>3</v>
          </cell>
          <cell r="H5">
            <v>3</v>
          </cell>
          <cell r="K5">
            <v>3</v>
          </cell>
          <cell r="M5">
            <v>3</v>
          </cell>
        </row>
        <row r="6">
          <cell r="C6" t="str">
            <v>Level</v>
          </cell>
          <cell r="F6">
            <v>12</v>
          </cell>
          <cell r="H6">
            <v>12</v>
          </cell>
          <cell r="K6">
            <v>12</v>
          </cell>
          <cell r="M6">
            <v>12</v>
          </cell>
        </row>
        <row r="7">
          <cell r="C7">
            <v>65</v>
          </cell>
          <cell r="F7">
            <v>0</v>
          </cell>
          <cell r="H7">
            <v>0</v>
          </cell>
          <cell r="K7">
            <v>0</v>
          </cell>
          <cell r="M7">
            <v>0</v>
          </cell>
        </row>
        <row r="8">
          <cell r="C8">
            <v>0.09</v>
          </cell>
          <cell r="F8">
            <v>0</v>
          </cell>
          <cell r="H8">
            <v>0</v>
          </cell>
          <cell r="K8">
            <v>0</v>
          </cell>
          <cell r="M8">
            <v>0</v>
          </cell>
        </row>
        <row r="9">
          <cell r="C9">
            <v>0</v>
          </cell>
          <cell r="F9">
            <v>6</v>
          </cell>
          <cell r="H9">
            <v>6</v>
          </cell>
          <cell r="K9">
            <v>6</v>
          </cell>
          <cell r="M9">
            <v>6</v>
          </cell>
        </row>
        <row r="10">
          <cell r="C10">
            <v>1</v>
          </cell>
          <cell r="F10">
            <v>0</v>
          </cell>
          <cell r="H10">
            <v>0</v>
          </cell>
          <cell r="K10">
            <v>0</v>
          </cell>
          <cell r="M10">
            <v>0</v>
          </cell>
        </row>
        <row r="11">
          <cell r="C11">
            <v>164437</v>
          </cell>
          <cell r="F11">
            <v>0</v>
          </cell>
          <cell r="H11">
            <v>0</v>
          </cell>
          <cell r="K11">
            <v>0</v>
          </cell>
          <cell r="M11">
            <v>0</v>
          </cell>
        </row>
        <row r="12">
          <cell r="C12">
            <v>7.2999999999999995E-2</v>
          </cell>
          <cell r="F12">
            <v>1.53</v>
          </cell>
          <cell r="H12">
            <v>1.53</v>
          </cell>
          <cell r="K12">
            <v>1.53</v>
          </cell>
          <cell r="M12">
            <v>1.53</v>
          </cell>
        </row>
        <row r="13">
          <cell r="C13">
            <v>0.52</v>
          </cell>
          <cell r="L13">
            <v>-125.76</v>
          </cell>
        </row>
        <row r="15">
          <cell r="C15" t="str">
            <v>Interstate/Principal Freeway</v>
          </cell>
          <cell r="L15">
            <v>0</v>
          </cell>
        </row>
        <row r="18">
          <cell r="C18">
            <v>1950</v>
          </cell>
        </row>
        <row r="19">
          <cell r="C19">
            <v>0.96</v>
          </cell>
        </row>
        <row r="20">
          <cell r="C20">
            <v>0.2</v>
          </cell>
        </row>
        <row r="21">
          <cell r="C21">
            <v>10</v>
          </cell>
        </row>
        <row r="22">
          <cell r="C22">
            <v>1.5</v>
          </cell>
        </row>
        <row r="23">
          <cell r="C23">
            <v>1.2</v>
          </cell>
        </row>
        <row r="24">
          <cell r="C24">
            <v>0.95693779904306231</v>
          </cell>
          <cell r="F24">
            <v>70.797469516755129</v>
          </cell>
          <cell r="H24">
            <v>70.797469516755129</v>
          </cell>
          <cell r="K24">
            <v>70.797469516755129</v>
          </cell>
          <cell r="M24">
            <v>70.797469516755129</v>
          </cell>
        </row>
        <row r="27">
          <cell r="C27">
            <v>524</v>
          </cell>
        </row>
        <row r="28">
          <cell r="C28">
            <v>0</v>
          </cell>
          <cell r="F28">
            <v>2264.9027095138886</v>
          </cell>
          <cell r="H28">
            <v>2090.6794241666666</v>
          </cell>
          <cell r="K28">
            <v>2241.1742428472221</v>
          </cell>
          <cell r="M28">
            <v>2068.7762241666665</v>
          </cell>
        </row>
        <row r="31">
          <cell r="F31">
            <v>37.38629171160219</v>
          </cell>
          <cell r="H31">
            <v>50.519736209879596</v>
          </cell>
          <cell r="K31">
            <v>39.237304192811571</v>
          </cell>
          <cell r="M31">
            <v>52.008804721181427</v>
          </cell>
        </row>
        <row r="33">
          <cell r="F33">
            <v>5030971.1330042081</v>
          </cell>
          <cell r="H33">
            <v>1952337.4381581629</v>
          </cell>
          <cell r="K33">
            <v>4472307.1991541684</v>
          </cell>
          <cell r="M33">
            <v>1701420.7350442614</v>
          </cell>
          <cell r="Q33" t="e">
            <v>#NAME?</v>
          </cell>
        </row>
      </sheetData>
      <sheetData sheetId="2"/>
      <sheetData sheetId="3"/>
      <sheetData sheetId="4"/>
      <sheetData sheetId="5">
        <row r="1">
          <cell r="K1">
            <v>9</v>
          </cell>
          <cell r="L1">
            <v>10</v>
          </cell>
          <cell r="M1">
            <v>11</v>
          </cell>
          <cell r="N1">
            <v>12</v>
          </cell>
        </row>
        <row r="2">
          <cell r="K2">
            <v>6.4</v>
          </cell>
          <cell r="L2">
            <v>5.3</v>
          </cell>
          <cell r="M2">
            <v>4.7</v>
          </cell>
          <cell r="N2">
            <v>4.2</v>
          </cell>
        </row>
        <row r="3">
          <cell r="A3" t="str">
            <v>Interstate/Principal Freeway</v>
          </cell>
          <cell r="B3">
            <v>1600</v>
          </cell>
          <cell r="C3">
            <v>1800</v>
          </cell>
          <cell r="D3">
            <v>2000</v>
          </cell>
          <cell r="E3">
            <v>2100</v>
          </cell>
          <cell r="F3">
            <v>2200</v>
          </cell>
          <cell r="G3">
            <v>1950</v>
          </cell>
          <cell r="K3">
            <v>4.8</v>
          </cell>
          <cell r="L3">
            <v>3.7</v>
          </cell>
          <cell r="M3">
            <v>3</v>
          </cell>
          <cell r="N3">
            <v>2.6</v>
          </cell>
        </row>
        <row r="4">
          <cell r="A4" t="str">
            <v>Minor Freeway</v>
          </cell>
          <cell r="B4">
            <v>1600</v>
          </cell>
          <cell r="C4">
            <v>1700</v>
          </cell>
          <cell r="D4">
            <v>1800</v>
          </cell>
          <cell r="E4">
            <v>1900</v>
          </cell>
          <cell r="F4">
            <v>2000</v>
          </cell>
          <cell r="G4">
            <v>1800</v>
          </cell>
          <cell r="K4">
            <v>3.5</v>
          </cell>
          <cell r="L4">
            <v>2.4</v>
          </cell>
          <cell r="M4">
            <v>1.7</v>
          </cell>
          <cell r="N4">
            <v>1.3</v>
          </cell>
        </row>
        <row r="5">
          <cell r="A5" t="str">
            <v>Principal Arterial/Highway</v>
          </cell>
          <cell r="B5">
            <v>1200</v>
          </cell>
          <cell r="C5">
            <v>1300</v>
          </cell>
          <cell r="D5">
            <v>1400</v>
          </cell>
          <cell r="E5">
            <v>1500</v>
          </cell>
          <cell r="F5">
            <v>1600</v>
          </cell>
          <cell r="G5">
            <v>1400</v>
          </cell>
          <cell r="K5">
            <v>2.2000000000000002</v>
          </cell>
          <cell r="L5">
            <v>1.1000000000000001</v>
          </cell>
          <cell r="M5">
            <v>0.4</v>
          </cell>
          <cell r="N5">
            <v>0</v>
          </cell>
        </row>
        <row r="6">
          <cell r="A6" t="str">
            <v>Major Arterial/Highway</v>
          </cell>
          <cell r="B6">
            <v>1100</v>
          </cell>
          <cell r="C6">
            <v>1150</v>
          </cell>
          <cell r="D6">
            <v>1200</v>
          </cell>
          <cell r="E6">
            <v>1300</v>
          </cell>
          <cell r="F6">
            <v>1400</v>
          </cell>
          <cell r="G6">
            <v>1250</v>
          </cell>
        </row>
        <row r="7">
          <cell r="A7" t="str">
            <v>Minor Arterial/Highway</v>
          </cell>
          <cell r="B7">
            <v>1000</v>
          </cell>
          <cell r="C7">
            <v>1050</v>
          </cell>
          <cell r="D7">
            <v>1100</v>
          </cell>
          <cell r="E7">
            <v>1150</v>
          </cell>
          <cell r="F7">
            <v>1200</v>
          </cell>
          <cell r="G7">
            <v>1100</v>
          </cell>
        </row>
        <row r="8">
          <cell r="A8" t="str">
            <v>Major Collector</v>
          </cell>
          <cell r="B8">
            <v>800</v>
          </cell>
          <cell r="C8">
            <v>850</v>
          </cell>
          <cell r="D8">
            <v>900</v>
          </cell>
          <cell r="E8">
            <v>950</v>
          </cell>
          <cell r="F8">
            <v>1000</v>
          </cell>
          <cell r="G8">
            <v>900</v>
          </cell>
        </row>
        <row r="9">
          <cell r="A9" t="str">
            <v>Minor Collector</v>
          </cell>
          <cell r="B9">
            <v>700</v>
          </cell>
          <cell r="C9">
            <v>750</v>
          </cell>
          <cell r="D9">
            <v>800</v>
          </cell>
          <cell r="E9">
            <v>850</v>
          </cell>
          <cell r="F9">
            <v>900</v>
          </cell>
          <cell r="G9">
            <v>800</v>
          </cell>
        </row>
        <row r="10">
          <cell r="A10" t="str">
            <v>Local</v>
          </cell>
          <cell r="B10">
            <v>600</v>
          </cell>
          <cell r="C10">
            <v>650</v>
          </cell>
          <cell r="D10">
            <v>700</v>
          </cell>
          <cell r="E10">
            <v>750</v>
          </cell>
          <cell r="F10">
            <v>800</v>
          </cell>
          <cell r="G10">
            <v>700</v>
          </cell>
        </row>
        <row r="11">
          <cell r="A11" t="str">
            <v>High-Speed Ramp</v>
          </cell>
          <cell r="B11">
            <v>1600</v>
          </cell>
          <cell r="C11">
            <v>1700</v>
          </cell>
          <cell r="D11">
            <v>1800</v>
          </cell>
          <cell r="E11">
            <v>1900</v>
          </cell>
          <cell r="F11">
            <v>2000</v>
          </cell>
          <cell r="G11">
            <v>1800</v>
          </cell>
        </row>
        <row r="12">
          <cell r="A12" t="str">
            <v>Low-Speed Ramp</v>
          </cell>
          <cell r="B12">
            <v>1400</v>
          </cell>
          <cell r="C12">
            <v>1500</v>
          </cell>
          <cell r="D12">
            <v>1600</v>
          </cell>
          <cell r="E12">
            <v>1700</v>
          </cell>
          <cell r="F12">
            <v>1800</v>
          </cell>
          <cell r="G12">
            <v>1600</v>
          </cell>
          <cell r="J12">
            <v>1.54</v>
          </cell>
        </row>
        <row r="25">
          <cell r="A25">
            <v>12</v>
          </cell>
          <cell r="B25">
            <v>0</v>
          </cell>
          <cell r="C25">
            <v>0</v>
          </cell>
          <cell r="I25">
            <v>6</v>
          </cell>
          <cell r="J25">
            <v>0</v>
          </cell>
          <cell r="K25">
            <v>0</v>
          </cell>
          <cell r="L25">
            <v>0</v>
          </cell>
          <cell r="M25">
            <v>0</v>
          </cell>
          <cell r="N25">
            <v>0</v>
          </cell>
        </row>
        <row r="26">
          <cell r="A26">
            <v>10</v>
          </cell>
          <cell r="B26">
            <v>0.4</v>
          </cell>
          <cell r="C26">
            <v>0.4</v>
          </cell>
          <cell r="I26">
            <v>5</v>
          </cell>
          <cell r="J26">
            <v>0.6</v>
          </cell>
          <cell r="K26">
            <v>0.6</v>
          </cell>
          <cell r="L26">
            <v>0.4</v>
          </cell>
          <cell r="M26">
            <v>0.2</v>
          </cell>
          <cell r="N26">
            <v>0.1</v>
          </cell>
        </row>
        <row r="27">
          <cell r="A27">
            <v>8</v>
          </cell>
          <cell r="B27">
            <v>0.9</v>
          </cell>
          <cell r="C27">
            <v>0.9</v>
          </cell>
          <cell r="I27">
            <v>4</v>
          </cell>
          <cell r="J27">
            <v>1.2</v>
          </cell>
          <cell r="K27">
            <v>1.2</v>
          </cell>
          <cell r="L27">
            <v>0.8</v>
          </cell>
          <cell r="M27">
            <v>0.4</v>
          </cell>
          <cell r="N27">
            <v>0.2</v>
          </cell>
        </row>
        <row r="28">
          <cell r="A28">
            <v>6</v>
          </cell>
          <cell r="B28">
            <v>1.3</v>
          </cell>
          <cell r="C28">
            <v>1.3</v>
          </cell>
          <cell r="I28">
            <v>3</v>
          </cell>
          <cell r="J28">
            <v>1.8</v>
          </cell>
          <cell r="K28">
            <v>1.8</v>
          </cell>
          <cell r="L28">
            <v>1.2</v>
          </cell>
          <cell r="M28">
            <v>0.6</v>
          </cell>
          <cell r="N28">
            <v>0.3</v>
          </cell>
        </row>
        <row r="29">
          <cell r="A29">
            <v>4</v>
          </cell>
          <cell r="B29">
            <v>1.8</v>
          </cell>
          <cell r="C29">
            <v>1.7</v>
          </cell>
          <cell r="I29">
            <v>2</v>
          </cell>
          <cell r="J29">
            <v>2.4</v>
          </cell>
          <cell r="K29">
            <v>2.4</v>
          </cell>
          <cell r="L29">
            <v>1.6</v>
          </cell>
          <cell r="M29">
            <v>0.8</v>
          </cell>
          <cell r="N29">
            <v>0.4</v>
          </cell>
        </row>
        <row r="30">
          <cell r="A30">
            <v>2</v>
          </cell>
          <cell r="B30">
            <v>3.6</v>
          </cell>
          <cell r="C30">
            <v>2.8</v>
          </cell>
          <cell r="I30">
            <v>1</v>
          </cell>
          <cell r="J30">
            <v>3</v>
          </cell>
          <cell r="K30">
            <v>3</v>
          </cell>
          <cell r="L30">
            <v>2</v>
          </cell>
          <cell r="M30">
            <v>1</v>
          </cell>
          <cell r="N30">
            <v>0.5</v>
          </cell>
        </row>
        <row r="31">
          <cell r="A31">
            <v>0</v>
          </cell>
          <cell r="B31">
            <v>5.4</v>
          </cell>
          <cell r="C31">
            <v>3.9</v>
          </cell>
          <cell r="I31">
            <v>0</v>
          </cell>
          <cell r="J31">
            <v>3.6</v>
          </cell>
          <cell r="K31">
            <v>3.6</v>
          </cell>
          <cell r="L31">
            <v>2.4</v>
          </cell>
          <cell r="M31">
            <v>1.2</v>
          </cell>
          <cell r="N31">
            <v>0.6</v>
          </cell>
        </row>
        <row r="34">
          <cell r="B34">
            <v>0.75</v>
          </cell>
        </row>
        <row r="35">
          <cell r="B35">
            <v>0.32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st Mile Train Inputs"/>
      <sheetName val="2015_OD"/>
      <sheetName val="2025_OD_Base"/>
      <sheetName val="2025_OD_Low"/>
      <sheetName val="2025_OD_High"/>
      <sheetName val="Lookups"/>
      <sheetName val="CNRefLineODAssoc"/>
      <sheetName val="CPRefLineODAssoc"/>
      <sheetName val="TpdAlloc"/>
      <sheetName val="Pivot"/>
      <sheetName val="CN_Network"/>
      <sheetName val="CP_Network"/>
      <sheetName val="train flows V4 - sk test"/>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Results"/>
      <sheetName val="Report Tables"/>
      <sheetName val="Inputs"/>
      <sheetName val="Travel Paths"/>
      <sheetName val="Traffic"/>
      <sheetName val="Calc-1"/>
      <sheetName val="Calc-2"/>
      <sheetName val="Calc-3"/>
      <sheetName val="Calc-4"/>
      <sheetName val="Calc-5"/>
      <sheetName val="Calc-6"/>
      <sheetName val="Calc-Costs"/>
      <sheetName val="Project Costs "/>
      <sheetName val="Emissions Rates"/>
      <sheetName val="US DOT BCA Guidance"/>
      <sheetName val="Traffic and Accident Data"/>
      <sheetName val="GDP Deflator"/>
    </sheetNames>
    <sheetDataSet>
      <sheetData sheetId="0" refreshError="1"/>
      <sheetData sheetId="1" refreshError="1"/>
      <sheetData sheetId="2" refreshError="1"/>
      <sheetData sheetId="3">
        <row r="49">
          <cell r="D49">
            <v>11600000</v>
          </cell>
        </row>
        <row r="50">
          <cell r="D50">
            <v>210300</v>
          </cell>
        </row>
        <row r="51">
          <cell r="D51">
            <v>4600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structions"/>
      <sheetName val="1) Project Information"/>
      <sheetName val="2) Model Inputs"/>
      <sheetName val="3) Results"/>
      <sheetName val="Shipper Costs"/>
      <sheetName val="Accident Costs"/>
      <sheetName val="Emissions"/>
      <sheetName val="Emissions Alt"/>
      <sheetName val="MOVES"/>
      <sheetName val="Final Calculations"/>
      <sheetName val="Rail Emissions Alt"/>
      <sheetName val="PARAMETERS"/>
      <sheetName val="Data Inputs Work"/>
      <sheetName val="Truck Distances"/>
      <sheetName val="Rail Distances"/>
      <sheetName val="Original"/>
    </sheetNames>
    <sheetDataSet>
      <sheetData sheetId="0"/>
      <sheetData sheetId="1"/>
      <sheetData sheetId="2">
        <row r="4">
          <cell r="E4" t="str">
            <v>Hypothetical Project</v>
          </cell>
        </row>
        <row r="10">
          <cell r="H10">
            <v>1</v>
          </cell>
        </row>
        <row r="11">
          <cell r="R11">
            <v>5.0000000000000001E-3</v>
          </cell>
        </row>
        <row r="12">
          <cell r="F12">
            <v>2022</v>
          </cell>
          <cell r="R12">
            <v>0.28000000000000003</v>
          </cell>
        </row>
        <row r="13">
          <cell r="F13">
            <v>2023</v>
          </cell>
          <cell r="R13">
            <v>0.61</v>
          </cell>
        </row>
        <row r="14">
          <cell r="F14">
            <v>2024</v>
          </cell>
        </row>
        <row r="23">
          <cell r="H23">
            <v>0</v>
          </cell>
          <cell r="R23">
            <v>0</v>
          </cell>
        </row>
        <row r="24">
          <cell r="H24">
            <v>0</v>
          </cell>
          <cell r="R24">
            <v>0</v>
          </cell>
        </row>
        <row r="26">
          <cell r="H26">
            <v>0</v>
          </cell>
          <cell r="R26">
            <v>0</v>
          </cell>
        </row>
        <row r="27">
          <cell r="H27">
            <v>0</v>
          </cell>
          <cell r="R27">
            <v>0</v>
          </cell>
        </row>
        <row r="28">
          <cell r="H28">
            <v>0</v>
          </cell>
        </row>
        <row r="29">
          <cell r="Q29">
            <v>0</v>
          </cell>
          <cell r="R29">
            <v>0</v>
          </cell>
        </row>
        <row r="30">
          <cell r="Q30">
            <v>0</v>
          </cell>
          <cell r="R30">
            <v>0</v>
          </cell>
        </row>
        <row r="31">
          <cell r="G31">
            <v>2</v>
          </cell>
          <cell r="H31">
            <v>2</v>
          </cell>
        </row>
        <row r="32">
          <cell r="G32">
            <v>134.5</v>
          </cell>
          <cell r="H32">
            <v>134.5</v>
          </cell>
        </row>
        <row r="34">
          <cell r="G34">
            <v>12</v>
          </cell>
          <cell r="H34">
            <v>12</v>
          </cell>
        </row>
        <row r="35">
          <cell r="G35">
            <v>44</v>
          </cell>
          <cell r="H35">
            <v>44</v>
          </cell>
        </row>
        <row r="36">
          <cell r="G36">
            <v>168</v>
          </cell>
          <cell r="H36">
            <v>168</v>
          </cell>
        </row>
        <row r="37">
          <cell r="G37">
            <v>20</v>
          </cell>
          <cell r="H37">
            <v>20</v>
          </cell>
        </row>
        <row r="45">
          <cell r="Q45">
            <v>1</v>
          </cell>
          <cell r="R45">
            <v>1</v>
          </cell>
        </row>
        <row r="46">
          <cell r="Q46">
            <v>1</v>
          </cell>
          <cell r="R46">
            <v>1</v>
          </cell>
        </row>
        <row r="47">
          <cell r="H47">
            <v>0</v>
          </cell>
        </row>
        <row r="48">
          <cell r="Q48">
            <v>1</v>
          </cell>
          <cell r="R48">
            <v>1</v>
          </cell>
        </row>
        <row r="49">
          <cell r="G49">
            <v>0</v>
          </cell>
          <cell r="H49">
            <v>0</v>
          </cell>
          <cell r="Q49">
            <v>1</v>
          </cell>
          <cell r="R49">
            <v>1</v>
          </cell>
        </row>
        <row r="50">
          <cell r="G50">
            <v>0</v>
          </cell>
          <cell r="H50">
            <v>0</v>
          </cell>
        </row>
        <row r="51">
          <cell r="R51">
            <v>0</v>
          </cell>
        </row>
        <row r="52">
          <cell r="R52">
            <v>0</v>
          </cell>
        </row>
        <row r="54">
          <cell r="Q54">
            <v>0</v>
          </cell>
          <cell r="R54">
            <v>0</v>
          </cell>
        </row>
        <row r="55">
          <cell r="G55">
            <v>0</v>
          </cell>
          <cell r="H55">
            <v>0</v>
          </cell>
          <cell r="Q55">
            <v>0</v>
          </cell>
          <cell r="R55">
            <v>0</v>
          </cell>
        </row>
        <row r="59">
          <cell r="Q59">
            <v>1</v>
          </cell>
          <cell r="R59">
            <v>1</v>
          </cell>
        </row>
        <row r="60">
          <cell r="Q60">
            <v>1</v>
          </cell>
          <cell r="R60">
            <v>1</v>
          </cell>
        </row>
        <row r="61">
          <cell r="H61">
            <v>0</v>
          </cell>
        </row>
        <row r="62">
          <cell r="Q62">
            <v>1</v>
          </cell>
          <cell r="R62">
            <v>1</v>
          </cell>
        </row>
        <row r="63">
          <cell r="G63">
            <v>2505360</v>
          </cell>
          <cell r="H63">
            <v>0</v>
          </cell>
          <cell r="Q63">
            <v>1</v>
          </cell>
          <cell r="R63">
            <v>1</v>
          </cell>
        </row>
        <row r="64">
          <cell r="G64">
            <v>15417600</v>
          </cell>
          <cell r="H64">
            <v>17922960</v>
          </cell>
        </row>
        <row r="65">
          <cell r="R65">
            <v>0</v>
          </cell>
        </row>
        <row r="66">
          <cell r="R66">
            <v>0</v>
          </cell>
        </row>
        <row r="67">
          <cell r="G67">
            <v>2505360</v>
          </cell>
          <cell r="H67">
            <v>0</v>
          </cell>
          <cell r="Q67">
            <v>0</v>
          </cell>
          <cell r="R67">
            <v>0</v>
          </cell>
        </row>
        <row r="68">
          <cell r="G68">
            <v>15417600</v>
          </cell>
          <cell r="H68">
            <v>17922960</v>
          </cell>
        </row>
        <row r="69">
          <cell r="G69">
            <v>17922960</v>
          </cell>
          <cell r="H69">
            <v>17922960</v>
          </cell>
        </row>
        <row r="70">
          <cell r="R70">
            <v>0</v>
          </cell>
        </row>
        <row r="71">
          <cell r="Q71">
            <v>0</v>
          </cell>
          <cell r="R71">
            <v>0</v>
          </cell>
        </row>
        <row r="72">
          <cell r="G72">
            <v>0</v>
          </cell>
          <cell r="H72">
            <v>0</v>
          </cell>
        </row>
        <row r="73">
          <cell r="G73">
            <v>0</v>
          </cell>
          <cell r="H73">
            <v>0</v>
          </cell>
        </row>
        <row r="83">
          <cell r="Q83">
            <v>0</v>
          </cell>
          <cell r="R83">
            <v>0</v>
          </cell>
        </row>
        <row r="84">
          <cell r="Q84">
            <v>0</v>
          </cell>
          <cell r="R84">
            <v>0</v>
          </cell>
        </row>
        <row r="90">
          <cell r="Q90">
            <v>0</v>
          </cell>
          <cell r="R90">
            <v>0</v>
          </cell>
        </row>
        <row r="91">
          <cell r="Q91">
            <v>0</v>
          </cell>
          <cell r="R91">
            <v>0</v>
          </cell>
        </row>
        <row r="92">
          <cell r="G92">
            <v>1</v>
          </cell>
          <cell r="H92">
            <v>1</v>
          </cell>
        </row>
        <row r="93">
          <cell r="G93">
            <v>1</v>
          </cell>
          <cell r="H93">
            <v>1</v>
          </cell>
        </row>
        <row r="97">
          <cell r="G97">
            <v>25</v>
          </cell>
          <cell r="H97">
            <v>25</v>
          </cell>
        </row>
        <row r="98">
          <cell r="G98">
            <v>25</v>
          </cell>
          <cell r="H98">
            <v>25</v>
          </cell>
        </row>
      </sheetData>
      <sheetData sheetId="3">
        <row r="8">
          <cell r="AL8">
            <v>5.0000000000000001E-3</v>
          </cell>
        </row>
        <row r="9">
          <cell r="X9">
            <v>0</v>
          </cell>
          <cell r="AL9">
            <v>0.28000000000000003</v>
          </cell>
        </row>
        <row r="10">
          <cell r="J10">
            <v>0</v>
          </cell>
          <cell r="X10">
            <v>0</v>
          </cell>
          <cell r="AL10">
            <v>0.61</v>
          </cell>
        </row>
        <row r="11">
          <cell r="J11">
            <v>0</v>
          </cell>
        </row>
        <row r="12">
          <cell r="J12">
            <v>0</v>
          </cell>
        </row>
        <row r="13">
          <cell r="J13">
            <v>0</v>
          </cell>
        </row>
        <row r="14">
          <cell r="X14">
            <v>0</v>
          </cell>
        </row>
        <row r="15">
          <cell r="J15">
            <v>168485460</v>
          </cell>
        </row>
        <row r="16">
          <cell r="J16">
            <v>168485460</v>
          </cell>
          <cell r="X16">
            <v>0</v>
          </cell>
        </row>
        <row r="17">
          <cell r="J17">
            <v>336970920</v>
          </cell>
        </row>
        <row r="18">
          <cell r="J18">
            <v>0</v>
          </cell>
          <cell r="X18">
            <v>0</v>
          </cell>
        </row>
        <row r="19">
          <cell r="X19">
            <v>0</v>
          </cell>
          <cell r="AL19">
            <v>5.0000000000000001E-3</v>
          </cell>
        </row>
        <row r="20">
          <cell r="AL20">
            <v>0.28000000000000003</v>
          </cell>
        </row>
        <row r="21">
          <cell r="AL21">
            <v>0.61</v>
          </cell>
        </row>
        <row r="22">
          <cell r="J22">
            <v>0</v>
          </cell>
        </row>
        <row r="23">
          <cell r="J23">
            <v>0</v>
          </cell>
          <cell r="X23">
            <v>0</v>
          </cell>
        </row>
        <row r="24">
          <cell r="J24">
            <v>0</v>
          </cell>
          <cell r="X24">
            <v>0</v>
          </cell>
        </row>
        <row r="25">
          <cell r="J25">
            <v>0</v>
          </cell>
        </row>
        <row r="27">
          <cell r="J27">
            <v>4905600</v>
          </cell>
        </row>
        <row r="28">
          <cell r="J28">
            <v>4905600</v>
          </cell>
          <cell r="X28">
            <v>0</v>
          </cell>
        </row>
        <row r="29">
          <cell r="J29">
            <v>2590156800</v>
          </cell>
        </row>
        <row r="30">
          <cell r="J30">
            <v>0</v>
          </cell>
          <cell r="X30">
            <v>0</v>
          </cell>
        </row>
        <row r="32">
          <cell r="X32">
            <v>0</v>
          </cell>
        </row>
        <row r="33">
          <cell r="X33">
            <v>0</v>
          </cell>
        </row>
        <row r="34">
          <cell r="J34">
            <v>0</v>
          </cell>
        </row>
        <row r="35">
          <cell r="J35">
            <v>0</v>
          </cell>
        </row>
        <row r="36">
          <cell r="J36">
            <v>0</v>
          </cell>
        </row>
        <row r="37">
          <cell r="J37">
            <v>0</v>
          </cell>
        </row>
        <row r="39">
          <cell r="J39">
            <v>168485460</v>
          </cell>
          <cell r="X39">
            <v>0</v>
          </cell>
        </row>
        <row r="40">
          <cell r="J40">
            <v>168485460</v>
          </cell>
          <cell r="X40">
            <v>0</v>
          </cell>
        </row>
        <row r="41">
          <cell r="J41">
            <v>336970920</v>
          </cell>
        </row>
        <row r="42">
          <cell r="J42">
            <v>0</v>
          </cell>
        </row>
        <row r="44">
          <cell r="X44">
            <v>0</v>
          </cell>
        </row>
        <row r="46">
          <cell r="J46">
            <v>0</v>
          </cell>
          <cell r="X46">
            <v>0</v>
          </cell>
        </row>
        <row r="47">
          <cell r="J47">
            <v>0</v>
          </cell>
        </row>
        <row r="48">
          <cell r="J48">
            <v>0</v>
          </cell>
          <cell r="X48">
            <v>0</v>
          </cell>
        </row>
        <row r="49">
          <cell r="J49">
            <v>0</v>
          </cell>
          <cell r="X49">
            <v>0</v>
          </cell>
        </row>
        <row r="51">
          <cell r="J51">
            <v>4905600</v>
          </cell>
        </row>
        <row r="52">
          <cell r="J52">
            <v>4905600</v>
          </cell>
        </row>
        <row r="53">
          <cell r="J53">
            <v>2590156800</v>
          </cell>
          <cell r="X53">
            <v>0</v>
          </cell>
        </row>
        <row r="54">
          <cell r="J54">
            <v>0</v>
          </cell>
          <cell r="X54">
            <v>0</v>
          </cell>
        </row>
        <row r="58">
          <cell r="X58">
            <v>0</v>
          </cell>
        </row>
        <row r="60">
          <cell r="X60">
            <v>0</v>
          </cell>
        </row>
        <row r="61">
          <cell r="J61">
            <v>0</v>
          </cell>
        </row>
        <row r="62">
          <cell r="J62">
            <v>0</v>
          </cell>
          <cell r="X62">
            <v>0</v>
          </cell>
        </row>
        <row r="63">
          <cell r="J63">
            <v>0</v>
          </cell>
          <cell r="X63">
            <v>0</v>
          </cell>
        </row>
        <row r="64">
          <cell r="J64">
            <v>0</v>
          </cell>
        </row>
        <row r="66">
          <cell r="J66">
            <v>0</v>
          </cell>
        </row>
        <row r="67">
          <cell r="J67">
            <v>0</v>
          </cell>
        </row>
        <row r="68">
          <cell r="J68">
            <v>0</v>
          </cell>
        </row>
        <row r="69">
          <cell r="J69">
            <v>0</v>
          </cell>
        </row>
        <row r="73">
          <cell r="J73">
            <v>0</v>
          </cell>
        </row>
        <row r="74">
          <cell r="J74">
            <v>0</v>
          </cell>
          <cell r="X74">
            <v>0</v>
          </cell>
        </row>
        <row r="75">
          <cell r="J75">
            <v>0</v>
          </cell>
          <cell r="X75">
            <v>0</v>
          </cell>
        </row>
        <row r="76">
          <cell r="J76">
            <v>0</v>
          </cell>
          <cell r="X76">
            <v>0</v>
          </cell>
        </row>
        <row r="77">
          <cell r="X77">
            <v>0</v>
          </cell>
        </row>
        <row r="78">
          <cell r="J78">
            <v>5702760</v>
          </cell>
        </row>
        <row r="79">
          <cell r="J79">
            <v>5702760</v>
          </cell>
        </row>
        <row r="80">
          <cell r="J80">
            <v>3011057280</v>
          </cell>
        </row>
        <row r="81">
          <cell r="J81">
            <v>0</v>
          </cell>
          <cell r="X81">
            <v>0</v>
          </cell>
        </row>
        <row r="82">
          <cell r="X82">
            <v>0</v>
          </cell>
        </row>
        <row r="83">
          <cell r="X83">
            <v>0</v>
          </cell>
        </row>
        <row r="84">
          <cell r="X84">
            <v>0</v>
          </cell>
        </row>
        <row r="86">
          <cell r="J86">
            <v>0</v>
          </cell>
        </row>
        <row r="87">
          <cell r="J87">
            <v>0</v>
          </cell>
        </row>
        <row r="88">
          <cell r="J88">
            <v>0</v>
          </cell>
        </row>
        <row r="89">
          <cell r="J89">
            <v>0</v>
          </cell>
        </row>
        <row r="90">
          <cell r="X90">
            <v>0</v>
          </cell>
        </row>
        <row r="91">
          <cell r="J91">
            <v>0</v>
          </cell>
          <cell r="X91">
            <v>0</v>
          </cell>
        </row>
        <row r="92">
          <cell r="J92">
            <v>0</v>
          </cell>
          <cell r="X92">
            <v>0</v>
          </cell>
        </row>
        <row r="93">
          <cell r="J93">
            <v>0</v>
          </cell>
          <cell r="X93">
            <v>0</v>
          </cell>
        </row>
        <row r="94">
          <cell r="J94">
            <v>0</v>
          </cell>
        </row>
        <row r="97">
          <cell r="X97">
            <v>0</v>
          </cell>
        </row>
        <row r="98">
          <cell r="J98">
            <v>0</v>
          </cell>
          <cell r="X98">
            <v>0</v>
          </cell>
        </row>
        <row r="99">
          <cell r="J99">
            <v>0</v>
          </cell>
          <cell r="X99">
            <v>0</v>
          </cell>
        </row>
        <row r="100">
          <cell r="J100">
            <v>0</v>
          </cell>
          <cell r="X100">
            <v>0</v>
          </cell>
        </row>
        <row r="101">
          <cell r="J101">
            <v>0</v>
          </cell>
        </row>
        <row r="103">
          <cell r="J103">
            <v>5702760</v>
          </cell>
        </row>
        <row r="104">
          <cell r="J104">
            <v>5702760</v>
          </cell>
        </row>
        <row r="105">
          <cell r="J105">
            <v>3011057280</v>
          </cell>
        </row>
        <row r="106">
          <cell r="J106">
            <v>0</v>
          </cell>
        </row>
      </sheetData>
      <sheetData sheetId="4">
        <row r="26">
          <cell r="H26" t="str">
            <v>N</v>
          </cell>
        </row>
        <row r="28">
          <cell r="H28" t="str">
            <v>Y</v>
          </cell>
        </row>
        <row r="30">
          <cell r="H30" t="str">
            <v>N</v>
          </cell>
        </row>
      </sheetData>
      <sheetData sheetId="5"/>
      <sheetData sheetId="6"/>
      <sheetData sheetId="7"/>
      <sheetData sheetId="8"/>
      <sheetData sheetId="9"/>
      <sheetData sheetId="10">
        <row r="54">
          <cell r="U54">
            <v>1.2676222757445288E-2</v>
          </cell>
        </row>
        <row r="55">
          <cell r="F55">
            <v>118518653.6863783</v>
          </cell>
          <cell r="G55">
            <v>144230769.23076922</v>
          </cell>
          <cell r="H55">
            <v>-25712115.544390947</v>
          </cell>
        </row>
        <row r="58">
          <cell r="U58">
            <v>18</v>
          </cell>
        </row>
      </sheetData>
      <sheetData sheetId="11"/>
      <sheetData sheetId="12">
        <row r="10">
          <cell r="F10">
            <v>1</v>
          </cell>
        </row>
        <row r="12">
          <cell r="F12">
            <v>0.04</v>
          </cell>
          <cell r="CP12">
            <v>1</v>
          </cell>
          <cell r="CQ12">
            <v>170</v>
          </cell>
          <cell r="CR12">
            <v>48</v>
          </cell>
          <cell r="CS12">
            <v>69200</v>
          </cell>
          <cell r="CT12">
            <v>566800</v>
          </cell>
          <cell r="CU12">
            <v>213000</v>
          </cell>
          <cell r="CV12">
            <v>4300</v>
          </cell>
        </row>
        <row r="13">
          <cell r="CP13">
            <v>2</v>
          </cell>
          <cell r="CQ13">
            <v>90</v>
          </cell>
          <cell r="CR13">
            <v>48</v>
          </cell>
          <cell r="CS13">
            <v>20300</v>
          </cell>
          <cell r="CT13">
            <v>163700</v>
          </cell>
          <cell r="CU13">
            <v>81700</v>
          </cell>
          <cell r="CV13">
            <v>1415</v>
          </cell>
        </row>
        <row r="14">
          <cell r="CP14">
            <v>3</v>
          </cell>
          <cell r="CQ14">
            <v>80</v>
          </cell>
          <cell r="CR14">
            <v>48</v>
          </cell>
          <cell r="CS14">
            <v>15100</v>
          </cell>
          <cell r="CT14">
            <v>116700</v>
          </cell>
          <cell r="CU14">
            <v>59000</v>
          </cell>
          <cell r="CV14">
            <v>1110</v>
          </cell>
        </row>
        <row r="16">
          <cell r="CR16">
            <v>0.02</v>
          </cell>
        </row>
        <row r="19">
          <cell r="E19">
            <v>32.442418572418568</v>
          </cell>
        </row>
        <row r="22">
          <cell r="E22">
            <v>23.962081108267203</v>
          </cell>
        </row>
        <row r="23">
          <cell r="E23">
            <v>11.920166906976345</v>
          </cell>
        </row>
        <row r="24">
          <cell r="M24">
            <v>365</v>
          </cell>
        </row>
        <row r="26">
          <cell r="E26">
            <v>16.200000000000003</v>
          </cell>
        </row>
        <row r="27">
          <cell r="E27">
            <v>35.9</v>
          </cell>
        </row>
        <row r="37">
          <cell r="E37">
            <v>3.8084999999999996</v>
          </cell>
        </row>
        <row r="38">
          <cell r="E38">
            <v>3.8689999999999998</v>
          </cell>
        </row>
        <row r="39">
          <cell r="BK39">
            <v>15860000</v>
          </cell>
        </row>
        <row r="41">
          <cell r="E41">
            <v>2.2499999999999999E-2</v>
          </cell>
        </row>
        <row r="42">
          <cell r="E42">
            <v>0.13</v>
          </cell>
          <cell r="U42">
            <v>0.49</v>
          </cell>
        </row>
        <row r="43">
          <cell r="E43">
            <v>5.0000000000000001E-3</v>
          </cell>
        </row>
        <row r="44">
          <cell r="E44">
            <v>0.183</v>
          </cell>
          <cell r="CP44">
            <v>2020</v>
          </cell>
          <cell r="CQ44">
            <v>26.62</v>
          </cell>
          <cell r="CR44">
            <v>10217</v>
          </cell>
          <cell r="CS44">
            <v>107.38</v>
          </cell>
          <cell r="CT44">
            <v>3.2</v>
          </cell>
          <cell r="CW44">
            <v>3.11</v>
          </cell>
        </row>
        <row r="45">
          <cell r="E45">
            <v>0.24299999999999999</v>
          </cell>
          <cell r="CP45">
            <v>2030</v>
          </cell>
          <cell r="CQ45">
            <v>26.62</v>
          </cell>
          <cell r="CR45">
            <v>10217</v>
          </cell>
          <cell r="CS45">
            <v>70.92</v>
          </cell>
          <cell r="CT45">
            <v>1.88</v>
          </cell>
          <cell r="CW45">
            <v>1.83</v>
          </cell>
        </row>
        <row r="46">
          <cell r="E46">
            <v>0.51100000000000001</v>
          </cell>
        </row>
        <row r="47">
          <cell r="E47">
            <v>0.38900000000000001</v>
          </cell>
          <cell r="CS47">
            <v>480</v>
          </cell>
        </row>
        <row r="48">
          <cell r="CS48">
            <v>4</v>
          </cell>
        </row>
        <row r="61">
          <cell r="E61">
            <v>11800000</v>
          </cell>
        </row>
        <row r="64">
          <cell r="E64">
            <v>536800</v>
          </cell>
          <cell r="AZ64">
            <v>13000000</v>
          </cell>
          <cell r="BB64">
            <v>13600000</v>
          </cell>
        </row>
        <row r="65">
          <cell r="E65">
            <v>146200</v>
          </cell>
          <cell r="AZ65">
            <v>173000</v>
          </cell>
          <cell r="BB65">
            <v>179300</v>
          </cell>
        </row>
        <row r="66">
          <cell r="E66">
            <v>74700</v>
          </cell>
          <cell r="AZ66">
            <v>10400</v>
          </cell>
          <cell r="BB66">
            <v>9200</v>
          </cell>
        </row>
        <row r="67">
          <cell r="AZ67">
            <v>120800</v>
          </cell>
          <cell r="BB67">
            <v>347700</v>
          </cell>
        </row>
        <row r="68">
          <cell r="E68">
            <v>2900</v>
          </cell>
        </row>
        <row r="71">
          <cell r="E71">
            <v>13000000</v>
          </cell>
        </row>
        <row r="72">
          <cell r="E72">
            <v>173000</v>
          </cell>
        </row>
        <row r="73">
          <cell r="E73">
            <v>10400</v>
          </cell>
        </row>
        <row r="77">
          <cell r="E77">
            <v>5.0000000000000001E-3</v>
          </cell>
        </row>
        <row r="78">
          <cell r="E78">
            <v>0.28000000000000003</v>
          </cell>
        </row>
        <row r="79">
          <cell r="E79">
            <v>0.61</v>
          </cell>
        </row>
        <row r="80">
          <cell r="BQ80">
            <v>0</v>
          </cell>
          <cell r="BR80">
            <v>1.3149999999999999</v>
          </cell>
          <cell r="BS80">
            <v>11.029400000000001</v>
          </cell>
          <cell r="BT80">
            <v>1.0065</v>
          </cell>
          <cell r="BU80">
            <v>1E-4</v>
          </cell>
          <cell r="BV80">
            <v>1E-4</v>
          </cell>
          <cell r="BW80">
            <v>7.0300000000000001E-2</v>
          </cell>
          <cell r="BX80">
            <v>1E-4</v>
          </cell>
          <cell r="CC80">
            <v>0</v>
          </cell>
          <cell r="CD80">
            <v>0.66590000000000005</v>
          </cell>
          <cell r="CE80">
            <v>5.1022999999999996</v>
          </cell>
          <cell r="CF80">
            <v>0.76559999999999995</v>
          </cell>
          <cell r="CG80">
            <v>0</v>
          </cell>
          <cell r="CH80">
            <v>1E-4</v>
          </cell>
          <cell r="CI80">
            <v>2.0299999999999999E-2</v>
          </cell>
          <cell r="CJ80">
            <v>0</v>
          </cell>
        </row>
        <row r="81">
          <cell r="BQ81">
            <v>5</v>
          </cell>
          <cell r="BR81">
            <v>2.3136000000000001</v>
          </cell>
          <cell r="BS81">
            <v>1696.8925999999999</v>
          </cell>
          <cell r="BT81">
            <v>2.1959</v>
          </cell>
          <cell r="BU81">
            <v>4.82E-2</v>
          </cell>
          <cell r="BV81">
            <v>1.6400000000000001E-2</v>
          </cell>
          <cell r="BW81">
            <v>0.30649999999999999</v>
          </cell>
          <cell r="BX81">
            <v>4.5999999999999999E-2</v>
          </cell>
          <cell r="CC81">
            <v>5</v>
          </cell>
          <cell r="CD81">
            <v>0.65159999999999996</v>
          </cell>
          <cell r="CE81">
            <v>865.16229999999996</v>
          </cell>
          <cell r="CF81">
            <v>0.42770000000000002</v>
          </cell>
          <cell r="CG81">
            <v>0.01</v>
          </cell>
          <cell r="CH81">
            <v>8.3000000000000001E-3</v>
          </cell>
          <cell r="CI81">
            <v>4.7800000000000002E-2</v>
          </cell>
          <cell r="CJ81">
            <v>9.4999999999999998E-3</v>
          </cell>
        </row>
        <row r="82">
          <cell r="BQ82">
            <v>6</v>
          </cell>
          <cell r="BR82">
            <v>2.2435999999999998</v>
          </cell>
          <cell r="BS82">
            <v>1668.3322000000001</v>
          </cell>
          <cell r="BT82">
            <v>2.2233000000000001</v>
          </cell>
          <cell r="BU82">
            <v>4.6399999999999997E-2</v>
          </cell>
          <cell r="BV82">
            <v>1.61E-2</v>
          </cell>
          <cell r="BW82">
            <v>0.28810000000000002</v>
          </cell>
          <cell r="BX82">
            <v>4.4299999999999999E-2</v>
          </cell>
          <cell r="CC82">
            <v>6</v>
          </cell>
          <cell r="CD82">
            <v>0.66249999999999998</v>
          </cell>
          <cell r="CE82">
            <v>866.04849999999999</v>
          </cell>
          <cell r="CF82">
            <v>0.50160000000000005</v>
          </cell>
          <cell r="CG82">
            <v>9.7000000000000003E-3</v>
          </cell>
          <cell r="CH82">
            <v>8.3000000000000001E-3</v>
          </cell>
          <cell r="CI82">
            <v>4.65E-2</v>
          </cell>
          <cell r="CJ82">
            <v>9.1999999999999998E-3</v>
          </cell>
        </row>
        <row r="83">
          <cell r="BQ83">
            <v>7</v>
          </cell>
          <cell r="BR83">
            <v>2.1757</v>
          </cell>
          <cell r="BS83">
            <v>1640.2524000000001</v>
          </cell>
          <cell r="BT83">
            <v>2.2511000000000001</v>
          </cell>
          <cell r="BU83">
            <v>4.4699999999999997E-2</v>
          </cell>
          <cell r="BV83">
            <v>1.5699999999999999E-2</v>
          </cell>
          <cell r="BW83">
            <v>0.27079999999999999</v>
          </cell>
          <cell r="BX83">
            <v>4.2599999999999999E-2</v>
          </cell>
          <cell r="CC83">
            <v>7</v>
          </cell>
          <cell r="CD83">
            <v>0.67369999999999997</v>
          </cell>
          <cell r="CE83">
            <v>866.9357</v>
          </cell>
          <cell r="CF83">
            <v>0.58819999999999995</v>
          </cell>
          <cell r="CG83">
            <v>9.4000000000000004E-3</v>
          </cell>
          <cell r="CH83">
            <v>8.2000000000000007E-3</v>
          </cell>
          <cell r="CI83">
            <v>4.53E-2</v>
          </cell>
          <cell r="CJ83">
            <v>8.9999999999999993E-3</v>
          </cell>
        </row>
        <row r="84">
          <cell r="BQ84">
            <v>8</v>
          </cell>
          <cell r="BR84">
            <v>2.1097999999999999</v>
          </cell>
          <cell r="BS84">
            <v>1612.6452999999999</v>
          </cell>
          <cell r="BT84">
            <v>2.2791999999999999</v>
          </cell>
          <cell r="BU84">
            <v>4.2999999999999997E-2</v>
          </cell>
          <cell r="BV84">
            <v>1.54E-2</v>
          </cell>
          <cell r="BW84">
            <v>0.25459999999999999</v>
          </cell>
          <cell r="BX84">
            <v>4.1000000000000002E-2</v>
          </cell>
          <cell r="CC84">
            <v>8</v>
          </cell>
          <cell r="CD84">
            <v>0.68500000000000005</v>
          </cell>
          <cell r="CE84">
            <v>867.82380000000001</v>
          </cell>
          <cell r="CF84">
            <v>0.68969999999999998</v>
          </cell>
          <cell r="CG84">
            <v>9.1000000000000004E-3</v>
          </cell>
          <cell r="CH84">
            <v>8.2000000000000007E-3</v>
          </cell>
          <cell r="CI84">
            <v>4.41E-2</v>
          </cell>
          <cell r="CJ84">
            <v>8.6999999999999994E-3</v>
          </cell>
        </row>
        <row r="85">
          <cell r="BQ85">
            <v>9</v>
          </cell>
          <cell r="BR85">
            <v>2.0459999999999998</v>
          </cell>
          <cell r="BS85">
            <v>1585.5029</v>
          </cell>
          <cell r="BT85">
            <v>2.3075999999999999</v>
          </cell>
          <cell r="BU85">
            <v>4.1399999999999999E-2</v>
          </cell>
          <cell r="BV85">
            <v>1.5100000000000001E-2</v>
          </cell>
          <cell r="BW85">
            <v>0.23930000000000001</v>
          </cell>
          <cell r="BX85">
            <v>3.95E-2</v>
          </cell>
          <cell r="CC85">
            <v>9</v>
          </cell>
          <cell r="CD85">
            <v>0.6966</v>
          </cell>
          <cell r="CE85">
            <v>868.71280000000002</v>
          </cell>
          <cell r="CF85">
            <v>0.80879999999999996</v>
          </cell>
          <cell r="CG85">
            <v>8.8000000000000005E-3</v>
          </cell>
          <cell r="CH85">
            <v>8.2000000000000007E-3</v>
          </cell>
          <cell r="CI85">
            <v>4.2999999999999997E-2</v>
          </cell>
          <cell r="CJ85">
            <v>8.3999999999999995E-3</v>
          </cell>
        </row>
        <row r="86">
          <cell r="BQ86">
            <v>10</v>
          </cell>
          <cell r="BR86">
            <v>1.9841</v>
          </cell>
          <cell r="BS86">
            <v>1558.8172</v>
          </cell>
          <cell r="BT86">
            <v>2.3365</v>
          </cell>
          <cell r="BU86">
            <v>3.9800000000000002E-2</v>
          </cell>
          <cell r="BV86">
            <v>1.4800000000000001E-2</v>
          </cell>
          <cell r="BW86">
            <v>0.22489999999999999</v>
          </cell>
          <cell r="BX86">
            <v>3.7999999999999999E-2</v>
          </cell>
          <cell r="CC86">
            <v>10</v>
          </cell>
          <cell r="CD86">
            <v>0.70830000000000004</v>
          </cell>
          <cell r="CE86">
            <v>869.60270000000003</v>
          </cell>
          <cell r="CF86">
            <v>0.94840000000000002</v>
          </cell>
          <cell r="CG86">
            <v>8.6E-3</v>
          </cell>
          <cell r="CH86">
            <v>8.0999999999999996E-3</v>
          </cell>
          <cell r="CI86">
            <v>4.19E-2</v>
          </cell>
          <cell r="CJ86">
            <v>8.2000000000000007E-3</v>
          </cell>
        </row>
        <row r="87">
          <cell r="BQ87">
            <v>11</v>
          </cell>
          <cell r="BR87">
            <v>1.8688</v>
          </cell>
          <cell r="BS87">
            <v>1490.2475999999999</v>
          </cell>
          <cell r="BT87">
            <v>2.1839</v>
          </cell>
          <cell r="BU87">
            <v>3.7699999999999997E-2</v>
          </cell>
          <cell r="BV87">
            <v>1.41E-2</v>
          </cell>
          <cell r="BW87">
            <v>0.21110000000000001</v>
          </cell>
          <cell r="BX87">
            <v>3.5999999999999997E-2</v>
          </cell>
          <cell r="CC87">
            <v>11</v>
          </cell>
          <cell r="CD87">
            <v>0.66</v>
          </cell>
          <cell r="CE87">
            <v>836.53880000000004</v>
          </cell>
          <cell r="CF87">
            <v>0.88519999999999999</v>
          </cell>
          <cell r="CG87">
            <v>8.3000000000000001E-3</v>
          </cell>
          <cell r="CH87">
            <v>7.7999999999999996E-3</v>
          </cell>
          <cell r="CI87">
            <v>3.9800000000000002E-2</v>
          </cell>
          <cell r="CJ87">
            <v>7.9000000000000008E-3</v>
          </cell>
        </row>
        <row r="88">
          <cell r="BQ88">
            <v>12</v>
          </cell>
          <cell r="BR88">
            <v>1.7601</v>
          </cell>
          <cell r="BS88">
            <v>1424.6943000000001</v>
          </cell>
          <cell r="BT88">
            <v>2.0413000000000001</v>
          </cell>
          <cell r="BU88">
            <v>3.5700000000000003E-2</v>
          </cell>
          <cell r="BV88">
            <v>1.35E-2</v>
          </cell>
          <cell r="BW88">
            <v>0.1981</v>
          </cell>
          <cell r="BX88">
            <v>3.4099999999999998E-2</v>
          </cell>
          <cell r="CC88">
            <v>12</v>
          </cell>
          <cell r="CD88">
            <v>0.61499999999999999</v>
          </cell>
          <cell r="CE88">
            <v>804.73209999999995</v>
          </cell>
          <cell r="CF88">
            <v>0.82609999999999995</v>
          </cell>
          <cell r="CG88">
            <v>8.0000000000000002E-3</v>
          </cell>
          <cell r="CH88">
            <v>7.4999999999999997E-3</v>
          </cell>
          <cell r="CI88">
            <v>3.78E-2</v>
          </cell>
          <cell r="CJ88">
            <v>7.7000000000000002E-3</v>
          </cell>
        </row>
        <row r="89">
          <cell r="BQ89">
            <v>13</v>
          </cell>
          <cell r="BR89">
            <v>1.6577999999999999</v>
          </cell>
          <cell r="BS89">
            <v>1362.0246</v>
          </cell>
          <cell r="BT89">
            <v>1.9079999999999999</v>
          </cell>
          <cell r="BU89">
            <v>3.3799999999999997E-2</v>
          </cell>
          <cell r="BV89">
            <v>1.29E-2</v>
          </cell>
          <cell r="BW89">
            <v>0.186</v>
          </cell>
          <cell r="BX89">
            <v>3.2300000000000002E-2</v>
          </cell>
          <cell r="CC89">
            <v>13</v>
          </cell>
          <cell r="CD89">
            <v>0.57310000000000005</v>
          </cell>
          <cell r="CE89">
            <v>774.13480000000004</v>
          </cell>
          <cell r="CF89">
            <v>0.77100000000000002</v>
          </cell>
          <cell r="CG89">
            <v>7.7999999999999996E-3</v>
          </cell>
          <cell r="CH89">
            <v>7.3000000000000001E-3</v>
          </cell>
          <cell r="CI89">
            <v>3.5900000000000001E-2</v>
          </cell>
          <cell r="CJ89">
            <v>7.4000000000000003E-3</v>
          </cell>
        </row>
        <row r="90">
          <cell r="BQ90">
            <v>14</v>
          </cell>
          <cell r="BR90">
            <v>1.5615000000000001</v>
          </cell>
          <cell r="BS90">
            <v>1302.1116</v>
          </cell>
          <cell r="BT90">
            <v>1.7834000000000001</v>
          </cell>
          <cell r="BU90">
            <v>3.2000000000000001E-2</v>
          </cell>
          <cell r="BV90">
            <v>1.24E-2</v>
          </cell>
          <cell r="BW90">
            <v>0.17460000000000001</v>
          </cell>
          <cell r="BX90">
            <v>3.0599999999999999E-2</v>
          </cell>
          <cell r="CC90">
            <v>14</v>
          </cell>
          <cell r="CD90">
            <v>0.53400000000000003</v>
          </cell>
          <cell r="CE90">
            <v>744.70079999999996</v>
          </cell>
          <cell r="CF90">
            <v>0.71960000000000002</v>
          </cell>
          <cell r="CG90">
            <v>7.6E-3</v>
          </cell>
          <cell r="CH90">
            <v>7.0000000000000001E-3</v>
          </cell>
          <cell r="CI90">
            <v>3.4099999999999998E-2</v>
          </cell>
          <cell r="CJ90">
            <v>7.1999999999999998E-3</v>
          </cell>
        </row>
        <row r="91">
          <cell r="BQ91">
            <v>15</v>
          </cell>
          <cell r="BR91">
            <v>1.4706999999999999</v>
          </cell>
          <cell r="BS91">
            <v>1244.8340000000001</v>
          </cell>
          <cell r="BT91">
            <v>1.667</v>
          </cell>
          <cell r="BU91">
            <v>3.0300000000000001E-2</v>
          </cell>
          <cell r="BV91">
            <v>1.18E-2</v>
          </cell>
          <cell r="BW91">
            <v>0.16389999999999999</v>
          </cell>
          <cell r="BX91">
            <v>2.9000000000000001E-2</v>
          </cell>
          <cell r="CC91">
            <v>15</v>
          </cell>
          <cell r="CD91">
            <v>0.49759999999999999</v>
          </cell>
          <cell r="CE91">
            <v>716.38599999999997</v>
          </cell>
          <cell r="CF91">
            <v>0.67159999999999997</v>
          </cell>
          <cell r="CG91">
            <v>7.3000000000000001E-3</v>
          </cell>
          <cell r="CH91">
            <v>6.7000000000000002E-3</v>
          </cell>
          <cell r="CI91">
            <v>3.2399999999999998E-2</v>
          </cell>
          <cell r="CJ91">
            <v>7.0000000000000001E-3</v>
          </cell>
        </row>
        <row r="92">
          <cell r="BQ92">
            <v>16</v>
          </cell>
          <cell r="BR92">
            <v>1.3769</v>
          </cell>
          <cell r="BS92">
            <v>1231.6228000000001</v>
          </cell>
          <cell r="BT92">
            <v>1.6476999999999999</v>
          </cell>
          <cell r="BU92">
            <v>2.8199999999999999E-2</v>
          </cell>
          <cell r="BV92">
            <v>1.17E-2</v>
          </cell>
          <cell r="BW92">
            <v>0.1517</v>
          </cell>
          <cell r="BX92">
            <v>2.69E-2</v>
          </cell>
          <cell r="CC92">
            <v>16</v>
          </cell>
          <cell r="CD92">
            <v>0.45839999999999997</v>
          </cell>
          <cell r="CE92">
            <v>707.56700000000001</v>
          </cell>
          <cell r="CF92">
            <v>0.67120000000000002</v>
          </cell>
          <cell r="CG92">
            <v>6.8999999999999999E-3</v>
          </cell>
          <cell r="CH92">
            <v>6.7000000000000002E-3</v>
          </cell>
          <cell r="CI92">
            <v>3.0300000000000001E-2</v>
          </cell>
          <cell r="CJ92">
            <v>6.6E-3</v>
          </cell>
        </row>
        <row r="93">
          <cell r="BQ93">
            <v>17</v>
          </cell>
          <cell r="BR93">
            <v>1.2889999999999999</v>
          </cell>
          <cell r="BS93">
            <v>1218.5517</v>
          </cell>
          <cell r="BT93">
            <v>1.6286</v>
          </cell>
          <cell r="BU93">
            <v>2.6200000000000001E-2</v>
          </cell>
          <cell r="BV93">
            <v>1.1599999999999999E-2</v>
          </cell>
          <cell r="BW93">
            <v>0.1404</v>
          </cell>
          <cell r="BX93">
            <v>2.5100000000000001E-2</v>
          </cell>
          <cell r="CC93">
            <v>17</v>
          </cell>
          <cell r="CD93">
            <v>0.42220000000000002</v>
          </cell>
          <cell r="CE93">
            <v>698.85659999999996</v>
          </cell>
          <cell r="CF93">
            <v>0.67090000000000005</v>
          </cell>
          <cell r="CG93">
            <v>6.4999999999999997E-3</v>
          </cell>
          <cell r="CH93">
            <v>6.6E-3</v>
          </cell>
          <cell r="CI93">
            <v>2.8299999999999999E-2</v>
          </cell>
          <cell r="CJ93">
            <v>6.1999999999999998E-3</v>
          </cell>
        </row>
        <row r="94">
          <cell r="BQ94">
            <v>18</v>
          </cell>
          <cell r="BR94">
            <v>1.2067000000000001</v>
          </cell>
          <cell r="BS94">
            <v>1205.6194</v>
          </cell>
          <cell r="BT94">
            <v>1.6096999999999999</v>
          </cell>
          <cell r="BU94">
            <v>2.4400000000000002E-2</v>
          </cell>
          <cell r="BV94">
            <v>1.15E-2</v>
          </cell>
          <cell r="BW94">
            <v>0.13</v>
          </cell>
          <cell r="BX94">
            <v>2.3300000000000001E-2</v>
          </cell>
          <cell r="CC94">
            <v>18</v>
          </cell>
          <cell r="CD94">
            <v>0.38900000000000001</v>
          </cell>
          <cell r="CE94">
            <v>690.25340000000006</v>
          </cell>
          <cell r="CF94">
            <v>0.67059999999999997</v>
          </cell>
          <cell r="CG94">
            <v>6.1000000000000004E-3</v>
          </cell>
          <cell r="CH94">
            <v>6.4999999999999997E-3</v>
          </cell>
          <cell r="CI94">
            <v>2.6499999999999999E-2</v>
          </cell>
          <cell r="CJ94">
            <v>5.7999999999999996E-3</v>
          </cell>
        </row>
        <row r="95">
          <cell r="BQ95">
            <v>19</v>
          </cell>
          <cell r="BR95">
            <v>1.1296999999999999</v>
          </cell>
          <cell r="BS95">
            <v>1192.8244</v>
          </cell>
          <cell r="BT95">
            <v>1.591</v>
          </cell>
          <cell r="BU95">
            <v>2.2700000000000001E-2</v>
          </cell>
          <cell r="BV95">
            <v>1.1299999999999999E-2</v>
          </cell>
          <cell r="BW95">
            <v>0.12039999999999999</v>
          </cell>
          <cell r="BX95">
            <v>2.1700000000000001E-2</v>
          </cell>
          <cell r="CC95">
            <v>19</v>
          </cell>
          <cell r="CD95">
            <v>0.35830000000000001</v>
          </cell>
          <cell r="CE95">
            <v>681.75620000000004</v>
          </cell>
          <cell r="CF95">
            <v>0.67030000000000001</v>
          </cell>
          <cell r="CG95">
            <v>5.7000000000000002E-3</v>
          </cell>
          <cell r="CH95">
            <v>6.4000000000000003E-3</v>
          </cell>
          <cell r="CI95">
            <v>2.47E-2</v>
          </cell>
          <cell r="CJ95">
            <v>5.4999999999999997E-3</v>
          </cell>
        </row>
        <row r="96">
          <cell r="BQ96">
            <v>20</v>
          </cell>
          <cell r="BR96">
            <v>1.0576000000000001</v>
          </cell>
          <cell r="BS96">
            <v>1180.1650999999999</v>
          </cell>
          <cell r="BT96">
            <v>1.5726</v>
          </cell>
          <cell r="BU96">
            <v>2.1100000000000001E-2</v>
          </cell>
          <cell r="BV96">
            <v>1.12E-2</v>
          </cell>
          <cell r="BW96">
            <v>0.1114</v>
          </cell>
          <cell r="BX96">
            <v>2.01E-2</v>
          </cell>
          <cell r="CC96">
            <v>20</v>
          </cell>
          <cell r="CD96">
            <v>0.33</v>
          </cell>
          <cell r="CE96">
            <v>673.36350000000004</v>
          </cell>
          <cell r="CF96">
            <v>0.66990000000000005</v>
          </cell>
          <cell r="CG96">
            <v>5.4000000000000003E-3</v>
          </cell>
          <cell r="CH96">
            <v>6.3E-3</v>
          </cell>
          <cell r="CI96">
            <v>2.3099999999999999E-2</v>
          </cell>
          <cell r="CJ96">
            <v>5.1999999999999998E-3</v>
          </cell>
        </row>
        <row r="97">
          <cell r="BQ97">
            <v>21</v>
          </cell>
          <cell r="BR97">
            <v>1.0154000000000001</v>
          </cell>
          <cell r="BS97">
            <v>1138.1322</v>
          </cell>
          <cell r="BT97">
            <v>1.5314000000000001</v>
          </cell>
          <cell r="BU97">
            <v>2.0799999999999999E-2</v>
          </cell>
          <cell r="BV97">
            <v>1.0800000000000001E-2</v>
          </cell>
          <cell r="BW97">
            <v>0.1089</v>
          </cell>
          <cell r="BX97">
            <v>1.9900000000000001E-2</v>
          </cell>
          <cell r="CC97">
            <v>21</v>
          </cell>
          <cell r="CD97">
            <v>0.31569999999999998</v>
          </cell>
          <cell r="CE97">
            <v>654.89210000000003</v>
          </cell>
          <cell r="CF97">
            <v>0.63229999999999997</v>
          </cell>
          <cell r="CG97">
            <v>5.4000000000000003E-3</v>
          </cell>
          <cell r="CH97">
            <v>6.1999999999999998E-3</v>
          </cell>
          <cell r="CI97">
            <v>2.3E-2</v>
          </cell>
          <cell r="CJ97">
            <v>5.1000000000000004E-3</v>
          </cell>
        </row>
        <row r="98">
          <cell r="BQ98">
            <v>22</v>
          </cell>
          <cell r="BR98">
            <v>0.97489999999999999</v>
          </cell>
          <cell r="BS98">
            <v>1097.5963999999999</v>
          </cell>
          <cell r="BT98">
            <v>1.4913000000000001</v>
          </cell>
          <cell r="BU98">
            <v>2.06E-2</v>
          </cell>
          <cell r="BV98">
            <v>1.04E-2</v>
          </cell>
          <cell r="BW98">
            <v>0.1065</v>
          </cell>
          <cell r="BX98">
            <v>1.9699999999999999E-2</v>
          </cell>
          <cell r="CC98">
            <v>22</v>
          </cell>
          <cell r="CD98">
            <v>0.30209999999999998</v>
          </cell>
          <cell r="CE98">
            <v>636.92740000000003</v>
          </cell>
          <cell r="CF98">
            <v>0.5968</v>
          </cell>
          <cell r="CG98">
            <v>5.3E-3</v>
          </cell>
          <cell r="CH98">
            <v>6.0000000000000001E-3</v>
          </cell>
          <cell r="CI98">
            <v>2.29E-2</v>
          </cell>
          <cell r="CJ98">
            <v>5.1000000000000004E-3</v>
          </cell>
        </row>
        <row r="99">
          <cell r="BQ99">
            <v>23</v>
          </cell>
          <cell r="BR99">
            <v>0.93610000000000004</v>
          </cell>
          <cell r="BS99">
            <v>1058.5043000000001</v>
          </cell>
          <cell r="BT99">
            <v>1.4521999999999999</v>
          </cell>
          <cell r="BU99">
            <v>2.0400000000000001E-2</v>
          </cell>
          <cell r="BV99">
            <v>1.01E-2</v>
          </cell>
          <cell r="BW99">
            <v>0.1041</v>
          </cell>
          <cell r="BX99">
            <v>1.95E-2</v>
          </cell>
          <cell r="CC99">
            <v>23</v>
          </cell>
          <cell r="CD99">
            <v>0.28899999999999998</v>
          </cell>
          <cell r="CE99">
            <v>619.45550000000003</v>
          </cell>
          <cell r="CF99">
            <v>0.56320000000000003</v>
          </cell>
          <cell r="CG99">
            <v>5.3E-3</v>
          </cell>
          <cell r="CH99">
            <v>5.7999999999999996E-3</v>
          </cell>
          <cell r="CI99">
            <v>2.2700000000000001E-2</v>
          </cell>
          <cell r="CJ99">
            <v>5.0000000000000001E-3</v>
          </cell>
        </row>
        <row r="100">
          <cell r="BQ100">
            <v>24</v>
          </cell>
          <cell r="BR100">
            <v>0.89880000000000004</v>
          </cell>
          <cell r="BS100">
            <v>1020.8046000000001</v>
          </cell>
          <cell r="BT100">
            <v>1.4140999999999999</v>
          </cell>
          <cell r="BU100">
            <v>2.01E-2</v>
          </cell>
          <cell r="BV100">
            <v>9.7000000000000003E-3</v>
          </cell>
          <cell r="BW100">
            <v>0.1017</v>
          </cell>
          <cell r="BX100">
            <v>1.9199999999999998E-2</v>
          </cell>
          <cell r="CC100">
            <v>24</v>
          </cell>
          <cell r="CD100">
            <v>0.27650000000000002</v>
          </cell>
          <cell r="CE100">
            <v>602.46289999999999</v>
          </cell>
          <cell r="CF100">
            <v>0.53159999999999996</v>
          </cell>
          <cell r="CG100">
            <v>5.1999999999999998E-3</v>
          </cell>
          <cell r="CH100">
            <v>5.7000000000000002E-3</v>
          </cell>
          <cell r="CI100">
            <v>2.2599999999999999E-2</v>
          </cell>
          <cell r="CJ100">
            <v>5.0000000000000001E-3</v>
          </cell>
        </row>
        <row r="101">
          <cell r="BQ101">
            <v>25</v>
          </cell>
          <cell r="BR101">
            <v>0.8629</v>
          </cell>
          <cell r="BS101">
            <v>984.44749999999999</v>
          </cell>
          <cell r="BT101">
            <v>1.3771</v>
          </cell>
          <cell r="BU101">
            <v>1.9900000000000001E-2</v>
          </cell>
          <cell r="BV101">
            <v>9.2999999999999992E-3</v>
          </cell>
          <cell r="BW101">
            <v>9.9500000000000005E-2</v>
          </cell>
          <cell r="BX101">
            <v>1.9E-2</v>
          </cell>
          <cell r="CC101">
            <v>25</v>
          </cell>
          <cell r="CD101">
            <v>0.26450000000000001</v>
          </cell>
          <cell r="CE101">
            <v>585.93640000000005</v>
          </cell>
          <cell r="CF101">
            <v>0.50170000000000003</v>
          </cell>
          <cell r="CG101">
            <v>5.1999999999999998E-3</v>
          </cell>
          <cell r="CH101">
            <v>5.4999999999999997E-3</v>
          </cell>
          <cell r="CI101">
            <v>2.2499999999999999E-2</v>
          </cell>
          <cell r="CJ101">
            <v>4.8999999999999998E-3</v>
          </cell>
        </row>
        <row r="102">
          <cell r="BQ102">
            <v>26</v>
          </cell>
          <cell r="BR102">
            <v>0.82969999999999999</v>
          </cell>
          <cell r="BS102">
            <v>974.59040000000005</v>
          </cell>
          <cell r="BT102">
            <v>1.3491</v>
          </cell>
          <cell r="BU102">
            <v>1.8800000000000001E-2</v>
          </cell>
          <cell r="BV102">
            <v>9.1999999999999998E-3</v>
          </cell>
          <cell r="BW102">
            <v>9.35E-2</v>
          </cell>
          <cell r="BX102">
            <v>1.7999999999999999E-2</v>
          </cell>
          <cell r="CC102">
            <v>26</v>
          </cell>
          <cell r="CD102">
            <v>0.2525</v>
          </cell>
          <cell r="CE102">
            <v>579.66480000000001</v>
          </cell>
          <cell r="CF102">
            <v>0.48359999999999997</v>
          </cell>
          <cell r="CG102">
            <v>5.0000000000000001E-3</v>
          </cell>
          <cell r="CH102">
            <v>5.4000000000000003E-3</v>
          </cell>
          <cell r="CI102">
            <v>2.1299999999999999E-2</v>
          </cell>
          <cell r="CJ102">
            <v>4.7000000000000002E-3</v>
          </cell>
        </row>
        <row r="103">
          <cell r="BQ103">
            <v>27</v>
          </cell>
          <cell r="BR103">
            <v>0.79769999999999996</v>
          </cell>
          <cell r="BS103">
            <v>964.83190000000002</v>
          </cell>
          <cell r="BT103">
            <v>1.3216000000000001</v>
          </cell>
          <cell r="BU103">
            <v>1.78E-2</v>
          </cell>
          <cell r="BV103">
            <v>9.1000000000000004E-3</v>
          </cell>
          <cell r="BW103">
            <v>8.7900000000000006E-2</v>
          </cell>
          <cell r="BX103">
            <v>1.7000000000000001E-2</v>
          </cell>
          <cell r="CC103">
            <v>27</v>
          </cell>
          <cell r="CD103">
            <v>0.24099999999999999</v>
          </cell>
          <cell r="CE103">
            <v>573.46029999999996</v>
          </cell>
          <cell r="CF103">
            <v>0.4662</v>
          </cell>
          <cell r="CG103">
            <v>4.7000000000000002E-3</v>
          </cell>
          <cell r="CH103">
            <v>5.4000000000000003E-3</v>
          </cell>
          <cell r="CI103">
            <v>2.0199999999999999E-2</v>
          </cell>
          <cell r="CJ103">
            <v>4.4999999999999997E-3</v>
          </cell>
        </row>
        <row r="104">
          <cell r="BQ104">
            <v>28</v>
          </cell>
          <cell r="BR104">
            <v>0.76700000000000002</v>
          </cell>
          <cell r="BS104">
            <v>955.1712</v>
          </cell>
          <cell r="BT104">
            <v>1.2948</v>
          </cell>
          <cell r="BU104">
            <v>1.6799999999999999E-2</v>
          </cell>
          <cell r="BV104">
            <v>8.9999999999999993E-3</v>
          </cell>
          <cell r="BW104">
            <v>8.2699999999999996E-2</v>
          </cell>
          <cell r="BX104">
            <v>1.61E-2</v>
          </cell>
          <cell r="CC104">
            <v>28</v>
          </cell>
          <cell r="CD104">
            <v>0.23</v>
          </cell>
          <cell r="CE104">
            <v>567.32219999999995</v>
          </cell>
          <cell r="CF104">
            <v>0.44929999999999998</v>
          </cell>
          <cell r="CG104">
            <v>4.4999999999999997E-3</v>
          </cell>
          <cell r="CH104">
            <v>5.3E-3</v>
          </cell>
          <cell r="CI104">
            <v>1.9099999999999999E-2</v>
          </cell>
          <cell r="CJ104">
            <v>4.3E-3</v>
          </cell>
        </row>
        <row r="105">
          <cell r="BQ105">
            <v>29</v>
          </cell>
          <cell r="BR105">
            <v>0.73740000000000006</v>
          </cell>
          <cell r="BS105">
            <v>945.60720000000003</v>
          </cell>
          <cell r="BT105">
            <v>1.2684</v>
          </cell>
          <cell r="BU105">
            <v>1.5900000000000001E-2</v>
          </cell>
          <cell r="BV105">
            <v>8.8999999999999999E-3</v>
          </cell>
          <cell r="BW105">
            <v>7.7700000000000005E-2</v>
          </cell>
          <cell r="BX105">
            <v>1.52E-2</v>
          </cell>
          <cell r="CC105">
            <v>29</v>
          </cell>
          <cell r="CD105">
            <v>0.21959999999999999</v>
          </cell>
          <cell r="CE105">
            <v>561.24980000000005</v>
          </cell>
          <cell r="CF105">
            <v>0.43309999999999998</v>
          </cell>
          <cell r="CG105">
            <v>4.3E-3</v>
          </cell>
          <cell r="CH105">
            <v>5.3E-3</v>
          </cell>
          <cell r="CI105">
            <v>1.8100000000000002E-2</v>
          </cell>
          <cell r="CJ105">
            <v>4.1000000000000003E-3</v>
          </cell>
        </row>
        <row r="106">
          <cell r="BQ106">
            <v>30</v>
          </cell>
          <cell r="BR106">
            <v>0.70899999999999996</v>
          </cell>
          <cell r="BS106">
            <v>936.13890000000004</v>
          </cell>
          <cell r="BT106">
            <v>1.2425999999999999</v>
          </cell>
          <cell r="BU106">
            <v>1.5100000000000001E-2</v>
          </cell>
          <cell r="BV106">
            <v>8.8000000000000005E-3</v>
          </cell>
          <cell r="BW106">
            <v>7.3099999999999998E-2</v>
          </cell>
          <cell r="BX106">
            <v>1.44E-2</v>
          </cell>
          <cell r="CC106">
            <v>30</v>
          </cell>
          <cell r="CD106">
            <v>0.20960000000000001</v>
          </cell>
          <cell r="CE106">
            <v>555.24239999999998</v>
          </cell>
          <cell r="CF106">
            <v>0.41749999999999998</v>
          </cell>
          <cell r="CG106">
            <v>4.1000000000000003E-3</v>
          </cell>
          <cell r="CH106">
            <v>5.1999999999999998E-3</v>
          </cell>
          <cell r="CI106">
            <v>1.72E-2</v>
          </cell>
          <cell r="CJ106">
            <v>3.8999999999999998E-3</v>
          </cell>
        </row>
        <row r="107">
          <cell r="BQ107">
            <v>31</v>
          </cell>
          <cell r="BR107">
            <v>0.67789999999999995</v>
          </cell>
          <cell r="BS107">
            <v>941.27160000000003</v>
          </cell>
          <cell r="BT107">
            <v>1.2298</v>
          </cell>
          <cell r="BU107">
            <v>1.44E-2</v>
          </cell>
          <cell r="BV107">
            <v>8.8999999999999999E-3</v>
          </cell>
          <cell r="BW107">
            <v>6.8199999999999997E-2</v>
          </cell>
          <cell r="BX107">
            <v>1.37E-2</v>
          </cell>
          <cell r="CC107">
            <v>31</v>
          </cell>
          <cell r="CD107">
            <v>0.20180000000000001</v>
          </cell>
          <cell r="CE107">
            <v>559.83029999999997</v>
          </cell>
          <cell r="CF107">
            <v>0.41310000000000002</v>
          </cell>
          <cell r="CG107">
            <v>4.0000000000000001E-3</v>
          </cell>
          <cell r="CH107">
            <v>5.1999999999999998E-3</v>
          </cell>
          <cell r="CI107">
            <v>1.6199999999999999E-2</v>
          </cell>
          <cell r="CJ107">
            <v>3.8E-3</v>
          </cell>
        </row>
        <row r="108">
          <cell r="BQ108">
            <v>32</v>
          </cell>
          <cell r="BR108">
            <v>0.6482</v>
          </cell>
          <cell r="BS108">
            <v>946.43230000000005</v>
          </cell>
          <cell r="BT108">
            <v>1.2171000000000001</v>
          </cell>
          <cell r="BU108">
            <v>1.38E-2</v>
          </cell>
          <cell r="BV108">
            <v>8.8999999999999999E-3</v>
          </cell>
          <cell r="BW108">
            <v>6.3600000000000004E-2</v>
          </cell>
          <cell r="BX108">
            <v>1.3100000000000001E-2</v>
          </cell>
          <cell r="CC108">
            <v>32</v>
          </cell>
          <cell r="CD108">
            <v>0.19420000000000001</v>
          </cell>
          <cell r="CE108">
            <v>564.45609999999999</v>
          </cell>
          <cell r="CF108">
            <v>0.4088</v>
          </cell>
          <cell r="CG108">
            <v>3.8999999999999998E-3</v>
          </cell>
          <cell r="CH108">
            <v>5.3E-3</v>
          </cell>
          <cell r="CI108">
            <v>1.5299999999999999E-2</v>
          </cell>
          <cell r="CJ108">
            <v>3.8E-3</v>
          </cell>
        </row>
        <row r="109">
          <cell r="BQ109">
            <v>33</v>
          </cell>
          <cell r="BR109">
            <v>0.61980000000000002</v>
          </cell>
          <cell r="BS109">
            <v>951.62139999999999</v>
          </cell>
          <cell r="BT109">
            <v>1.2045999999999999</v>
          </cell>
          <cell r="BU109">
            <v>1.3100000000000001E-2</v>
          </cell>
          <cell r="BV109">
            <v>8.8999999999999999E-3</v>
          </cell>
          <cell r="BW109">
            <v>5.9299999999999999E-2</v>
          </cell>
          <cell r="BX109">
            <v>1.26E-2</v>
          </cell>
          <cell r="CC109">
            <v>33</v>
          </cell>
          <cell r="CD109">
            <v>0.187</v>
          </cell>
          <cell r="CE109">
            <v>569.12009999999998</v>
          </cell>
          <cell r="CF109">
            <v>0.40450000000000003</v>
          </cell>
          <cell r="CG109">
            <v>3.8999999999999998E-3</v>
          </cell>
          <cell r="CH109">
            <v>5.3E-3</v>
          </cell>
          <cell r="CI109">
            <v>1.44E-2</v>
          </cell>
          <cell r="CJ109">
            <v>3.7000000000000002E-3</v>
          </cell>
        </row>
        <row r="110">
          <cell r="BQ110">
            <v>34</v>
          </cell>
          <cell r="BR110">
            <v>0.59260000000000002</v>
          </cell>
          <cell r="BS110">
            <v>956.83889999999997</v>
          </cell>
          <cell r="BT110">
            <v>1.1920999999999999</v>
          </cell>
          <cell r="BU110">
            <v>1.26E-2</v>
          </cell>
          <cell r="BV110">
            <v>8.9999999999999993E-3</v>
          </cell>
          <cell r="BW110">
            <v>5.5300000000000002E-2</v>
          </cell>
          <cell r="BX110">
            <v>1.2E-2</v>
          </cell>
          <cell r="CC110">
            <v>34</v>
          </cell>
          <cell r="CD110">
            <v>0.18</v>
          </cell>
          <cell r="CE110">
            <v>573.82259999999997</v>
          </cell>
          <cell r="CF110">
            <v>0.40029999999999999</v>
          </cell>
          <cell r="CG110">
            <v>3.8E-3</v>
          </cell>
          <cell r="CH110">
            <v>5.3E-3</v>
          </cell>
          <cell r="CI110">
            <v>1.3599999999999999E-2</v>
          </cell>
          <cell r="CJ110">
            <v>3.5999999999999999E-3</v>
          </cell>
        </row>
        <row r="111">
          <cell r="BQ111">
            <v>35</v>
          </cell>
          <cell r="BR111">
            <v>0.56659999999999999</v>
          </cell>
          <cell r="BS111">
            <v>962.08500000000004</v>
          </cell>
          <cell r="BT111">
            <v>1.1798</v>
          </cell>
          <cell r="BU111">
            <v>1.2E-2</v>
          </cell>
          <cell r="BV111">
            <v>8.9999999999999993E-3</v>
          </cell>
          <cell r="BW111">
            <v>5.16E-2</v>
          </cell>
          <cell r="BX111">
            <v>1.15E-2</v>
          </cell>
          <cell r="CC111">
            <v>35</v>
          </cell>
          <cell r="CD111">
            <v>0.17330000000000001</v>
          </cell>
          <cell r="CE111">
            <v>578.56399999999996</v>
          </cell>
          <cell r="CF111">
            <v>0.39610000000000001</v>
          </cell>
          <cell r="CG111">
            <v>3.7000000000000002E-3</v>
          </cell>
          <cell r="CH111">
            <v>5.4000000000000003E-3</v>
          </cell>
          <cell r="CI111">
            <v>1.2800000000000001E-2</v>
          </cell>
          <cell r="CJ111">
            <v>3.5000000000000001E-3</v>
          </cell>
        </row>
        <row r="112">
          <cell r="BQ112">
            <v>36</v>
          </cell>
          <cell r="BR112">
            <v>0.55049999999999999</v>
          </cell>
          <cell r="BS112">
            <v>967.41949999999997</v>
          </cell>
          <cell r="BT112">
            <v>1.1662999999999999</v>
          </cell>
          <cell r="BU112">
            <v>1.18E-2</v>
          </cell>
          <cell r="BV112">
            <v>9.1000000000000004E-3</v>
          </cell>
          <cell r="BW112">
            <v>4.8800000000000003E-2</v>
          </cell>
          <cell r="BX112">
            <v>1.1299999999999999E-2</v>
          </cell>
          <cell r="CC112">
            <v>36</v>
          </cell>
          <cell r="CD112">
            <v>0.16880000000000001</v>
          </cell>
          <cell r="CE112">
            <v>584.06709999999998</v>
          </cell>
          <cell r="CF112">
            <v>0.38829999999999998</v>
          </cell>
          <cell r="CG112">
            <v>3.8E-3</v>
          </cell>
          <cell r="CH112">
            <v>5.4000000000000003E-3</v>
          </cell>
          <cell r="CI112">
            <v>1.2200000000000001E-2</v>
          </cell>
          <cell r="CJ112">
            <v>3.5999999999999999E-3</v>
          </cell>
        </row>
        <row r="113">
          <cell r="BQ113">
            <v>37</v>
          </cell>
          <cell r="BR113">
            <v>0.53490000000000004</v>
          </cell>
          <cell r="BS113">
            <v>972.78359999999998</v>
          </cell>
          <cell r="BT113">
            <v>1.1529</v>
          </cell>
          <cell r="BU113">
            <v>1.1599999999999999E-2</v>
          </cell>
          <cell r="BV113">
            <v>9.1000000000000004E-3</v>
          </cell>
          <cell r="BW113">
            <v>4.6199999999999998E-2</v>
          </cell>
          <cell r="BX113">
            <v>1.0999999999999999E-2</v>
          </cell>
          <cell r="CC113">
            <v>37</v>
          </cell>
          <cell r="CD113">
            <v>0.16450000000000001</v>
          </cell>
          <cell r="CE113">
            <v>589.62249999999995</v>
          </cell>
          <cell r="CF113">
            <v>0.38059999999999999</v>
          </cell>
          <cell r="CG113">
            <v>3.8E-3</v>
          </cell>
          <cell r="CH113">
            <v>5.4999999999999997E-3</v>
          </cell>
          <cell r="CI113">
            <v>1.1599999999999999E-2</v>
          </cell>
          <cell r="CJ113">
            <v>3.7000000000000002E-3</v>
          </cell>
        </row>
        <row r="114">
          <cell r="BQ114">
            <v>38</v>
          </cell>
          <cell r="BR114">
            <v>0.51970000000000005</v>
          </cell>
          <cell r="BS114">
            <v>978.17750000000001</v>
          </cell>
          <cell r="BT114">
            <v>1.1395999999999999</v>
          </cell>
          <cell r="BU114">
            <v>1.1299999999999999E-2</v>
          </cell>
          <cell r="BV114">
            <v>9.1000000000000004E-3</v>
          </cell>
          <cell r="BW114">
            <v>4.3700000000000003E-2</v>
          </cell>
          <cell r="BX114">
            <v>1.0800000000000001E-2</v>
          </cell>
          <cell r="CC114">
            <v>38</v>
          </cell>
          <cell r="CD114">
            <v>0.1603</v>
          </cell>
          <cell r="CE114">
            <v>595.23080000000004</v>
          </cell>
          <cell r="CF114">
            <v>0.37309999999999999</v>
          </cell>
          <cell r="CG114">
            <v>3.8999999999999998E-3</v>
          </cell>
          <cell r="CH114">
            <v>5.4999999999999997E-3</v>
          </cell>
          <cell r="CI114">
            <v>1.11E-2</v>
          </cell>
          <cell r="CJ114">
            <v>3.8E-3</v>
          </cell>
        </row>
        <row r="115">
          <cell r="BQ115">
            <v>39</v>
          </cell>
          <cell r="BR115">
            <v>0.505</v>
          </cell>
          <cell r="BS115">
            <v>983.60130000000004</v>
          </cell>
          <cell r="BT115">
            <v>1.1266</v>
          </cell>
          <cell r="BU115">
            <v>1.11E-2</v>
          </cell>
          <cell r="BV115">
            <v>9.1999999999999998E-3</v>
          </cell>
          <cell r="BW115">
            <v>4.1300000000000003E-2</v>
          </cell>
          <cell r="BX115">
            <v>1.06E-2</v>
          </cell>
          <cell r="CC115">
            <v>39</v>
          </cell>
          <cell r="CD115">
            <v>0.15609999999999999</v>
          </cell>
          <cell r="CE115">
            <v>600.89239999999995</v>
          </cell>
          <cell r="CF115">
            <v>0.36580000000000001</v>
          </cell>
          <cell r="CG115">
            <v>4.0000000000000001E-3</v>
          </cell>
          <cell r="CH115">
            <v>5.5999999999999999E-3</v>
          </cell>
          <cell r="CI115">
            <v>1.0500000000000001E-2</v>
          </cell>
          <cell r="CJ115">
            <v>3.8E-3</v>
          </cell>
        </row>
        <row r="116">
          <cell r="BQ116">
            <v>40</v>
          </cell>
          <cell r="BR116">
            <v>0.49059999999999998</v>
          </cell>
          <cell r="BS116">
            <v>989.05510000000004</v>
          </cell>
          <cell r="BT116">
            <v>1.1135999999999999</v>
          </cell>
          <cell r="BU116">
            <v>1.09E-2</v>
          </cell>
          <cell r="BV116">
            <v>9.1999999999999998E-3</v>
          </cell>
          <cell r="BW116">
            <v>3.9100000000000003E-2</v>
          </cell>
          <cell r="BX116">
            <v>1.04E-2</v>
          </cell>
          <cell r="CC116">
            <v>40</v>
          </cell>
          <cell r="CD116">
            <v>0.15210000000000001</v>
          </cell>
          <cell r="CE116">
            <v>606.60789999999997</v>
          </cell>
          <cell r="CF116">
            <v>0.35859999999999997</v>
          </cell>
          <cell r="CG116">
            <v>4.1000000000000003E-3</v>
          </cell>
          <cell r="CH116">
            <v>5.5999999999999999E-3</v>
          </cell>
          <cell r="CI116">
            <v>0.01</v>
          </cell>
          <cell r="CJ116">
            <v>3.8999999999999998E-3</v>
          </cell>
        </row>
        <row r="117">
          <cell r="BQ117">
            <v>41</v>
          </cell>
          <cell r="BR117">
            <v>0.48680000000000001</v>
          </cell>
          <cell r="BS117">
            <v>984.5077</v>
          </cell>
          <cell r="BT117">
            <v>1.0993999999999999</v>
          </cell>
          <cell r="BU117">
            <v>1.0999999999999999E-2</v>
          </cell>
          <cell r="BV117">
            <v>9.1999999999999998E-3</v>
          </cell>
          <cell r="BW117">
            <v>3.8199999999999998E-2</v>
          </cell>
          <cell r="BX117">
            <v>1.0500000000000001E-2</v>
          </cell>
          <cell r="CC117">
            <v>41</v>
          </cell>
          <cell r="CD117">
            <v>0.1479</v>
          </cell>
          <cell r="CE117">
            <v>611.86289999999997</v>
          </cell>
          <cell r="CF117">
            <v>0.35299999999999998</v>
          </cell>
          <cell r="CG117">
            <v>4.4000000000000003E-3</v>
          </cell>
          <cell r="CH117">
            <v>5.7000000000000002E-3</v>
          </cell>
          <cell r="CI117">
            <v>9.7999999999999997E-3</v>
          </cell>
          <cell r="CJ117">
            <v>4.1999999999999997E-3</v>
          </cell>
        </row>
        <row r="118">
          <cell r="BQ118">
            <v>42</v>
          </cell>
          <cell r="BR118">
            <v>0.4829</v>
          </cell>
          <cell r="BS118">
            <v>979.98119999999994</v>
          </cell>
          <cell r="BT118">
            <v>1.0853999999999999</v>
          </cell>
          <cell r="BU118">
            <v>1.11E-2</v>
          </cell>
          <cell r="BV118">
            <v>9.1000000000000004E-3</v>
          </cell>
          <cell r="BW118">
            <v>3.7400000000000003E-2</v>
          </cell>
          <cell r="BX118">
            <v>1.06E-2</v>
          </cell>
          <cell r="CC118">
            <v>42</v>
          </cell>
          <cell r="CD118">
            <v>0.14380000000000001</v>
          </cell>
          <cell r="CE118">
            <v>617.16330000000005</v>
          </cell>
          <cell r="CF118">
            <v>0.34739999999999999</v>
          </cell>
          <cell r="CG118">
            <v>4.5999999999999999E-3</v>
          </cell>
          <cell r="CH118">
            <v>5.7000000000000002E-3</v>
          </cell>
          <cell r="CI118">
            <v>9.5999999999999992E-3</v>
          </cell>
          <cell r="CJ118">
            <v>4.4000000000000003E-3</v>
          </cell>
        </row>
        <row r="119">
          <cell r="BQ119">
            <v>43</v>
          </cell>
          <cell r="BR119">
            <v>0.47910000000000003</v>
          </cell>
          <cell r="BS119">
            <v>975.47540000000004</v>
          </cell>
          <cell r="BT119">
            <v>1.0714999999999999</v>
          </cell>
          <cell r="BU119">
            <v>1.11E-2</v>
          </cell>
          <cell r="BV119">
            <v>9.1000000000000004E-3</v>
          </cell>
          <cell r="BW119">
            <v>3.6600000000000001E-2</v>
          </cell>
          <cell r="BX119">
            <v>1.06E-2</v>
          </cell>
          <cell r="CC119">
            <v>43</v>
          </cell>
          <cell r="CD119">
            <v>0.1399</v>
          </cell>
          <cell r="CE119">
            <v>622.50959999999998</v>
          </cell>
          <cell r="CF119">
            <v>0.34200000000000003</v>
          </cell>
          <cell r="CG119">
            <v>4.8999999999999998E-3</v>
          </cell>
          <cell r="CH119">
            <v>5.7999999999999996E-3</v>
          </cell>
          <cell r="CI119">
            <v>9.4000000000000004E-3</v>
          </cell>
          <cell r="CJ119">
            <v>4.7000000000000002E-3</v>
          </cell>
        </row>
        <row r="120">
          <cell r="BQ120">
            <v>44</v>
          </cell>
          <cell r="BR120">
            <v>0.4753</v>
          </cell>
          <cell r="BS120">
            <v>970.99040000000002</v>
          </cell>
          <cell r="BT120">
            <v>1.0579000000000001</v>
          </cell>
          <cell r="BU120">
            <v>1.12E-2</v>
          </cell>
          <cell r="BV120">
            <v>9.1000000000000004E-3</v>
          </cell>
          <cell r="BW120">
            <v>3.5900000000000001E-2</v>
          </cell>
          <cell r="BX120">
            <v>1.0699999999999999E-2</v>
          </cell>
          <cell r="CC120">
            <v>44</v>
          </cell>
          <cell r="CD120">
            <v>0.13600000000000001</v>
          </cell>
          <cell r="CE120">
            <v>627.90229999999997</v>
          </cell>
          <cell r="CF120">
            <v>0.33660000000000001</v>
          </cell>
          <cell r="CG120">
            <v>5.1999999999999998E-3</v>
          </cell>
          <cell r="CH120">
            <v>5.7999999999999996E-3</v>
          </cell>
          <cell r="CI120">
            <v>9.2999999999999992E-3</v>
          </cell>
          <cell r="CJ120">
            <v>5.0000000000000001E-3</v>
          </cell>
        </row>
        <row r="121">
          <cell r="BQ121">
            <v>45</v>
          </cell>
          <cell r="BR121">
            <v>0.47160000000000002</v>
          </cell>
          <cell r="BS121">
            <v>966.52610000000004</v>
          </cell>
          <cell r="BT121">
            <v>1.0444</v>
          </cell>
          <cell r="BU121">
            <v>1.1299999999999999E-2</v>
          </cell>
          <cell r="BV121">
            <v>8.9999999999999993E-3</v>
          </cell>
          <cell r="BW121">
            <v>3.5099999999999999E-2</v>
          </cell>
          <cell r="BX121">
            <v>1.0800000000000001E-2</v>
          </cell>
          <cell r="CC121">
            <v>45</v>
          </cell>
          <cell r="CD121">
            <v>0.1323</v>
          </cell>
          <cell r="CE121">
            <v>633.34169999999995</v>
          </cell>
          <cell r="CF121">
            <v>0.33139999999999997</v>
          </cell>
          <cell r="CG121">
            <v>5.5999999999999999E-3</v>
          </cell>
          <cell r="CH121">
            <v>5.8999999999999999E-3</v>
          </cell>
          <cell r="CI121">
            <v>9.1000000000000004E-3</v>
          </cell>
          <cell r="CJ121">
            <v>5.3E-3</v>
          </cell>
        </row>
        <row r="122">
          <cell r="BQ122">
            <v>46</v>
          </cell>
          <cell r="BR122">
            <v>0.47620000000000001</v>
          </cell>
          <cell r="BS122">
            <v>930.22239999999999</v>
          </cell>
          <cell r="BT122">
            <v>1.0417000000000001</v>
          </cell>
          <cell r="BU122">
            <v>1.15E-2</v>
          </cell>
          <cell r="BV122">
            <v>8.6999999999999994E-3</v>
          </cell>
          <cell r="BW122">
            <v>3.6799999999999999E-2</v>
          </cell>
          <cell r="BX122">
            <v>1.0999999999999999E-2</v>
          </cell>
          <cell r="CC122">
            <v>46</v>
          </cell>
          <cell r="CD122">
            <v>0.13</v>
          </cell>
          <cell r="CE122">
            <v>609.35320000000002</v>
          </cell>
          <cell r="CF122">
            <v>0.31030000000000002</v>
          </cell>
          <cell r="CG122">
            <v>5.7000000000000002E-3</v>
          </cell>
          <cell r="CH122">
            <v>5.7000000000000002E-3</v>
          </cell>
          <cell r="CI122">
            <v>9.2999999999999992E-3</v>
          </cell>
          <cell r="CJ122">
            <v>5.4000000000000003E-3</v>
          </cell>
        </row>
        <row r="123">
          <cell r="BQ123">
            <v>47</v>
          </cell>
          <cell r="BR123">
            <v>0.48089999999999999</v>
          </cell>
          <cell r="BS123">
            <v>895.28229999999996</v>
          </cell>
          <cell r="BT123">
            <v>1.0390999999999999</v>
          </cell>
          <cell r="BU123">
            <v>1.18E-2</v>
          </cell>
          <cell r="BV123">
            <v>8.3999999999999995E-3</v>
          </cell>
          <cell r="BW123">
            <v>3.8600000000000002E-2</v>
          </cell>
          <cell r="BX123">
            <v>1.12E-2</v>
          </cell>
          <cell r="CC123">
            <v>47</v>
          </cell>
          <cell r="CD123">
            <v>0.1278</v>
          </cell>
          <cell r="CE123">
            <v>586.27319999999997</v>
          </cell>
          <cell r="CF123">
            <v>0.29060000000000002</v>
          </cell>
          <cell r="CG123">
            <v>5.7999999999999996E-3</v>
          </cell>
          <cell r="CH123">
            <v>5.4999999999999997E-3</v>
          </cell>
          <cell r="CI123">
            <v>9.5999999999999992E-3</v>
          </cell>
          <cell r="CJ123">
            <v>5.4999999999999997E-3</v>
          </cell>
        </row>
        <row r="124">
          <cell r="BQ124">
            <v>48</v>
          </cell>
          <cell r="BR124">
            <v>0.48570000000000002</v>
          </cell>
          <cell r="BS124">
            <v>861.65459999999996</v>
          </cell>
          <cell r="BT124">
            <v>1.0364</v>
          </cell>
          <cell r="BU124">
            <v>1.2E-2</v>
          </cell>
          <cell r="BV124">
            <v>8.0999999999999996E-3</v>
          </cell>
          <cell r="BW124">
            <v>4.0500000000000001E-2</v>
          </cell>
          <cell r="BX124">
            <v>1.15E-2</v>
          </cell>
          <cell r="CC124">
            <v>48</v>
          </cell>
          <cell r="CD124">
            <v>0.12559999999999999</v>
          </cell>
          <cell r="CE124">
            <v>564.06740000000002</v>
          </cell>
          <cell r="CF124">
            <v>0.2722</v>
          </cell>
          <cell r="CG124">
            <v>5.8999999999999999E-3</v>
          </cell>
          <cell r="CH124">
            <v>5.3E-3</v>
          </cell>
          <cell r="CI124">
            <v>9.9000000000000008E-3</v>
          </cell>
          <cell r="CJ124">
            <v>5.5999999999999999E-3</v>
          </cell>
        </row>
        <row r="125">
          <cell r="BQ125">
            <v>49</v>
          </cell>
          <cell r="BR125">
            <v>0.49049999999999999</v>
          </cell>
          <cell r="BS125">
            <v>829.28989999999999</v>
          </cell>
          <cell r="BT125">
            <v>1.0338000000000001</v>
          </cell>
          <cell r="BU125">
            <v>1.23E-2</v>
          </cell>
          <cell r="BV125">
            <v>7.7999999999999996E-3</v>
          </cell>
          <cell r="BW125">
            <v>4.2500000000000003E-2</v>
          </cell>
          <cell r="BX125">
            <v>1.17E-2</v>
          </cell>
          <cell r="CC125">
            <v>49</v>
          </cell>
          <cell r="CD125">
            <v>0.1234</v>
          </cell>
          <cell r="CE125">
            <v>542.70270000000005</v>
          </cell>
          <cell r="CF125">
            <v>0.25490000000000002</v>
          </cell>
          <cell r="CG125">
            <v>6.0000000000000001E-3</v>
          </cell>
          <cell r="CH125">
            <v>5.1000000000000004E-3</v>
          </cell>
          <cell r="CI125">
            <v>1.0200000000000001E-2</v>
          </cell>
          <cell r="CJ125">
            <v>5.7000000000000002E-3</v>
          </cell>
        </row>
        <row r="126">
          <cell r="BQ126">
            <v>50</v>
          </cell>
          <cell r="BR126">
            <v>0.49530000000000002</v>
          </cell>
          <cell r="BS126">
            <v>798.14099999999996</v>
          </cell>
          <cell r="BT126">
            <v>1.0310999999999999</v>
          </cell>
          <cell r="BU126">
            <v>1.2500000000000001E-2</v>
          </cell>
          <cell r="BV126">
            <v>7.4999999999999997E-3</v>
          </cell>
          <cell r="BW126">
            <v>4.4499999999999998E-2</v>
          </cell>
          <cell r="BX126">
            <v>1.2E-2</v>
          </cell>
          <cell r="CC126">
            <v>50</v>
          </cell>
          <cell r="CD126">
            <v>0.12130000000000001</v>
          </cell>
          <cell r="CE126">
            <v>522.1472</v>
          </cell>
          <cell r="CF126">
            <v>0.2387</v>
          </cell>
          <cell r="CG126">
            <v>6.1000000000000004E-3</v>
          </cell>
          <cell r="CH126">
            <v>4.8999999999999998E-3</v>
          </cell>
          <cell r="CI126">
            <v>1.0500000000000001E-2</v>
          </cell>
          <cell r="CJ126">
            <v>5.7999999999999996E-3</v>
          </cell>
        </row>
        <row r="127">
          <cell r="BQ127">
            <v>51</v>
          </cell>
          <cell r="BR127">
            <v>0.48010000000000003</v>
          </cell>
          <cell r="BS127">
            <v>830.70860000000005</v>
          </cell>
          <cell r="BT127">
            <v>1.0417000000000001</v>
          </cell>
          <cell r="BU127">
            <v>1.3100000000000001E-2</v>
          </cell>
          <cell r="BV127">
            <v>7.7999999999999996E-3</v>
          </cell>
          <cell r="BW127">
            <v>4.2500000000000003E-2</v>
          </cell>
          <cell r="BX127">
            <v>1.2500000000000001E-2</v>
          </cell>
          <cell r="CC127">
            <v>51</v>
          </cell>
          <cell r="CD127">
            <v>0.11840000000000001</v>
          </cell>
          <cell r="CE127">
            <v>546.12260000000003</v>
          </cell>
          <cell r="CF127">
            <v>0.25480000000000003</v>
          </cell>
          <cell r="CG127">
            <v>6.7000000000000002E-3</v>
          </cell>
          <cell r="CH127">
            <v>5.1000000000000004E-3</v>
          </cell>
          <cell r="CI127">
            <v>1.01E-2</v>
          </cell>
          <cell r="CJ127">
            <v>6.4000000000000003E-3</v>
          </cell>
        </row>
        <row r="128">
          <cell r="BQ128">
            <v>52</v>
          </cell>
          <cell r="BR128">
            <v>0.46529999999999999</v>
          </cell>
          <cell r="BS128">
            <v>864.60519999999997</v>
          </cell>
          <cell r="BT128">
            <v>1.0523</v>
          </cell>
          <cell r="BU128">
            <v>1.3599999999999999E-2</v>
          </cell>
          <cell r="BV128">
            <v>8.0999999999999996E-3</v>
          </cell>
          <cell r="BW128">
            <v>4.0500000000000001E-2</v>
          </cell>
          <cell r="BX128">
            <v>1.2999999999999999E-2</v>
          </cell>
          <cell r="CC128">
            <v>52</v>
          </cell>
          <cell r="CD128">
            <v>0.11559999999999999</v>
          </cell>
          <cell r="CE128">
            <v>571.19889999999998</v>
          </cell>
          <cell r="CF128">
            <v>0.27189999999999998</v>
          </cell>
          <cell r="CG128">
            <v>7.3000000000000001E-3</v>
          </cell>
          <cell r="CH128">
            <v>5.3E-3</v>
          </cell>
          <cell r="CI128">
            <v>9.7999999999999997E-3</v>
          </cell>
          <cell r="CJ128">
            <v>7.0000000000000001E-3</v>
          </cell>
        </row>
        <row r="129">
          <cell r="BQ129">
            <v>53</v>
          </cell>
          <cell r="BR129">
            <v>0.45100000000000001</v>
          </cell>
          <cell r="BS129">
            <v>899.88480000000004</v>
          </cell>
          <cell r="BT129">
            <v>1.0630999999999999</v>
          </cell>
          <cell r="BU129">
            <v>1.4200000000000001E-2</v>
          </cell>
          <cell r="BV129">
            <v>8.5000000000000006E-3</v>
          </cell>
          <cell r="BW129">
            <v>3.8600000000000002E-2</v>
          </cell>
          <cell r="BX129">
            <v>1.3599999999999999E-2</v>
          </cell>
          <cell r="CC129">
            <v>53</v>
          </cell>
          <cell r="CD129">
            <v>0.1129</v>
          </cell>
          <cell r="CE129">
            <v>597.42660000000001</v>
          </cell>
          <cell r="CF129">
            <v>0.29020000000000001</v>
          </cell>
          <cell r="CG129">
            <v>7.9000000000000008E-3</v>
          </cell>
          <cell r="CH129">
            <v>5.5999999999999999E-3</v>
          </cell>
          <cell r="CI129">
            <v>9.4000000000000004E-3</v>
          </cell>
          <cell r="CJ129">
            <v>7.6E-3</v>
          </cell>
        </row>
        <row r="130">
          <cell r="BQ130">
            <v>54</v>
          </cell>
          <cell r="BR130">
            <v>0.43709999999999999</v>
          </cell>
          <cell r="BS130">
            <v>936.60400000000004</v>
          </cell>
          <cell r="BT130">
            <v>1.0739000000000001</v>
          </cell>
          <cell r="BU130">
            <v>1.49E-2</v>
          </cell>
          <cell r="BV130">
            <v>8.8000000000000005E-3</v>
          </cell>
          <cell r="BW130">
            <v>3.6900000000000002E-2</v>
          </cell>
          <cell r="BX130">
            <v>1.4200000000000001E-2</v>
          </cell>
          <cell r="CC130">
            <v>54</v>
          </cell>
          <cell r="CD130">
            <v>0.11020000000000001</v>
          </cell>
          <cell r="CE130">
            <v>624.85850000000005</v>
          </cell>
          <cell r="CF130">
            <v>0.30969999999999998</v>
          </cell>
          <cell r="CG130">
            <v>8.6999999999999994E-3</v>
          </cell>
          <cell r="CH130">
            <v>5.7999999999999996E-3</v>
          </cell>
          <cell r="CI130">
            <v>9.1000000000000004E-3</v>
          </cell>
          <cell r="CJ130">
            <v>8.3000000000000001E-3</v>
          </cell>
        </row>
        <row r="131">
          <cell r="BQ131">
            <v>55</v>
          </cell>
          <cell r="BR131">
            <v>0.42359999999999998</v>
          </cell>
          <cell r="BS131">
            <v>974.82159999999999</v>
          </cell>
          <cell r="BT131">
            <v>1.0849</v>
          </cell>
          <cell r="BU131">
            <v>1.55E-2</v>
          </cell>
          <cell r="BV131">
            <v>9.1000000000000004E-3</v>
          </cell>
          <cell r="BW131">
            <v>3.5200000000000002E-2</v>
          </cell>
          <cell r="BX131">
            <v>1.4800000000000001E-2</v>
          </cell>
          <cell r="CC131">
            <v>55</v>
          </cell>
          <cell r="CD131">
            <v>0.1076</v>
          </cell>
          <cell r="CE131">
            <v>653.55010000000004</v>
          </cell>
          <cell r="CF131">
            <v>0.3306</v>
          </cell>
          <cell r="CG131">
            <v>9.4999999999999998E-3</v>
          </cell>
          <cell r="CH131">
            <v>6.1000000000000004E-3</v>
          </cell>
          <cell r="CI131">
            <v>8.8000000000000005E-3</v>
          </cell>
          <cell r="CJ131">
            <v>9.1000000000000004E-3</v>
          </cell>
        </row>
        <row r="132">
          <cell r="BQ132">
            <v>56</v>
          </cell>
          <cell r="BR132">
            <v>0.41</v>
          </cell>
          <cell r="BS132">
            <v>1022.8646</v>
          </cell>
          <cell r="BT132">
            <v>1.0831999999999999</v>
          </cell>
          <cell r="BU132">
            <v>1.6400000000000001E-2</v>
          </cell>
          <cell r="BV132">
            <v>9.5999999999999992E-3</v>
          </cell>
          <cell r="BW132">
            <v>3.15E-2</v>
          </cell>
          <cell r="BX132">
            <v>1.5699999999999999E-2</v>
          </cell>
          <cell r="CC132">
            <v>56</v>
          </cell>
          <cell r="CD132">
            <v>0.1045</v>
          </cell>
          <cell r="CE132">
            <v>686.27470000000005</v>
          </cell>
          <cell r="CF132">
            <v>0.36480000000000001</v>
          </cell>
          <cell r="CG132">
            <v>1.0500000000000001E-2</v>
          </cell>
          <cell r="CH132">
            <v>6.4000000000000003E-3</v>
          </cell>
          <cell r="CI132">
            <v>8.5000000000000006E-3</v>
          </cell>
          <cell r="CJ132">
            <v>0.01</v>
          </cell>
        </row>
        <row r="133">
          <cell r="BQ133">
            <v>57</v>
          </cell>
          <cell r="BR133">
            <v>0.39689999999999998</v>
          </cell>
          <cell r="BS133">
            <v>1073.2754</v>
          </cell>
          <cell r="BT133">
            <v>1.0814999999999999</v>
          </cell>
          <cell r="BU133">
            <v>1.7299999999999999E-2</v>
          </cell>
          <cell r="BV133">
            <v>1.01E-2</v>
          </cell>
          <cell r="BW133">
            <v>2.8199999999999999E-2</v>
          </cell>
          <cell r="BX133">
            <v>1.6500000000000001E-2</v>
          </cell>
          <cell r="CC133">
            <v>57</v>
          </cell>
          <cell r="CD133">
            <v>0.10150000000000001</v>
          </cell>
          <cell r="CE133">
            <v>720.63789999999995</v>
          </cell>
          <cell r="CF133">
            <v>0.40250000000000002</v>
          </cell>
          <cell r="CG133">
            <v>1.1599999999999999E-2</v>
          </cell>
          <cell r="CH133">
            <v>6.7000000000000002E-3</v>
          </cell>
          <cell r="CI133">
            <v>8.3000000000000001E-3</v>
          </cell>
          <cell r="CJ133">
            <v>1.11E-2</v>
          </cell>
        </row>
        <row r="134">
          <cell r="BQ134">
            <v>58</v>
          </cell>
          <cell r="BR134">
            <v>0.3841</v>
          </cell>
          <cell r="BS134">
            <v>1126.1706999999999</v>
          </cell>
          <cell r="BT134">
            <v>1.0797000000000001</v>
          </cell>
          <cell r="BU134">
            <v>1.83E-2</v>
          </cell>
          <cell r="BV134">
            <v>1.0500000000000001E-2</v>
          </cell>
          <cell r="BW134">
            <v>2.52E-2</v>
          </cell>
          <cell r="BX134">
            <v>1.7500000000000002E-2</v>
          </cell>
          <cell r="CC134">
            <v>58</v>
          </cell>
          <cell r="CD134">
            <v>9.8599999999999993E-2</v>
          </cell>
          <cell r="CE134">
            <v>756.72170000000006</v>
          </cell>
          <cell r="CF134">
            <v>0.44419999999999998</v>
          </cell>
          <cell r="CG134">
            <v>1.29E-2</v>
          </cell>
          <cell r="CH134">
            <v>7.1000000000000004E-3</v>
          </cell>
          <cell r="CI134">
            <v>8.0000000000000002E-3</v>
          </cell>
          <cell r="CJ134">
            <v>1.23E-2</v>
          </cell>
        </row>
        <row r="135">
          <cell r="BQ135">
            <v>59</v>
          </cell>
          <cell r="BR135">
            <v>0.37180000000000002</v>
          </cell>
          <cell r="BS135">
            <v>1181.6728000000001</v>
          </cell>
          <cell r="BT135">
            <v>1.0780000000000001</v>
          </cell>
          <cell r="BU135">
            <v>1.9300000000000001E-2</v>
          </cell>
          <cell r="BV135">
            <v>1.11E-2</v>
          </cell>
          <cell r="BW135">
            <v>2.2599999999999999E-2</v>
          </cell>
          <cell r="BX135">
            <v>1.84E-2</v>
          </cell>
          <cell r="CC135">
            <v>59</v>
          </cell>
          <cell r="CD135">
            <v>9.5699999999999993E-2</v>
          </cell>
          <cell r="CE135">
            <v>794.6123</v>
          </cell>
          <cell r="CF135">
            <v>0.49020000000000002</v>
          </cell>
          <cell r="CG135">
            <v>1.43E-2</v>
          </cell>
          <cell r="CH135">
            <v>7.4000000000000003E-3</v>
          </cell>
          <cell r="CI135">
            <v>7.7999999999999996E-3</v>
          </cell>
          <cell r="CJ135">
            <v>1.37E-2</v>
          </cell>
        </row>
        <row r="136">
          <cell r="BQ136">
            <v>60</v>
          </cell>
          <cell r="BR136">
            <v>0.3599</v>
          </cell>
          <cell r="BS136">
            <v>1239.9103</v>
          </cell>
          <cell r="BT136">
            <v>1.0763</v>
          </cell>
          <cell r="BU136">
            <v>2.0299999999999999E-2</v>
          </cell>
          <cell r="BV136">
            <v>1.1599999999999999E-2</v>
          </cell>
          <cell r="BW136">
            <v>2.0199999999999999E-2</v>
          </cell>
          <cell r="BX136">
            <v>1.95E-2</v>
          </cell>
          <cell r="CC136">
            <v>60</v>
          </cell>
          <cell r="CD136">
            <v>9.2999999999999999E-2</v>
          </cell>
          <cell r="CE136">
            <v>834.40020000000004</v>
          </cell>
          <cell r="CF136">
            <v>0.54090000000000005</v>
          </cell>
          <cell r="CG136">
            <v>1.5800000000000002E-2</v>
          </cell>
          <cell r="CH136">
            <v>7.7999999999999996E-3</v>
          </cell>
          <cell r="CI136">
            <v>7.6E-3</v>
          </cell>
          <cell r="CJ136">
            <v>1.5100000000000001E-2</v>
          </cell>
        </row>
        <row r="137">
          <cell r="BQ137">
            <v>61</v>
          </cell>
          <cell r="BR137">
            <v>0.35010000000000002</v>
          </cell>
          <cell r="BS137">
            <v>1264.0963999999999</v>
          </cell>
          <cell r="BT137">
            <v>1.1266</v>
          </cell>
          <cell r="BU137">
            <v>2.1600000000000001E-2</v>
          </cell>
          <cell r="BV137">
            <v>1.18E-2</v>
          </cell>
          <cell r="BW137">
            <v>2.0199999999999999E-2</v>
          </cell>
          <cell r="BX137">
            <v>2.06E-2</v>
          </cell>
          <cell r="CC137">
            <v>61</v>
          </cell>
          <cell r="CD137">
            <v>9.1800000000000007E-2</v>
          </cell>
          <cell r="CE137">
            <v>852.48789999999997</v>
          </cell>
          <cell r="CF137">
            <v>0.58609999999999995</v>
          </cell>
          <cell r="CG137">
            <v>1.6899999999999998E-2</v>
          </cell>
          <cell r="CH137">
            <v>8.0000000000000002E-3</v>
          </cell>
          <cell r="CI137">
            <v>7.7999999999999996E-3</v>
          </cell>
          <cell r="CJ137">
            <v>1.6199999999999999E-2</v>
          </cell>
        </row>
        <row r="138">
          <cell r="BQ138">
            <v>62</v>
          </cell>
          <cell r="BR138">
            <v>0.34060000000000001</v>
          </cell>
          <cell r="BS138">
            <v>1288.7544</v>
          </cell>
          <cell r="BT138">
            <v>1.1792</v>
          </cell>
          <cell r="BU138">
            <v>2.29E-2</v>
          </cell>
          <cell r="BV138">
            <v>1.21E-2</v>
          </cell>
          <cell r="BW138">
            <v>2.01E-2</v>
          </cell>
          <cell r="BX138">
            <v>2.1899999999999999E-2</v>
          </cell>
          <cell r="CC138">
            <v>62</v>
          </cell>
          <cell r="CD138">
            <v>9.0700000000000003E-2</v>
          </cell>
          <cell r="CE138">
            <v>870.96770000000004</v>
          </cell>
          <cell r="CF138">
            <v>0.6351</v>
          </cell>
          <cell r="CG138">
            <v>1.8100000000000002E-2</v>
          </cell>
          <cell r="CH138">
            <v>8.2000000000000007E-3</v>
          </cell>
          <cell r="CI138">
            <v>8.0999999999999996E-3</v>
          </cell>
          <cell r="CJ138">
            <v>1.7299999999999999E-2</v>
          </cell>
        </row>
        <row r="139">
          <cell r="BQ139">
            <v>63</v>
          </cell>
          <cell r="BR139">
            <v>0.33129999999999998</v>
          </cell>
          <cell r="BS139">
            <v>1313.8933</v>
          </cell>
          <cell r="BT139">
            <v>1.2343</v>
          </cell>
          <cell r="BU139">
            <v>2.4299999999999999E-2</v>
          </cell>
          <cell r="BV139">
            <v>1.23E-2</v>
          </cell>
          <cell r="BW139">
            <v>2.01E-2</v>
          </cell>
          <cell r="BX139">
            <v>2.3199999999999998E-2</v>
          </cell>
          <cell r="CC139">
            <v>63</v>
          </cell>
          <cell r="CD139">
            <v>8.9599999999999999E-2</v>
          </cell>
          <cell r="CE139">
            <v>889.84810000000004</v>
          </cell>
          <cell r="CF139">
            <v>0.68820000000000003</v>
          </cell>
          <cell r="CG139">
            <v>1.9300000000000001E-2</v>
          </cell>
          <cell r="CH139">
            <v>8.3000000000000001E-3</v>
          </cell>
          <cell r="CI139">
            <v>8.3999999999999995E-3</v>
          </cell>
          <cell r="CJ139">
            <v>1.8499999999999999E-2</v>
          </cell>
        </row>
        <row r="140">
          <cell r="BQ140">
            <v>64</v>
          </cell>
          <cell r="BR140">
            <v>0.32229999999999998</v>
          </cell>
          <cell r="BS140">
            <v>1339.5226</v>
          </cell>
          <cell r="BT140">
            <v>1.292</v>
          </cell>
          <cell r="BU140">
            <v>2.58E-2</v>
          </cell>
          <cell r="BV140">
            <v>1.26E-2</v>
          </cell>
          <cell r="BW140">
            <v>2.01E-2</v>
          </cell>
          <cell r="BX140">
            <v>2.47E-2</v>
          </cell>
          <cell r="CC140">
            <v>64</v>
          </cell>
          <cell r="CD140">
            <v>8.8499999999999995E-2</v>
          </cell>
          <cell r="CE140">
            <v>909.1377</v>
          </cell>
          <cell r="CF140">
            <v>0.74570000000000003</v>
          </cell>
          <cell r="CG140">
            <v>2.06E-2</v>
          </cell>
          <cell r="CH140">
            <v>8.5000000000000006E-3</v>
          </cell>
          <cell r="CI140">
            <v>8.6E-3</v>
          </cell>
          <cell r="CJ140">
            <v>1.9699999999999999E-2</v>
          </cell>
        </row>
        <row r="141">
          <cell r="BQ141">
            <v>65</v>
          </cell>
          <cell r="BR141">
            <v>0.3135</v>
          </cell>
          <cell r="BS141">
            <v>1365.6518000000001</v>
          </cell>
          <cell r="BT141">
            <v>1.3524</v>
          </cell>
          <cell r="BU141">
            <v>2.7400000000000001E-2</v>
          </cell>
          <cell r="BV141">
            <v>1.2800000000000001E-2</v>
          </cell>
          <cell r="BW141">
            <v>0.02</v>
          </cell>
          <cell r="BX141">
            <v>2.6200000000000001E-2</v>
          </cell>
          <cell r="CC141">
            <v>65</v>
          </cell>
          <cell r="CD141">
            <v>8.7400000000000005E-2</v>
          </cell>
          <cell r="CE141">
            <v>928.84559999999999</v>
          </cell>
          <cell r="CF141">
            <v>0.80810000000000004</v>
          </cell>
          <cell r="CG141">
            <v>2.1999999999999999E-2</v>
          </cell>
          <cell r="CH141">
            <v>8.6999999999999994E-3</v>
          </cell>
          <cell r="CI141">
            <v>8.8999999999999999E-3</v>
          </cell>
          <cell r="CJ141">
            <v>2.1100000000000001E-2</v>
          </cell>
        </row>
        <row r="142">
          <cell r="BQ142">
            <v>66</v>
          </cell>
          <cell r="BR142">
            <v>0.31309999999999999</v>
          </cell>
          <cell r="BS142">
            <v>1350.2911999999999</v>
          </cell>
          <cell r="BT142">
            <v>1.3589</v>
          </cell>
          <cell r="BU142">
            <v>2.76E-2</v>
          </cell>
          <cell r="BV142">
            <v>1.2699999999999999E-2</v>
          </cell>
          <cell r="BW142">
            <v>2.0899999999999998E-2</v>
          </cell>
          <cell r="BX142">
            <v>2.64E-2</v>
          </cell>
          <cell r="CC142">
            <v>66</v>
          </cell>
          <cell r="CD142">
            <v>8.6599999999999996E-2</v>
          </cell>
          <cell r="CE142">
            <v>929.4837</v>
          </cell>
          <cell r="CF142">
            <v>0.8155</v>
          </cell>
          <cell r="CG142">
            <v>2.23E-2</v>
          </cell>
          <cell r="CH142">
            <v>8.6999999999999994E-3</v>
          </cell>
          <cell r="CI142">
            <v>9.1000000000000004E-3</v>
          </cell>
          <cell r="CJ142">
            <v>2.1299999999999999E-2</v>
          </cell>
        </row>
        <row r="143">
          <cell r="BQ143">
            <v>67</v>
          </cell>
          <cell r="BR143">
            <v>0.31269999999999998</v>
          </cell>
          <cell r="BS143">
            <v>1335.1033</v>
          </cell>
          <cell r="BT143">
            <v>1.3654999999999999</v>
          </cell>
          <cell r="BU143">
            <v>2.7799999999999998E-2</v>
          </cell>
          <cell r="BV143">
            <v>1.2500000000000001E-2</v>
          </cell>
          <cell r="BW143">
            <v>2.18E-2</v>
          </cell>
          <cell r="BX143">
            <v>2.6599999999999999E-2</v>
          </cell>
          <cell r="CC143">
            <v>67</v>
          </cell>
          <cell r="CD143">
            <v>8.5800000000000001E-2</v>
          </cell>
          <cell r="CE143">
            <v>930.12239999999997</v>
          </cell>
          <cell r="CF143">
            <v>0.82299999999999995</v>
          </cell>
          <cell r="CG143">
            <v>2.2499999999999999E-2</v>
          </cell>
          <cell r="CH143">
            <v>8.6999999999999994E-3</v>
          </cell>
          <cell r="CI143">
            <v>9.1999999999999998E-3</v>
          </cell>
          <cell r="CJ143">
            <v>2.1600000000000001E-2</v>
          </cell>
        </row>
        <row r="144">
          <cell r="BQ144">
            <v>68</v>
          </cell>
          <cell r="BR144">
            <v>0.31240000000000001</v>
          </cell>
          <cell r="BS144">
            <v>1320.0862</v>
          </cell>
          <cell r="BT144">
            <v>1.3722000000000001</v>
          </cell>
          <cell r="BU144">
            <v>2.81E-2</v>
          </cell>
          <cell r="BV144">
            <v>1.24E-2</v>
          </cell>
          <cell r="BW144">
            <v>2.2800000000000001E-2</v>
          </cell>
          <cell r="BX144">
            <v>2.69E-2</v>
          </cell>
          <cell r="CC144">
            <v>68</v>
          </cell>
          <cell r="CD144">
            <v>8.5000000000000006E-2</v>
          </cell>
          <cell r="CE144">
            <v>930.76139999999998</v>
          </cell>
          <cell r="CF144">
            <v>0.8306</v>
          </cell>
          <cell r="CG144">
            <v>2.2800000000000001E-2</v>
          </cell>
          <cell r="CH144">
            <v>8.6999999999999994E-3</v>
          </cell>
          <cell r="CI144">
            <v>9.4000000000000004E-3</v>
          </cell>
          <cell r="CJ144">
            <v>2.18E-2</v>
          </cell>
        </row>
        <row r="145">
          <cell r="BQ145">
            <v>69</v>
          </cell>
          <cell r="BR145">
            <v>0.312</v>
          </cell>
          <cell r="BS145">
            <v>1305.2381</v>
          </cell>
          <cell r="BT145">
            <v>1.3788</v>
          </cell>
          <cell r="BU145">
            <v>2.8299999999999999E-2</v>
          </cell>
          <cell r="BV145">
            <v>1.23E-2</v>
          </cell>
          <cell r="BW145">
            <v>2.3800000000000002E-2</v>
          </cell>
          <cell r="BX145">
            <v>2.7099999999999999E-2</v>
          </cell>
          <cell r="CC145">
            <v>69</v>
          </cell>
          <cell r="CD145">
            <v>8.4199999999999997E-2</v>
          </cell>
          <cell r="CE145">
            <v>931.40089999999998</v>
          </cell>
          <cell r="CF145">
            <v>0.83830000000000005</v>
          </cell>
          <cell r="CG145">
            <v>2.3E-2</v>
          </cell>
          <cell r="CH145">
            <v>8.8000000000000005E-3</v>
          </cell>
          <cell r="CI145">
            <v>9.4999999999999998E-3</v>
          </cell>
          <cell r="CJ145">
            <v>2.1999999999999999E-2</v>
          </cell>
        </row>
        <row r="146">
          <cell r="BQ146">
            <v>70</v>
          </cell>
          <cell r="BR146">
            <v>0.31159999999999999</v>
          </cell>
          <cell r="BS146">
            <v>1290.5569</v>
          </cell>
          <cell r="BT146">
            <v>1.3855</v>
          </cell>
          <cell r="BU146">
            <v>2.86E-2</v>
          </cell>
          <cell r="BV146">
            <v>1.2200000000000001E-2</v>
          </cell>
          <cell r="BW146">
            <v>2.4799999999999999E-2</v>
          </cell>
          <cell r="BX146">
            <v>2.7300000000000001E-2</v>
          </cell>
          <cell r="CC146">
            <v>70</v>
          </cell>
          <cell r="CD146">
            <v>8.3400000000000002E-2</v>
          </cell>
          <cell r="CE146">
            <v>932.04079999999999</v>
          </cell>
          <cell r="CF146">
            <v>0.84599999999999997</v>
          </cell>
          <cell r="CG146">
            <v>2.3300000000000001E-2</v>
          </cell>
          <cell r="CH146">
            <v>8.8000000000000005E-3</v>
          </cell>
          <cell r="CI146">
            <v>9.7000000000000003E-3</v>
          </cell>
          <cell r="CJ146">
            <v>2.23E-2</v>
          </cell>
        </row>
      </sheetData>
      <sheetData sheetId="13"/>
      <sheetData sheetId="14"/>
      <sheetData sheetId="15"/>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cal.Input"/>
      <sheetName val="FSPL"/>
      <sheetName val="Blundell"/>
      <sheetName val="Cross Products (Scaling)"/>
      <sheetName val="Fuel.Forecast"/>
      <sheetName val="Local.Benefit"/>
      <sheetName val="Portside Blundell"/>
    </sheetNames>
    <sheetDataSet>
      <sheetData sheetId="0">
        <row r="189">
          <cell r="C189">
            <v>1</v>
          </cell>
        </row>
        <row r="190">
          <cell r="C190">
            <v>330</v>
          </cell>
        </row>
      </sheetData>
      <sheetData sheetId="1" refreshError="1"/>
      <sheetData sheetId="2" refreshError="1"/>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IM-EX Value"/>
      <sheetName val="Program.Results"/>
      <sheetName val="CBA.Summary"/>
      <sheetName val="Reporting.T1"/>
      <sheetName val="Reporting.T2"/>
      <sheetName val="Inputs"/>
      <sheetName val="Em.Inputs"/>
      <sheetName val="Costs and Residual Value"/>
      <sheetName val="Terminal.Demand Forecast"/>
      <sheetName val="Transportation Costs"/>
      <sheetName val="Emission Costs"/>
      <sheetName val="Safety Costs"/>
      <sheetName val="Local.Input"/>
      <sheetName val="Local.Benefit"/>
      <sheetName val="Local.Safety"/>
      <sheetName val="Fuel.Forecast"/>
      <sheetName val="Truck Emissions"/>
      <sheetName val="Rail Emissions"/>
      <sheetName val="Marine Emissions"/>
      <sheetName val="GHG"/>
      <sheetName val="Truck. Acc"/>
      <sheetName val="Rail.Acc"/>
      <sheetName val="Marine.Acc"/>
      <sheetName val="Canada CPI Data"/>
    </sheetNames>
    <sheetDataSet>
      <sheetData sheetId="0"/>
      <sheetData sheetId="1"/>
      <sheetData sheetId="2"/>
      <sheetData sheetId="3"/>
      <sheetData sheetId="4"/>
      <sheetData sheetId="5"/>
      <sheetData sheetId="6">
        <row r="8">
          <cell r="D8">
            <v>2048</v>
          </cell>
        </row>
      </sheetData>
      <sheetData sheetId="7"/>
      <sheetData sheetId="8"/>
      <sheetData sheetId="9"/>
      <sheetData sheetId="10"/>
      <sheetData sheetId="11"/>
      <sheetData sheetId="12"/>
      <sheetData sheetId="13">
        <row r="171">
          <cell r="C171">
            <v>330</v>
          </cell>
        </row>
      </sheetData>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hipper.Data"/>
      <sheetName val="Demand.Forecast"/>
      <sheetName val="Costs"/>
      <sheetName val="Inputs"/>
      <sheetName val="Calc-1"/>
      <sheetName val="Calc-2"/>
      <sheetName val="Calc-3"/>
      <sheetName val="Calc-4"/>
      <sheetName val="S&amp;L-1"/>
      <sheetName val="S&amp;L-2"/>
      <sheetName val="S&amp;L-3"/>
      <sheetName val="S&amp;L-4"/>
      <sheetName val="Truck Emissions"/>
      <sheetName val="Rail Emissions"/>
      <sheetName val="Accident Costs"/>
      <sheetName val="Emission Costs"/>
      <sheetName val="Miscellaneous"/>
      <sheetName val="Value of Time"/>
      <sheetName val="Fuel Costs"/>
      <sheetName val="Other Vehicle Costs"/>
      <sheetName val="Prices and ECI"/>
      <sheetName val="Truck Shipping Rate"/>
      <sheetName val="Shipping Rates"/>
    </sheetNames>
    <sheetDataSet>
      <sheetData sheetId="0"/>
      <sheetData sheetId="1"/>
      <sheetData sheetId="2"/>
      <sheetData sheetId="3"/>
      <sheetData sheetId="4">
        <row r="7">
          <cell r="E7">
            <v>2016</v>
          </cell>
        </row>
        <row r="8">
          <cell r="E8">
            <v>2021</v>
          </cell>
        </row>
        <row r="10">
          <cell r="E10">
            <v>30</v>
          </cell>
        </row>
        <row r="13">
          <cell r="E13">
            <v>907185</v>
          </cell>
        </row>
        <row r="14">
          <cell r="E14">
            <v>1.25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Reporting"/>
      <sheetName val="1. Project Input Form"/>
      <sheetName val="2. Project List"/>
      <sheetName val="Data"/>
      <sheetName val="Inputs"/>
      <sheetName val="3. Project Costs"/>
      <sheetName val="4. Evaluation Criteria"/>
      <sheetName val="5. Ranked Project List"/>
      <sheetName val="6. Budget Forecast"/>
      <sheetName val="Scheduler"/>
      <sheetName val="7. Project Schedule"/>
      <sheetName val="Project BCA"/>
      <sheetName val="Project Details"/>
      <sheetName val="Accident Predictions"/>
      <sheetName val="ChartData"/>
      <sheetName val="Demand"/>
      <sheetName val="P.Discounted"/>
      <sheetName val="P.Benefits"/>
      <sheetName val="S.Discounted"/>
      <sheetName val="S.Benefits"/>
      <sheetName val="AC1"/>
      <sheetName val="AC2"/>
      <sheetName val="AC3"/>
      <sheetName val="AC4"/>
      <sheetName val="AC5"/>
      <sheetName val="AC6"/>
      <sheetName val="AC7"/>
      <sheetName val="AC8"/>
      <sheetName val="AC9"/>
      <sheetName val="AC10"/>
      <sheetName val="AC11"/>
      <sheetName val="AC12"/>
      <sheetName val="AC13"/>
      <sheetName val="AC14"/>
      <sheetName val="AC15"/>
      <sheetName val="AC16"/>
      <sheetName val="AC17"/>
      <sheetName val="AC18"/>
      <sheetName val="AC19"/>
      <sheetName val="AC20"/>
      <sheetName val="AC21"/>
      <sheetName val="Accident Calculator Methodology"/>
      <sheetName val="Parameters"/>
      <sheetName val="REF"/>
      <sheetName val="FRA"/>
    </sheetNames>
    <sheetDataSet>
      <sheetData sheetId="0"/>
      <sheetData sheetId="1"/>
      <sheetData sheetId="2"/>
      <sheetData sheetId="3"/>
      <sheetData sheetId="4"/>
      <sheetData sheetId="5"/>
      <sheetData sheetId="6">
        <row r="3">
          <cell r="A3" t="str">
            <v>Update All Existing Projects</v>
          </cell>
        </row>
        <row r="5">
          <cell r="A5" t="str">
            <v>Project ID</v>
          </cell>
          <cell r="G5">
            <v>1</v>
          </cell>
          <cell r="H5">
            <v>2</v>
          </cell>
          <cell r="I5">
            <v>3</v>
          </cell>
          <cell r="J5">
            <v>4</v>
          </cell>
          <cell r="K5">
            <v>5</v>
          </cell>
          <cell r="L5">
            <v>6</v>
          </cell>
          <cell r="M5">
            <v>7</v>
          </cell>
          <cell r="N5">
            <v>8</v>
          </cell>
          <cell r="O5">
            <v>9</v>
          </cell>
          <cell r="P5">
            <v>10</v>
          </cell>
        </row>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sheetData>
      <sheetData sheetId="7"/>
      <sheetData sheetId="8"/>
      <sheetData sheetId="9"/>
      <sheetData sheetId="10"/>
      <sheetData sheetId="11">
        <row r="7">
          <cell r="C7" t="str">
            <v>Project Name</v>
          </cell>
          <cell r="D7" t="str">
            <v>Scheduled Start Year</v>
          </cell>
          <cell r="E7" t="str">
            <v>Completion Year</v>
          </cell>
        </row>
        <row r="9">
          <cell r="D9">
            <v>2021</v>
          </cell>
          <cell r="E9">
            <v>2022</v>
          </cell>
        </row>
        <row r="10">
          <cell r="D10">
            <v>2021</v>
          </cell>
          <cell r="E10">
            <v>2022</v>
          </cell>
        </row>
        <row r="11">
          <cell r="D11">
            <v>2021</v>
          </cell>
          <cell r="E11">
            <v>2023</v>
          </cell>
        </row>
        <row r="12">
          <cell r="D12">
            <v>2021</v>
          </cell>
          <cell r="E12">
            <v>2022</v>
          </cell>
        </row>
        <row r="13">
          <cell r="D13">
            <v>2023</v>
          </cell>
          <cell r="E13">
            <v>2023</v>
          </cell>
        </row>
        <row r="14">
          <cell r="D14">
            <v>2023</v>
          </cell>
          <cell r="E14">
            <v>2024</v>
          </cell>
        </row>
        <row r="15">
          <cell r="D15">
            <v>2023</v>
          </cell>
          <cell r="E15">
            <v>2024</v>
          </cell>
        </row>
        <row r="16">
          <cell r="D16">
            <v>2023</v>
          </cell>
          <cell r="E16">
            <v>2024</v>
          </cell>
        </row>
        <row r="17">
          <cell r="D17">
            <v>2025</v>
          </cell>
          <cell r="E17">
            <v>2026</v>
          </cell>
        </row>
        <row r="18">
          <cell r="D18">
            <v>2025</v>
          </cell>
          <cell r="E18">
            <v>2025</v>
          </cell>
        </row>
        <row r="19">
          <cell r="D19">
            <v>2025</v>
          </cell>
          <cell r="E19">
            <v>2027</v>
          </cell>
        </row>
        <row r="20">
          <cell r="D20">
            <v>2026</v>
          </cell>
          <cell r="E20">
            <v>2028</v>
          </cell>
        </row>
        <row r="21">
          <cell r="D21">
            <v>2027</v>
          </cell>
          <cell r="E21">
            <v>2027</v>
          </cell>
        </row>
        <row r="22">
          <cell r="D22">
            <v>2027</v>
          </cell>
          <cell r="E22">
            <v>2028</v>
          </cell>
        </row>
        <row r="23">
          <cell r="D23">
            <v>2027</v>
          </cell>
          <cell r="E23">
            <v>2028</v>
          </cell>
        </row>
        <row r="24">
          <cell r="D24">
            <v>2028</v>
          </cell>
          <cell r="E24">
            <v>2028</v>
          </cell>
        </row>
        <row r="25">
          <cell r="D25">
            <v>2029</v>
          </cell>
          <cell r="E25">
            <v>2029</v>
          </cell>
        </row>
        <row r="26">
          <cell r="D26">
            <v>2029</v>
          </cell>
          <cell r="E26">
            <v>2030</v>
          </cell>
        </row>
        <row r="27">
          <cell r="D27">
            <v>2029</v>
          </cell>
          <cell r="E27">
            <v>2031</v>
          </cell>
        </row>
        <row r="28">
          <cell r="D28">
            <v>2030</v>
          </cell>
          <cell r="E28">
            <v>2030</v>
          </cell>
        </row>
        <row r="29">
          <cell r="D29">
            <v>2031</v>
          </cell>
          <cell r="E29">
            <v>2032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D5">
            <v>2021</v>
          </cell>
        </row>
      </sheetData>
      <sheetData sheetId="44">
        <row r="2">
          <cell r="F2" t="str">
            <v>Passive Crossing</v>
          </cell>
          <cell r="K2" t="str">
            <v>Yes</v>
          </cell>
          <cell r="M2" t="str">
            <v>ANDERSON</v>
          </cell>
          <cell r="N2" t="str">
            <v>Anderson County</v>
          </cell>
          <cell r="O2" t="e">
            <v>#VALUE!</v>
          </cell>
          <cell r="T2">
            <v>1</v>
          </cell>
        </row>
        <row r="3">
          <cell r="F3" t="str">
            <v>Flashing Lights</v>
          </cell>
          <cell r="K3" t="str">
            <v>No</v>
          </cell>
          <cell r="M3" t="str">
            <v>ANDREWS</v>
          </cell>
          <cell r="N3" t="str">
            <v>Andrews County</v>
          </cell>
          <cell r="O3" t="e">
            <v>#VALUE!</v>
          </cell>
          <cell r="T3">
            <v>2</v>
          </cell>
        </row>
        <row r="4">
          <cell r="F4" t="str">
            <v>Flashing Lights and Gates</v>
          </cell>
          <cell r="M4" t="str">
            <v>ANGELINA</v>
          </cell>
          <cell r="N4" t="str">
            <v>Angelina County</v>
          </cell>
          <cell r="O4" t="e">
            <v>#VALUE!</v>
          </cell>
          <cell r="T4">
            <v>3</v>
          </cell>
        </row>
        <row r="5">
          <cell r="F5" t="str">
            <v>Flashing Lights, Gates, and CWT</v>
          </cell>
          <cell r="M5" t="str">
            <v>ARANSAS</v>
          </cell>
          <cell r="N5" t="str">
            <v>Aransas County</v>
          </cell>
          <cell r="O5" t="e">
            <v>#VALUE!</v>
          </cell>
          <cell r="T5">
            <v>4</v>
          </cell>
        </row>
        <row r="6">
          <cell r="F6" t="str">
            <v>Grade Separated Crossing</v>
          </cell>
          <cell r="M6" t="str">
            <v>ARCHER</v>
          </cell>
          <cell r="N6" t="str">
            <v>Archer County</v>
          </cell>
          <cell r="O6" t="e">
            <v>#VALUE!</v>
          </cell>
          <cell r="T6">
            <v>5</v>
          </cell>
        </row>
        <row r="7">
          <cell r="M7" t="str">
            <v>ARMSTRONG</v>
          </cell>
          <cell r="N7" t="str">
            <v>Armstrong County</v>
          </cell>
          <cell r="O7" t="e">
            <v>#VALUE!</v>
          </cell>
          <cell r="T7">
            <v>6</v>
          </cell>
        </row>
        <row r="8">
          <cell r="M8" t="str">
            <v>ATASCOSA</v>
          </cell>
          <cell r="N8" t="str">
            <v>Atascosa County</v>
          </cell>
          <cell r="O8" t="e">
            <v>#VALUE!</v>
          </cell>
          <cell r="T8">
            <v>7</v>
          </cell>
        </row>
        <row r="9">
          <cell r="M9" t="str">
            <v>AUSTIN</v>
          </cell>
          <cell r="N9" t="str">
            <v>Austin County</v>
          </cell>
          <cell r="O9" t="e">
            <v>#VALUE!</v>
          </cell>
          <cell r="T9">
            <v>8</v>
          </cell>
        </row>
        <row r="10">
          <cell r="M10" t="str">
            <v>BAILEY</v>
          </cell>
          <cell r="N10" t="str">
            <v>Bailey County</v>
          </cell>
          <cell r="O10" t="e">
            <v>#VALUE!</v>
          </cell>
          <cell r="T10">
            <v>9</v>
          </cell>
        </row>
        <row r="11">
          <cell r="M11" t="str">
            <v>BANDERA</v>
          </cell>
          <cell r="N11" t="str">
            <v>Bandera County</v>
          </cell>
          <cell r="O11" t="e">
            <v>#VALUE!</v>
          </cell>
          <cell r="T11">
            <v>10</v>
          </cell>
        </row>
        <row r="12">
          <cell r="M12" t="str">
            <v>BASTROP</v>
          </cell>
          <cell r="N12" t="str">
            <v>Bastrop County</v>
          </cell>
          <cell r="O12" t="e">
            <v>#VALUE!</v>
          </cell>
        </row>
        <row r="13">
          <cell r="M13" t="str">
            <v>BAYLOR</v>
          </cell>
          <cell r="N13" t="str">
            <v>Baylor County</v>
          </cell>
          <cell r="O13" t="e">
            <v>#VALUE!</v>
          </cell>
        </row>
        <row r="14">
          <cell r="M14" t="str">
            <v>BEE</v>
          </cell>
          <cell r="N14" t="str">
            <v>Bee County</v>
          </cell>
          <cell r="O14" t="e">
            <v>#VALUE!</v>
          </cell>
        </row>
        <row r="15">
          <cell r="M15" t="str">
            <v>BELL</v>
          </cell>
          <cell r="N15" t="str">
            <v>Bell County</v>
          </cell>
          <cell r="O15" t="e">
            <v>#VALUE!</v>
          </cell>
        </row>
        <row r="16">
          <cell r="M16" t="str">
            <v>BEXAR</v>
          </cell>
          <cell r="N16" t="str">
            <v>Bexar County</v>
          </cell>
          <cell r="O16" t="e">
            <v>#VALUE!</v>
          </cell>
        </row>
        <row r="17">
          <cell r="M17" t="str">
            <v>BLANCO</v>
          </cell>
          <cell r="N17" t="str">
            <v>Blanco County</v>
          </cell>
          <cell r="O17" t="e">
            <v>#VALUE!</v>
          </cell>
        </row>
        <row r="18">
          <cell r="M18" t="str">
            <v>BORDEN</v>
          </cell>
          <cell r="N18" t="str">
            <v>Borden County</v>
          </cell>
          <cell r="O18" t="e">
            <v>#VALUE!</v>
          </cell>
        </row>
        <row r="19">
          <cell r="M19" t="str">
            <v>BOSQUE</v>
          </cell>
          <cell r="N19" t="str">
            <v>Bosque County</v>
          </cell>
          <cell r="O19" t="e">
            <v>#VALUE!</v>
          </cell>
        </row>
        <row r="20">
          <cell r="M20" t="str">
            <v>BOWIE</v>
          </cell>
          <cell r="N20" t="str">
            <v>Bowie County</v>
          </cell>
          <cell r="O20" t="e">
            <v>#VALUE!</v>
          </cell>
        </row>
        <row r="21">
          <cell r="M21" t="str">
            <v>BRAZORIA</v>
          </cell>
          <cell r="N21" t="str">
            <v>Brazoria County</v>
          </cell>
          <cell r="O21" t="e">
            <v>#VALUE!</v>
          </cell>
        </row>
        <row r="22">
          <cell r="M22" t="str">
            <v>BRAZOS</v>
          </cell>
          <cell r="N22" t="str">
            <v>Brazos County</v>
          </cell>
          <cell r="O22" t="e">
            <v>#VALUE!</v>
          </cell>
        </row>
        <row r="23">
          <cell r="M23" t="str">
            <v>BREWSTER</v>
          </cell>
          <cell r="N23" t="str">
            <v>Brewster County</v>
          </cell>
          <cell r="O23" t="e">
            <v>#VALUE!</v>
          </cell>
        </row>
        <row r="24">
          <cell r="M24" t="str">
            <v>BRISCOE</v>
          </cell>
          <cell r="N24" t="str">
            <v>Briscoe County</v>
          </cell>
          <cell r="O24" t="e">
            <v>#VALUE!</v>
          </cell>
        </row>
        <row r="25">
          <cell r="M25" t="str">
            <v>BROOKS</v>
          </cell>
          <cell r="N25" t="str">
            <v>Brooks County</v>
          </cell>
          <cell r="O25" t="e">
            <v>#VALUE!</v>
          </cell>
        </row>
        <row r="26">
          <cell r="M26" t="str">
            <v>BROWN</v>
          </cell>
          <cell r="N26" t="str">
            <v>Brown County</v>
          </cell>
          <cell r="O26" t="e">
            <v>#VALUE!</v>
          </cell>
        </row>
        <row r="27">
          <cell r="M27" t="str">
            <v>BURLESON</v>
          </cell>
          <cell r="N27" t="str">
            <v>Burleson County</v>
          </cell>
          <cell r="O27" t="e">
            <v>#VALUE!</v>
          </cell>
        </row>
        <row r="28">
          <cell r="M28" t="str">
            <v>BURNET</v>
          </cell>
          <cell r="N28" t="str">
            <v>Burnet County</v>
          </cell>
          <cell r="O28" t="e">
            <v>#VALUE!</v>
          </cell>
        </row>
        <row r="29">
          <cell r="M29" t="str">
            <v>CALDWELL</v>
          </cell>
          <cell r="N29" t="str">
            <v>Caldwell County</v>
          </cell>
          <cell r="O29" t="e">
            <v>#VALUE!</v>
          </cell>
        </row>
        <row r="30">
          <cell r="M30" t="str">
            <v>CALHOUN</v>
          </cell>
          <cell r="N30" t="str">
            <v>Calhoun County</v>
          </cell>
          <cell r="O30" t="e">
            <v>#VALUE!</v>
          </cell>
        </row>
        <row r="31">
          <cell r="M31" t="str">
            <v>CALLAHAN</v>
          </cell>
          <cell r="N31" t="str">
            <v>Callahan County</v>
          </cell>
          <cell r="O31" t="e">
            <v>#VALUE!</v>
          </cell>
        </row>
        <row r="32">
          <cell r="M32" t="str">
            <v>CAMERON</v>
          </cell>
          <cell r="N32" t="str">
            <v>Cameron County</v>
          </cell>
          <cell r="O32" t="e">
            <v>#VALUE!</v>
          </cell>
        </row>
        <row r="33">
          <cell r="M33" t="str">
            <v>CAMP</v>
          </cell>
          <cell r="N33" t="str">
            <v>Camp County</v>
          </cell>
          <cell r="O33" t="e">
            <v>#VALUE!</v>
          </cell>
        </row>
        <row r="34">
          <cell r="M34" t="str">
            <v>CARSON</v>
          </cell>
          <cell r="N34" t="str">
            <v>Carson County</v>
          </cell>
          <cell r="O34" t="e">
            <v>#VALUE!</v>
          </cell>
        </row>
        <row r="35">
          <cell r="M35" t="str">
            <v>CASS</v>
          </cell>
          <cell r="N35" t="str">
            <v>Cass County</v>
          </cell>
          <cell r="O35" t="e">
            <v>#VALUE!</v>
          </cell>
        </row>
        <row r="36">
          <cell r="M36" t="str">
            <v>CASTRO</v>
          </cell>
          <cell r="N36" t="str">
            <v>Castro County</v>
          </cell>
          <cell r="O36" t="e">
            <v>#VALUE!</v>
          </cell>
        </row>
        <row r="37">
          <cell r="M37" t="str">
            <v>CHAMBERS</v>
          </cell>
          <cell r="N37" t="str">
            <v>Chambers County</v>
          </cell>
          <cell r="O37" t="e">
            <v>#VALUE!</v>
          </cell>
        </row>
        <row r="38">
          <cell r="M38" t="str">
            <v>CHEROKEE</v>
          </cell>
          <cell r="N38" t="str">
            <v>Cherokee County</v>
          </cell>
          <cell r="O38" t="e">
            <v>#VALUE!</v>
          </cell>
        </row>
        <row r="39">
          <cell r="M39" t="str">
            <v>CHILDRESS</v>
          </cell>
          <cell r="N39" t="str">
            <v>Childress County</v>
          </cell>
          <cell r="O39" t="e">
            <v>#VALUE!</v>
          </cell>
        </row>
        <row r="40">
          <cell r="M40" t="str">
            <v>CLAY</v>
          </cell>
          <cell r="N40" t="str">
            <v>Clay County</v>
          </cell>
          <cell r="O40" t="e">
            <v>#VALUE!</v>
          </cell>
        </row>
        <row r="41">
          <cell r="M41" t="str">
            <v>COCHRAN</v>
          </cell>
          <cell r="N41" t="str">
            <v>Cochran County</v>
          </cell>
          <cell r="O41" t="e">
            <v>#VALUE!</v>
          </cell>
        </row>
        <row r="42">
          <cell r="M42" t="str">
            <v>COKE</v>
          </cell>
          <cell r="N42" t="str">
            <v>Coke County</v>
          </cell>
          <cell r="O42" t="e">
            <v>#VALUE!</v>
          </cell>
        </row>
        <row r="43">
          <cell r="M43" t="str">
            <v>COLEMAN</v>
          </cell>
          <cell r="N43" t="str">
            <v>Coleman County</v>
          </cell>
          <cell r="O43" t="e">
            <v>#VALUE!</v>
          </cell>
        </row>
        <row r="44">
          <cell r="M44" t="str">
            <v>COLLIN</v>
          </cell>
          <cell r="N44" t="str">
            <v>Collin County</v>
          </cell>
          <cell r="O44" t="e">
            <v>#VALUE!</v>
          </cell>
        </row>
        <row r="45">
          <cell r="M45" t="str">
            <v>COLLINGSWORTH</v>
          </cell>
          <cell r="N45" t="str">
            <v>Collingsworth County</v>
          </cell>
          <cell r="O45" t="e">
            <v>#VALUE!</v>
          </cell>
        </row>
        <row r="46">
          <cell r="M46" t="str">
            <v>COLORADO</v>
          </cell>
          <cell r="N46" t="str">
            <v>Colorado County</v>
          </cell>
          <cell r="O46" t="e">
            <v>#VALUE!</v>
          </cell>
        </row>
        <row r="47">
          <cell r="M47" t="str">
            <v>COMAL</v>
          </cell>
          <cell r="N47" t="str">
            <v>Comal County</v>
          </cell>
          <cell r="O47" t="e">
            <v>#VALUE!</v>
          </cell>
        </row>
        <row r="48">
          <cell r="M48" t="str">
            <v>COMANCHE</v>
          </cell>
          <cell r="N48" t="str">
            <v>Comanche County</v>
          </cell>
          <cell r="O48" t="e">
            <v>#VALUE!</v>
          </cell>
        </row>
        <row r="49">
          <cell r="M49" t="str">
            <v>CONCHO</v>
          </cell>
          <cell r="N49" t="str">
            <v>Concho County</v>
          </cell>
          <cell r="O49" t="e">
            <v>#VALUE!</v>
          </cell>
        </row>
        <row r="50">
          <cell r="M50" t="str">
            <v>COOKE</v>
          </cell>
          <cell r="N50" t="str">
            <v>Cooke County</v>
          </cell>
          <cell r="O50" t="e">
            <v>#VALUE!</v>
          </cell>
        </row>
        <row r="51">
          <cell r="M51" t="str">
            <v>CORYELL</v>
          </cell>
          <cell r="N51" t="str">
            <v>Coryell County</v>
          </cell>
          <cell r="O51" t="e">
            <v>#VALUE!</v>
          </cell>
        </row>
        <row r="52">
          <cell r="M52" t="str">
            <v>COTTLE</v>
          </cell>
          <cell r="N52" t="str">
            <v>Cottle County</v>
          </cell>
          <cell r="O52" t="e">
            <v>#VALUE!</v>
          </cell>
        </row>
        <row r="53">
          <cell r="M53" t="str">
            <v>CRANE</v>
          </cell>
          <cell r="N53" t="str">
            <v>Crane County</v>
          </cell>
          <cell r="O53" t="e">
            <v>#VALUE!</v>
          </cell>
        </row>
        <row r="54">
          <cell r="M54" t="str">
            <v>CROCKETT</v>
          </cell>
          <cell r="N54" t="str">
            <v>Crockett County</v>
          </cell>
          <cell r="O54" t="e">
            <v>#VALUE!</v>
          </cell>
        </row>
        <row r="55">
          <cell r="M55" t="str">
            <v>CROSBY</v>
          </cell>
          <cell r="N55" t="str">
            <v>Crosby County</v>
          </cell>
          <cell r="O55" t="e">
            <v>#VALUE!</v>
          </cell>
        </row>
        <row r="56">
          <cell r="M56" t="str">
            <v>CULBERSON</v>
          </cell>
          <cell r="N56" t="str">
            <v>Culberson County</v>
          </cell>
          <cell r="O56" t="e">
            <v>#VALUE!</v>
          </cell>
        </row>
        <row r="57">
          <cell r="M57" t="str">
            <v>DALLAM</v>
          </cell>
          <cell r="N57" t="str">
            <v>Dallam County</v>
          </cell>
          <cell r="O57" t="e">
            <v>#VALUE!</v>
          </cell>
        </row>
        <row r="58">
          <cell r="M58" t="str">
            <v>DALLAS</v>
          </cell>
          <cell r="N58" t="str">
            <v>Dallas County</v>
          </cell>
          <cell r="O58" t="e">
            <v>#VALUE!</v>
          </cell>
        </row>
        <row r="59">
          <cell r="M59" t="str">
            <v>DAWSON</v>
          </cell>
          <cell r="N59" t="str">
            <v>Dawson County</v>
          </cell>
          <cell r="O59" t="e">
            <v>#VALUE!</v>
          </cell>
        </row>
        <row r="60">
          <cell r="M60" t="str">
            <v>DEAF SMITH</v>
          </cell>
          <cell r="N60" t="str">
            <v>Deaf Smith County</v>
          </cell>
          <cell r="O60" t="e">
            <v>#VALUE!</v>
          </cell>
        </row>
        <row r="61">
          <cell r="M61" t="str">
            <v>DLETA</v>
          </cell>
          <cell r="N61" t="str">
            <v>Delta County</v>
          </cell>
          <cell r="O61" t="e">
            <v>#VALUE!</v>
          </cell>
        </row>
        <row r="62">
          <cell r="M62" t="str">
            <v>DENTON</v>
          </cell>
          <cell r="N62" t="str">
            <v>Denton County</v>
          </cell>
          <cell r="O62" t="e">
            <v>#VALUE!</v>
          </cell>
        </row>
        <row r="63">
          <cell r="M63" t="str">
            <v>DE WITT</v>
          </cell>
          <cell r="N63" t="str">
            <v>DeWitt County</v>
          </cell>
          <cell r="O63" t="e">
            <v>#VALUE!</v>
          </cell>
        </row>
        <row r="64">
          <cell r="M64" t="str">
            <v>DICKENS</v>
          </cell>
          <cell r="N64" t="str">
            <v>Dickens County</v>
          </cell>
          <cell r="O64" t="e">
            <v>#VALUE!</v>
          </cell>
        </row>
        <row r="65">
          <cell r="M65" t="str">
            <v>DIMMIT</v>
          </cell>
          <cell r="N65" t="str">
            <v>Dimmit County</v>
          </cell>
          <cell r="O65" t="e">
            <v>#VALUE!</v>
          </cell>
        </row>
        <row r="66">
          <cell r="M66" t="str">
            <v>DONLEY</v>
          </cell>
          <cell r="N66" t="str">
            <v>Donley County</v>
          </cell>
          <cell r="O66" t="e">
            <v>#VALUE!</v>
          </cell>
        </row>
        <row r="67">
          <cell r="M67" t="str">
            <v>DUVAL</v>
          </cell>
          <cell r="N67" t="str">
            <v>Duval County</v>
          </cell>
          <cell r="O67" t="e">
            <v>#VALUE!</v>
          </cell>
        </row>
        <row r="68">
          <cell r="M68" t="str">
            <v>EASTLAND</v>
          </cell>
          <cell r="N68" t="str">
            <v>Eastland County</v>
          </cell>
          <cell r="O68" t="e">
            <v>#VALUE!</v>
          </cell>
        </row>
        <row r="69">
          <cell r="M69" t="str">
            <v>ECTOR</v>
          </cell>
          <cell r="N69" t="str">
            <v>Ector County</v>
          </cell>
          <cell r="O69" t="e">
            <v>#VALUE!</v>
          </cell>
        </row>
        <row r="70">
          <cell r="M70" t="str">
            <v>EDWARDS</v>
          </cell>
          <cell r="N70" t="str">
            <v>Edwards County</v>
          </cell>
          <cell r="O70" t="e">
            <v>#VALUE!</v>
          </cell>
        </row>
        <row r="71">
          <cell r="M71" t="str">
            <v>ELLIS</v>
          </cell>
          <cell r="N71" t="str">
            <v>Ellis County</v>
          </cell>
          <cell r="O71" t="e">
            <v>#VALUE!</v>
          </cell>
        </row>
        <row r="72">
          <cell r="M72" t="str">
            <v>EL PASO</v>
          </cell>
          <cell r="N72" t="str">
            <v>El Paso County</v>
          </cell>
          <cell r="O72" t="e">
            <v>#VALUE!</v>
          </cell>
        </row>
        <row r="73">
          <cell r="M73" t="str">
            <v>ERATH</v>
          </cell>
          <cell r="N73" t="str">
            <v>Erath County</v>
          </cell>
          <cell r="O73" t="e">
            <v>#VALUE!</v>
          </cell>
        </row>
        <row r="74">
          <cell r="M74" t="str">
            <v>FALLS</v>
          </cell>
          <cell r="N74" t="str">
            <v>Falls County</v>
          </cell>
          <cell r="O74" t="e">
            <v>#VALUE!</v>
          </cell>
        </row>
        <row r="75">
          <cell r="M75" t="str">
            <v>FANNIN</v>
          </cell>
          <cell r="N75" t="str">
            <v>Fannin County</v>
          </cell>
          <cell r="O75" t="e">
            <v>#VALUE!</v>
          </cell>
        </row>
        <row r="76">
          <cell r="M76" t="str">
            <v>FAYETTE</v>
          </cell>
          <cell r="N76" t="str">
            <v>Fayette County</v>
          </cell>
          <cell r="O76" t="e">
            <v>#VALUE!</v>
          </cell>
        </row>
        <row r="77">
          <cell r="M77" t="str">
            <v>FISHER</v>
          </cell>
          <cell r="N77" t="str">
            <v>Fisher County</v>
          </cell>
          <cell r="O77" t="e">
            <v>#VALUE!</v>
          </cell>
        </row>
        <row r="78">
          <cell r="M78" t="str">
            <v>FLOYD</v>
          </cell>
          <cell r="N78" t="str">
            <v>Floyd County</v>
          </cell>
          <cell r="O78" t="e">
            <v>#VALUE!</v>
          </cell>
        </row>
        <row r="79">
          <cell r="M79" t="str">
            <v>FOARD</v>
          </cell>
          <cell r="N79" t="str">
            <v>Foard County</v>
          </cell>
          <cell r="O79" t="e">
            <v>#VALUE!</v>
          </cell>
        </row>
        <row r="80">
          <cell r="M80" t="str">
            <v>FORT BEND</v>
          </cell>
          <cell r="N80" t="str">
            <v>Fort Bend County</v>
          </cell>
          <cell r="O80" t="e">
            <v>#VALUE!</v>
          </cell>
        </row>
        <row r="81">
          <cell r="M81" t="str">
            <v>FRANKLIN</v>
          </cell>
          <cell r="N81" t="str">
            <v>Franklin County</v>
          </cell>
          <cell r="O81" t="e">
            <v>#VALUE!</v>
          </cell>
        </row>
        <row r="82">
          <cell r="M82" t="str">
            <v>FREESTONE</v>
          </cell>
          <cell r="N82" t="str">
            <v>Freestone County</v>
          </cell>
          <cell r="O82" t="e">
            <v>#VALUE!</v>
          </cell>
        </row>
        <row r="83">
          <cell r="M83" t="str">
            <v>FRIO</v>
          </cell>
          <cell r="N83" t="str">
            <v>Frio County</v>
          </cell>
          <cell r="O83" t="e">
            <v>#VALUE!</v>
          </cell>
        </row>
        <row r="84">
          <cell r="M84" t="str">
            <v>GAINES</v>
          </cell>
          <cell r="N84" t="str">
            <v>Gaines County</v>
          </cell>
          <cell r="O84" t="e">
            <v>#VALUE!</v>
          </cell>
        </row>
        <row r="85">
          <cell r="M85" t="str">
            <v>GALVESTON</v>
          </cell>
          <cell r="N85" t="str">
            <v>Galveston County</v>
          </cell>
          <cell r="O85" t="e">
            <v>#VALUE!</v>
          </cell>
        </row>
        <row r="86">
          <cell r="M86" t="str">
            <v>GARZA</v>
          </cell>
          <cell r="N86" t="str">
            <v>Garza County</v>
          </cell>
          <cell r="O86" t="e">
            <v>#VALUE!</v>
          </cell>
        </row>
        <row r="87">
          <cell r="M87" t="str">
            <v>GILLESPIE</v>
          </cell>
          <cell r="N87" t="str">
            <v>Gillespie County</v>
          </cell>
          <cell r="O87" t="e">
            <v>#VALUE!</v>
          </cell>
        </row>
        <row r="88">
          <cell r="M88" t="str">
            <v>GLASSCOCK</v>
          </cell>
          <cell r="N88" t="str">
            <v>Glasscock County</v>
          </cell>
          <cell r="O88" t="e">
            <v>#VALUE!</v>
          </cell>
        </row>
        <row r="89">
          <cell r="M89" t="str">
            <v>GOLIAD</v>
          </cell>
          <cell r="N89" t="str">
            <v>Goliad County</v>
          </cell>
          <cell r="O89" t="e">
            <v>#VALUE!</v>
          </cell>
        </row>
        <row r="90">
          <cell r="M90" t="str">
            <v>GONZALES</v>
          </cell>
          <cell r="N90" t="str">
            <v>Gonzales County</v>
          </cell>
          <cell r="O90" t="e">
            <v>#VALUE!</v>
          </cell>
        </row>
        <row r="91">
          <cell r="M91" t="str">
            <v>GRAY</v>
          </cell>
          <cell r="N91" t="str">
            <v>Gray County</v>
          </cell>
          <cell r="O91" t="e">
            <v>#VALUE!</v>
          </cell>
        </row>
        <row r="92">
          <cell r="M92" t="str">
            <v>GRAYSON</v>
          </cell>
          <cell r="N92" t="str">
            <v>Grayson County</v>
          </cell>
          <cell r="O92" t="e">
            <v>#VALUE!</v>
          </cell>
        </row>
        <row r="93">
          <cell r="M93" t="str">
            <v>GREGG</v>
          </cell>
          <cell r="N93" t="str">
            <v>Gregg County</v>
          </cell>
          <cell r="O93" t="e">
            <v>#VALUE!</v>
          </cell>
        </row>
        <row r="94">
          <cell r="M94" t="str">
            <v>GRIMES</v>
          </cell>
          <cell r="N94" t="str">
            <v>Grimes County</v>
          </cell>
          <cell r="O94" t="e">
            <v>#VALUE!</v>
          </cell>
        </row>
        <row r="95">
          <cell r="M95" t="str">
            <v>GUADALUPE</v>
          </cell>
          <cell r="N95" t="str">
            <v>Guadalupe County</v>
          </cell>
          <cell r="O95" t="e">
            <v>#VALUE!</v>
          </cell>
        </row>
        <row r="96">
          <cell r="M96" t="str">
            <v>HALE</v>
          </cell>
          <cell r="N96" t="str">
            <v>Hale County</v>
          </cell>
          <cell r="O96" t="e">
            <v>#VALUE!</v>
          </cell>
        </row>
        <row r="97">
          <cell r="M97" t="str">
            <v>HALL</v>
          </cell>
          <cell r="N97" t="str">
            <v>Hall County</v>
          </cell>
          <cell r="O97" t="e">
            <v>#VALUE!</v>
          </cell>
        </row>
        <row r="98">
          <cell r="M98" t="str">
            <v>HAMILTON</v>
          </cell>
          <cell r="N98" t="str">
            <v>Hamilton County</v>
          </cell>
          <cell r="O98" t="e">
            <v>#VALUE!</v>
          </cell>
        </row>
        <row r="99">
          <cell r="M99" t="str">
            <v>HANSFORD</v>
          </cell>
          <cell r="N99" t="str">
            <v>Hansford County</v>
          </cell>
          <cell r="O99" t="e">
            <v>#VALUE!</v>
          </cell>
        </row>
        <row r="100">
          <cell r="M100" t="str">
            <v>HARDEMAN</v>
          </cell>
          <cell r="N100" t="str">
            <v>Hardeman County</v>
          </cell>
          <cell r="O100" t="e">
            <v>#VALUE!</v>
          </cell>
        </row>
        <row r="101">
          <cell r="M101" t="str">
            <v>HARDIN</v>
          </cell>
          <cell r="N101" t="str">
            <v>Hardin County</v>
          </cell>
          <cell r="O101" t="e">
            <v>#VALUE!</v>
          </cell>
        </row>
        <row r="102">
          <cell r="M102" t="str">
            <v>HARRIS</v>
          </cell>
          <cell r="N102" t="str">
            <v>Harris County</v>
          </cell>
          <cell r="O102" t="e">
            <v>#VALUE!</v>
          </cell>
        </row>
        <row r="103">
          <cell r="M103" t="str">
            <v>HARRISON</v>
          </cell>
          <cell r="N103" t="str">
            <v>Harrison County</v>
          </cell>
          <cell r="O103" t="e">
            <v>#VALUE!</v>
          </cell>
        </row>
        <row r="104">
          <cell r="M104" t="str">
            <v>HARTLEY</v>
          </cell>
          <cell r="N104" t="str">
            <v>Hartley County</v>
          </cell>
          <cell r="O104" t="e">
            <v>#VALUE!</v>
          </cell>
        </row>
        <row r="105">
          <cell r="M105" t="str">
            <v>HASKELL</v>
          </cell>
          <cell r="N105" t="str">
            <v>Haskell County</v>
          </cell>
          <cell r="O105" t="e">
            <v>#VALUE!</v>
          </cell>
        </row>
        <row r="106">
          <cell r="M106" t="str">
            <v>HAYS</v>
          </cell>
          <cell r="N106" t="str">
            <v>Hays County</v>
          </cell>
          <cell r="O106" t="e">
            <v>#VALUE!</v>
          </cell>
        </row>
        <row r="107">
          <cell r="M107" t="str">
            <v>HEMPHILL</v>
          </cell>
          <cell r="N107" t="str">
            <v>Hemphill County</v>
          </cell>
          <cell r="O107" t="e">
            <v>#VALUE!</v>
          </cell>
        </row>
        <row r="108">
          <cell r="M108" t="str">
            <v>HENDERSON</v>
          </cell>
          <cell r="N108" t="str">
            <v>Henderson County</v>
          </cell>
          <cell r="O108" t="e">
            <v>#VALUE!</v>
          </cell>
        </row>
        <row r="109">
          <cell r="M109" t="str">
            <v>HIDALGO</v>
          </cell>
          <cell r="N109" t="str">
            <v>Hidalgo County</v>
          </cell>
          <cell r="O109" t="e">
            <v>#VALUE!</v>
          </cell>
        </row>
        <row r="110">
          <cell r="M110" t="str">
            <v>HILL</v>
          </cell>
          <cell r="N110" t="str">
            <v>Hill County</v>
          </cell>
          <cell r="O110" t="e">
            <v>#VALUE!</v>
          </cell>
        </row>
        <row r="111">
          <cell r="M111" t="str">
            <v>HOCKLEY</v>
          </cell>
          <cell r="N111" t="str">
            <v>Hockley County</v>
          </cell>
          <cell r="O111" t="e">
            <v>#VALUE!</v>
          </cell>
        </row>
        <row r="112">
          <cell r="M112" t="str">
            <v>HOOD</v>
          </cell>
          <cell r="N112" t="str">
            <v>Hood County</v>
          </cell>
          <cell r="O112" t="e">
            <v>#VALUE!</v>
          </cell>
        </row>
        <row r="113">
          <cell r="M113" t="str">
            <v>HOPKINS</v>
          </cell>
          <cell r="N113" t="str">
            <v>Hopkins County</v>
          </cell>
          <cell r="O113" t="e">
            <v>#VALUE!</v>
          </cell>
        </row>
        <row r="114">
          <cell r="M114" t="str">
            <v>HOUSTON</v>
          </cell>
          <cell r="N114" t="str">
            <v>Houston County</v>
          </cell>
          <cell r="O114" t="e">
            <v>#VALUE!</v>
          </cell>
        </row>
        <row r="115">
          <cell r="M115" t="str">
            <v>HOWARD</v>
          </cell>
          <cell r="N115" t="str">
            <v>Howard County</v>
          </cell>
          <cell r="O115" t="e">
            <v>#VALUE!</v>
          </cell>
        </row>
        <row r="116">
          <cell r="M116" t="str">
            <v>HUDSPETH</v>
          </cell>
          <cell r="N116" t="str">
            <v>Hudspeth County</v>
          </cell>
          <cell r="O116" t="e">
            <v>#VALUE!</v>
          </cell>
        </row>
        <row r="117">
          <cell r="M117" t="str">
            <v>HUNT</v>
          </cell>
          <cell r="N117" t="str">
            <v>Hunt County</v>
          </cell>
          <cell r="O117" t="e">
            <v>#VALUE!</v>
          </cell>
        </row>
        <row r="118">
          <cell r="M118" t="str">
            <v>HUTCHINSON</v>
          </cell>
          <cell r="N118" t="str">
            <v>Hutchinson County</v>
          </cell>
          <cell r="O118" t="e">
            <v>#VALUE!</v>
          </cell>
        </row>
        <row r="119">
          <cell r="M119" t="str">
            <v>IRION</v>
          </cell>
          <cell r="N119" t="str">
            <v>Irion County</v>
          </cell>
          <cell r="O119" t="e">
            <v>#VALUE!</v>
          </cell>
        </row>
        <row r="120">
          <cell r="M120" t="str">
            <v>JACK</v>
          </cell>
          <cell r="N120" t="str">
            <v>Jack County</v>
          </cell>
          <cell r="O120" t="e">
            <v>#VALUE!</v>
          </cell>
        </row>
        <row r="121">
          <cell r="M121" t="str">
            <v>JACKSON</v>
          </cell>
          <cell r="N121" t="str">
            <v>Jackson County</v>
          </cell>
          <cell r="O121" t="e">
            <v>#VALUE!</v>
          </cell>
        </row>
        <row r="122">
          <cell r="M122" t="str">
            <v>JASPER</v>
          </cell>
          <cell r="N122" t="str">
            <v>Jasper County</v>
          </cell>
          <cell r="O122" t="e">
            <v>#VALUE!</v>
          </cell>
        </row>
        <row r="123">
          <cell r="M123" t="str">
            <v>JEFF DAVIS</v>
          </cell>
          <cell r="N123" t="str">
            <v>Jeff Davis County</v>
          </cell>
          <cell r="O123" t="e">
            <v>#VALUE!</v>
          </cell>
        </row>
        <row r="124">
          <cell r="M124" t="str">
            <v>JEFFERSON</v>
          </cell>
          <cell r="N124" t="str">
            <v>Jefferson County</v>
          </cell>
          <cell r="O124" t="e">
            <v>#VALUE!</v>
          </cell>
        </row>
        <row r="125">
          <cell r="M125" t="str">
            <v>JIM HOGG</v>
          </cell>
          <cell r="N125" t="str">
            <v>Jim Hogg County</v>
          </cell>
          <cell r="O125" t="e">
            <v>#VALUE!</v>
          </cell>
        </row>
        <row r="126">
          <cell r="M126" t="str">
            <v>JIM WELLS</v>
          </cell>
          <cell r="N126" t="str">
            <v>Jim Wells County</v>
          </cell>
          <cell r="O126" t="e">
            <v>#VALUE!</v>
          </cell>
        </row>
        <row r="127">
          <cell r="M127" t="str">
            <v>JOHNSON</v>
          </cell>
          <cell r="N127" t="str">
            <v>Johnson County</v>
          </cell>
          <cell r="O127" t="e">
            <v>#VALUE!</v>
          </cell>
        </row>
        <row r="128">
          <cell r="M128" t="str">
            <v>JONES</v>
          </cell>
          <cell r="N128" t="str">
            <v>Jones County</v>
          </cell>
          <cell r="O128" t="e">
            <v>#VALUE!</v>
          </cell>
        </row>
        <row r="129">
          <cell r="M129" t="str">
            <v>KARNES</v>
          </cell>
          <cell r="N129" t="str">
            <v>Karnes County</v>
          </cell>
          <cell r="O129" t="e">
            <v>#VALUE!</v>
          </cell>
        </row>
        <row r="130">
          <cell r="M130" t="str">
            <v>KAUFMAN</v>
          </cell>
          <cell r="N130" t="str">
            <v>Kaufman County</v>
          </cell>
          <cell r="O130" t="e">
            <v>#VALUE!</v>
          </cell>
        </row>
        <row r="131">
          <cell r="M131" t="str">
            <v>KENDALL</v>
          </cell>
          <cell r="N131" t="str">
            <v>Kendall County</v>
          </cell>
          <cell r="O131" t="e">
            <v>#VALUE!</v>
          </cell>
        </row>
        <row r="132">
          <cell r="M132" t="str">
            <v>KENEDY</v>
          </cell>
          <cell r="N132" t="str">
            <v>Kenedy County</v>
          </cell>
          <cell r="O132" t="e">
            <v>#VALUE!</v>
          </cell>
        </row>
        <row r="133">
          <cell r="M133" t="str">
            <v>KENT</v>
          </cell>
          <cell r="N133" t="str">
            <v>Kent County</v>
          </cell>
          <cell r="O133" t="e">
            <v>#VALUE!</v>
          </cell>
        </row>
        <row r="134">
          <cell r="M134" t="str">
            <v>KERR</v>
          </cell>
          <cell r="N134" t="str">
            <v>Kerr County</v>
          </cell>
          <cell r="O134" t="e">
            <v>#VALUE!</v>
          </cell>
        </row>
        <row r="135">
          <cell r="M135" t="str">
            <v>KIMBLE</v>
          </cell>
          <cell r="N135" t="str">
            <v>Kimble County</v>
          </cell>
          <cell r="O135" t="e">
            <v>#VALUE!</v>
          </cell>
        </row>
        <row r="136">
          <cell r="M136" t="str">
            <v>KING</v>
          </cell>
          <cell r="N136" t="str">
            <v>King County</v>
          </cell>
          <cell r="O136" t="e">
            <v>#VALUE!</v>
          </cell>
        </row>
        <row r="137">
          <cell r="M137" t="str">
            <v>KINNEY</v>
          </cell>
          <cell r="N137" t="str">
            <v>Kinney County</v>
          </cell>
          <cell r="O137" t="e">
            <v>#VALUE!</v>
          </cell>
        </row>
        <row r="138">
          <cell r="M138" t="str">
            <v>KLEBERG</v>
          </cell>
          <cell r="N138" t="str">
            <v>Kleberg County</v>
          </cell>
          <cell r="O138" t="e">
            <v>#VALUE!</v>
          </cell>
        </row>
        <row r="139">
          <cell r="M139" t="str">
            <v>KNOX</v>
          </cell>
          <cell r="N139" t="str">
            <v>Knox County</v>
          </cell>
          <cell r="O139" t="e">
            <v>#VALUE!</v>
          </cell>
        </row>
        <row r="140">
          <cell r="M140" t="str">
            <v>LAMAR</v>
          </cell>
          <cell r="N140" t="str">
            <v>Lamar County</v>
          </cell>
          <cell r="O140" t="e">
            <v>#VALUE!</v>
          </cell>
        </row>
        <row r="141">
          <cell r="M141" t="str">
            <v>LAMAR</v>
          </cell>
          <cell r="N141" t="str">
            <v>Lamb County</v>
          </cell>
          <cell r="O141" t="e">
            <v>#VALUE!</v>
          </cell>
        </row>
        <row r="142">
          <cell r="M142" t="str">
            <v>LAMB</v>
          </cell>
          <cell r="N142" t="str">
            <v>Lampasas County</v>
          </cell>
          <cell r="O142" t="e">
            <v>#VALUE!</v>
          </cell>
        </row>
        <row r="143">
          <cell r="M143" t="str">
            <v>LAMPASAS</v>
          </cell>
          <cell r="N143" t="str">
            <v>La Salle County</v>
          </cell>
          <cell r="O143" t="e">
            <v>#VALUE!</v>
          </cell>
        </row>
        <row r="144">
          <cell r="M144" t="str">
            <v>LAVACA</v>
          </cell>
          <cell r="N144" t="str">
            <v>Lavaca County</v>
          </cell>
          <cell r="O144" t="e">
            <v>#VALUE!</v>
          </cell>
        </row>
        <row r="145">
          <cell r="M145" t="str">
            <v>LEE</v>
          </cell>
          <cell r="N145" t="str">
            <v>Lee County</v>
          </cell>
          <cell r="O145" t="e">
            <v>#VALUE!</v>
          </cell>
        </row>
        <row r="146">
          <cell r="M146" t="str">
            <v>LEON</v>
          </cell>
          <cell r="N146" t="str">
            <v>Leon County</v>
          </cell>
          <cell r="O146" t="e">
            <v>#VALUE!</v>
          </cell>
        </row>
        <row r="147">
          <cell r="M147" t="str">
            <v>LIBERTY</v>
          </cell>
          <cell r="N147" t="str">
            <v>Liberty County</v>
          </cell>
          <cell r="O147" t="e">
            <v>#VALUE!</v>
          </cell>
        </row>
        <row r="148">
          <cell r="M148" t="str">
            <v>LIMESTONE</v>
          </cell>
          <cell r="N148" t="str">
            <v>Limestone County</v>
          </cell>
          <cell r="O148" t="e">
            <v>#VALUE!</v>
          </cell>
        </row>
        <row r="149">
          <cell r="M149" t="str">
            <v>LIPSCOMB</v>
          </cell>
          <cell r="N149" t="str">
            <v>Lipscomb County</v>
          </cell>
          <cell r="O149" t="e">
            <v>#VALUE!</v>
          </cell>
        </row>
        <row r="150">
          <cell r="M150" t="str">
            <v>LIVE OAK</v>
          </cell>
          <cell r="N150" t="str">
            <v>Live Oak County</v>
          </cell>
          <cell r="O150" t="e">
            <v>#VALUE!</v>
          </cell>
        </row>
        <row r="151">
          <cell r="M151" t="str">
            <v>LLANO</v>
          </cell>
          <cell r="N151" t="str">
            <v>Llano County</v>
          </cell>
          <cell r="O151" t="e">
            <v>#VALUE!</v>
          </cell>
        </row>
        <row r="152">
          <cell r="M152" t="str">
            <v>LOVING</v>
          </cell>
          <cell r="N152" t="str">
            <v>Loving County</v>
          </cell>
          <cell r="O152" t="e">
            <v>#VALUE!</v>
          </cell>
        </row>
        <row r="153">
          <cell r="M153" t="str">
            <v>LUBBOCK</v>
          </cell>
          <cell r="N153" t="str">
            <v>Lubbock County</v>
          </cell>
          <cell r="O153" t="e">
            <v>#VALUE!</v>
          </cell>
        </row>
        <row r="154">
          <cell r="M154" t="str">
            <v>LYNN</v>
          </cell>
          <cell r="N154" t="str">
            <v>Lynn County</v>
          </cell>
          <cell r="O154" t="e">
            <v>#VALUE!</v>
          </cell>
        </row>
        <row r="155">
          <cell r="M155" t="str">
            <v>MADISON</v>
          </cell>
          <cell r="N155" t="str">
            <v>Madison County</v>
          </cell>
          <cell r="O155" t="e">
            <v>#VALUE!</v>
          </cell>
        </row>
        <row r="156">
          <cell r="M156" t="str">
            <v>MARION</v>
          </cell>
          <cell r="N156" t="str">
            <v>Marion County</v>
          </cell>
          <cell r="O156" t="e">
            <v>#VALUE!</v>
          </cell>
        </row>
        <row r="157">
          <cell r="M157" t="str">
            <v>MARTIN</v>
          </cell>
          <cell r="N157" t="str">
            <v>Martin County</v>
          </cell>
          <cell r="O157" t="e">
            <v>#VALUE!</v>
          </cell>
        </row>
        <row r="158">
          <cell r="M158" t="str">
            <v>MASON</v>
          </cell>
          <cell r="N158" t="str">
            <v>Mason County</v>
          </cell>
          <cell r="O158" t="e">
            <v>#VALUE!</v>
          </cell>
        </row>
        <row r="159">
          <cell r="M159" t="str">
            <v>MATAGORDA</v>
          </cell>
          <cell r="N159" t="str">
            <v>Matagorda County</v>
          </cell>
          <cell r="O159" t="e">
            <v>#VALUE!</v>
          </cell>
        </row>
        <row r="160">
          <cell r="M160" t="str">
            <v>MAVERICK</v>
          </cell>
          <cell r="N160" t="str">
            <v>Maverick County</v>
          </cell>
          <cell r="O160" t="e">
            <v>#VALUE!</v>
          </cell>
        </row>
        <row r="161">
          <cell r="M161" t="str">
            <v>MCCULLOCH</v>
          </cell>
          <cell r="N161" t="str">
            <v>McCulloch County</v>
          </cell>
          <cell r="O161" t="e">
            <v>#VALUE!</v>
          </cell>
        </row>
        <row r="162">
          <cell r="M162" t="str">
            <v>MCLENNAN</v>
          </cell>
          <cell r="N162" t="str">
            <v>McLennan County</v>
          </cell>
          <cell r="O162" t="e">
            <v>#VALUE!</v>
          </cell>
        </row>
        <row r="163">
          <cell r="M163" t="str">
            <v>MCMULLEN</v>
          </cell>
          <cell r="N163" t="str">
            <v>McMullen County</v>
          </cell>
          <cell r="O163" t="e">
            <v>#VALUE!</v>
          </cell>
        </row>
        <row r="164">
          <cell r="M164" t="str">
            <v>MEDINA</v>
          </cell>
          <cell r="N164" t="str">
            <v>Medina County</v>
          </cell>
          <cell r="O164" t="e">
            <v>#VALUE!</v>
          </cell>
        </row>
        <row r="165">
          <cell r="M165" t="str">
            <v>MENARD</v>
          </cell>
          <cell r="N165" t="str">
            <v>Menard County</v>
          </cell>
          <cell r="O165" t="e">
            <v>#VALUE!</v>
          </cell>
        </row>
        <row r="166">
          <cell r="M166" t="str">
            <v>MIDLAND</v>
          </cell>
          <cell r="N166" t="str">
            <v>Midland County</v>
          </cell>
          <cell r="O166" t="e">
            <v>#VALUE!</v>
          </cell>
        </row>
        <row r="167">
          <cell r="M167" t="str">
            <v>MILAM</v>
          </cell>
          <cell r="N167" t="str">
            <v>Milam County</v>
          </cell>
          <cell r="O167" t="e">
            <v>#VALUE!</v>
          </cell>
        </row>
        <row r="168">
          <cell r="M168" t="str">
            <v>MILLS</v>
          </cell>
          <cell r="N168" t="str">
            <v>Mills County</v>
          </cell>
          <cell r="O168" t="e">
            <v>#VALUE!</v>
          </cell>
        </row>
        <row r="169">
          <cell r="M169" t="str">
            <v>MITCHELL</v>
          </cell>
          <cell r="N169" t="str">
            <v>Mitchell County</v>
          </cell>
          <cell r="O169" t="e">
            <v>#VALUE!</v>
          </cell>
        </row>
        <row r="170">
          <cell r="M170" t="str">
            <v>MONTAGUE</v>
          </cell>
          <cell r="N170" t="str">
            <v>Montague County</v>
          </cell>
          <cell r="O170" t="e">
            <v>#VALUE!</v>
          </cell>
        </row>
        <row r="171">
          <cell r="M171" t="str">
            <v>MONTGOMERY</v>
          </cell>
          <cell r="N171" t="str">
            <v>Montgomery County</v>
          </cell>
          <cell r="O171" t="e">
            <v>#VALUE!</v>
          </cell>
        </row>
        <row r="172">
          <cell r="M172" t="str">
            <v>MOORE</v>
          </cell>
          <cell r="N172" t="str">
            <v>Moore County</v>
          </cell>
          <cell r="O172" t="e">
            <v>#VALUE!</v>
          </cell>
        </row>
        <row r="173">
          <cell r="M173" t="str">
            <v>MORRIS</v>
          </cell>
          <cell r="N173" t="str">
            <v>Morris County</v>
          </cell>
          <cell r="O173" t="e">
            <v>#VALUE!</v>
          </cell>
        </row>
        <row r="174">
          <cell r="M174" t="str">
            <v>MOTLEY</v>
          </cell>
          <cell r="N174" t="str">
            <v>Motley County</v>
          </cell>
          <cell r="O174" t="e">
            <v>#VALUE!</v>
          </cell>
        </row>
        <row r="175">
          <cell r="M175" t="str">
            <v>NACOGDOCHES</v>
          </cell>
          <cell r="N175" t="str">
            <v>Nacogdoches County</v>
          </cell>
          <cell r="O175" t="e">
            <v>#VALUE!</v>
          </cell>
        </row>
        <row r="176">
          <cell r="M176" t="str">
            <v>NAVARRO</v>
          </cell>
          <cell r="N176" t="str">
            <v>Navarro County</v>
          </cell>
          <cell r="O176" t="e">
            <v>#VALUE!</v>
          </cell>
        </row>
        <row r="177">
          <cell r="M177" t="str">
            <v>NEWTON</v>
          </cell>
          <cell r="N177" t="str">
            <v>Newton County</v>
          </cell>
          <cell r="O177" t="e">
            <v>#VALUE!</v>
          </cell>
        </row>
        <row r="178">
          <cell r="M178" t="str">
            <v>NOLAN</v>
          </cell>
          <cell r="N178" t="str">
            <v>Nolan County</v>
          </cell>
          <cell r="O178" t="e">
            <v>#VALUE!</v>
          </cell>
        </row>
        <row r="179">
          <cell r="M179" t="str">
            <v>NUECES</v>
          </cell>
          <cell r="N179" t="str">
            <v>Nueces County</v>
          </cell>
          <cell r="O179" t="e">
            <v>#VALUE!</v>
          </cell>
        </row>
        <row r="180">
          <cell r="M180" t="str">
            <v>OCHILTREE</v>
          </cell>
          <cell r="N180" t="str">
            <v>Ochiltree County</v>
          </cell>
          <cell r="O180" t="e">
            <v>#VALUE!</v>
          </cell>
        </row>
        <row r="181">
          <cell r="M181" t="str">
            <v>OLDHAM</v>
          </cell>
          <cell r="N181" t="str">
            <v>Oldham County</v>
          </cell>
          <cell r="O181" t="e">
            <v>#VALUE!</v>
          </cell>
        </row>
        <row r="182">
          <cell r="M182" t="str">
            <v>ORANGE</v>
          </cell>
          <cell r="N182" t="str">
            <v>Orange County</v>
          </cell>
          <cell r="O182" t="e">
            <v>#VALUE!</v>
          </cell>
        </row>
        <row r="183">
          <cell r="M183" t="str">
            <v>PALO PINTO</v>
          </cell>
          <cell r="N183" t="str">
            <v>Palo Pinto County</v>
          </cell>
          <cell r="O183" t="e">
            <v>#VALUE!</v>
          </cell>
        </row>
        <row r="184">
          <cell r="M184" t="str">
            <v>PANOLA</v>
          </cell>
          <cell r="N184" t="str">
            <v>Panola County</v>
          </cell>
          <cell r="O184" t="e">
            <v>#VALUE!</v>
          </cell>
        </row>
        <row r="185">
          <cell r="M185" t="str">
            <v>PARKER</v>
          </cell>
          <cell r="N185" t="str">
            <v>Parker County</v>
          </cell>
          <cell r="O185" t="e">
            <v>#VALUE!</v>
          </cell>
        </row>
        <row r="186">
          <cell r="M186" t="str">
            <v>PARMER</v>
          </cell>
          <cell r="N186" t="str">
            <v>Parmer County</v>
          </cell>
          <cell r="O186" t="e">
            <v>#VALUE!</v>
          </cell>
        </row>
        <row r="187">
          <cell r="M187" t="str">
            <v>PECOS</v>
          </cell>
          <cell r="N187" t="str">
            <v>Pecos County</v>
          </cell>
          <cell r="O187" t="e">
            <v>#VALUE!</v>
          </cell>
        </row>
        <row r="188">
          <cell r="M188" t="str">
            <v>POLK</v>
          </cell>
          <cell r="N188" t="str">
            <v>Polk County</v>
          </cell>
          <cell r="O188" t="e">
            <v>#VALUE!</v>
          </cell>
        </row>
        <row r="189">
          <cell r="M189" t="str">
            <v>POTTER</v>
          </cell>
          <cell r="N189" t="str">
            <v>Potter County</v>
          </cell>
          <cell r="O189" t="e">
            <v>#VALUE!</v>
          </cell>
        </row>
        <row r="190">
          <cell r="M190" t="str">
            <v>PRESIDIO</v>
          </cell>
          <cell r="N190" t="str">
            <v>Presidio County</v>
          </cell>
          <cell r="O190" t="e">
            <v>#VALUE!</v>
          </cell>
        </row>
        <row r="191">
          <cell r="M191" t="str">
            <v>RAINS</v>
          </cell>
          <cell r="N191" t="str">
            <v>Rains County</v>
          </cell>
          <cell r="O191" t="e">
            <v>#VALUE!</v>
          </cell>
        </row>
        <row r="192">
          <cell r="M192" t="str">
            <v>RANDALL</v>
          </cell>
          <cell r="N192" t="str">
            <v>Randall County</v>
          </cell>
          <cell r="O192" t="e">
            <v>#VALUE!</v>
          </cell>
        </row>
        <row r="193">
          <cell r="M193" t="str">
            <v>REAGAN</v>
          </cell>
          <cell r="N193" t="str">
            <v>Reagan County</v>
          </cell>
          <cell r="O193" t="e">
            <v>#VALUE!</v>
          </cell>
        </row>
        <row r="194">
          <cell r="M194" t="str">
            <v>REAL</v>
          </cell>
          <cell r="N194" t="str">
            <v>Real County</v>
          </cell>
          <cell r="O194" t="e">
            <v>#VALUE!</v>
          </cell>
        </row>
        <row r="195">
          <cell r="M195" t="str">
            <v>RED RIVER</v>
          </cell>
          <cell r="N195" t="str">
            <v>Red River County</v>
          </cell>
          <cell r="O195" t="e">
            <v>#VALUE!</v>
          </cell>
        </row>
        <row r="196">
          <cell r="M196" t="str">
            <v>REEVES</v>
          </cell>
          <cell r="N196" t="str">
            <v>Reeves County</v>
          </cell>
          <cell r="O196" t="e">
            <v>#VALUE!</v>
          </cell>
        </row>
        <row r="197">
          <cell r="M197" t="str">
            <v>REFUGIO</v>
          </cell>
          <cell r="N197" t="str">
            <v>Refugio County</v>
          </cell>
          <cell r="O197" t="e">
            <v>#VALUE!</v>
          </cell>
        </row>
        <row r="198">
          <cell r="M198" t="str">
            <v>ROBERTS</v>
          </cell>
          <cell r="N198" t="str">
            <v>Roberts County</v>
          </cell>
          <cell r="O198" t="e">
            <v>#VALUE!</v>
          </cell>
        </row>
        <row r="199">
          <cell r="M199" t="str">
            <v>ROBERTSON</v>
          </cell>
          <cell r="N199" t="str">
            <v>Robertson County</v>
          </cell>
          <cell r="O199" t="e">
            <v>#VALUE!</v>
          </cell>
        </row>
        <row r="200">
          <cell r="M200" t="str">
            <v>ROCKWALL</v>
          </cell>
          <cell r="N200" t="str">
            <v>Rockwall County</v>
          </cell>
          <cell r="O200" t="e">
            <v>#VALUE!</v>
          </cell>
        </row>
        <row r="201">
          <cell r="M201" t="str">
            <v>RUNNELS</v>
          </cell>
          <cell r="N201" t="str">
            <v>Runnels County</v>
          </cell>
          <cell r="O201" t="e">
            <v>#VALUE!</v>
          </cell>
        </row>
        <row r="202">
          <cell r="M202" t="str">
            <v>RUSK</v>
          </cell>
          <cell r="N202" t="str">
            <v>Rusk County</v>
          </cell>
          <cell r="O202" t="e">
            <v>#VALUE!</v>
          </cell>
        </row>
        <row r="203">
          <cell r="M203" t="str">
            <v>SABINE</v>
          </cell>
          <cell r="N203" t="str">
            <v>Sabine County</v>
          </cell>
          <cell r="O203" t="e">
            <v>#VALUE!</v>
          </cell>
        </row>
        <row r="204">
          <cell r="M204" t="str">
            <v>SAN AUGUSTINE</v>
          </cell>
          <cell r="N204" t="str">
            <v>San Augustine County</v>
          </cell>
          <cell r="O204" t="e">
            <v>#VALUE!</v>
          </cell>
        </row>
        <row r="205">
          <cell r="M205" t="str">
            <v>SAN JACINTO</v>
          </cell>
          <cell r="N205" t="str">
            <v>San Jacinto County</v>
          </cell>
          <cell r="O205" t="e">
            <v>#VALUE!</v>
          </cell>
        </row>
        <row r="206">
          <cell r="M206" t="str">
            <v>SAN PATRICIO</v>
          </cell>
          <cell r="N206" t="str">
            <v>San Patricio County</v>
          </cell>
          <cell r="O206" t="e">
            <v>#VALUE!</v>
          </cell>
        </row>
        <row r="207">
          <cell r="M207" t="str">
            <v>SAN SABA</v>
          </cell>
          <cell r="N207" t="str">
            <v>San Saba County</v>
          </cell>
          <cell r="O207" t="e">
            <v>#VALUE!</v>
          </cell>
        </row>
        <row r="208">
          <cell r="M208" t="str">
            <v>SCHLEICHER</v>
          </cell>
          <cell r="N208" t="str">
            <v>Schleicher County</v>
          </cell>
          <cell r="O208" t="e">
            <v>#VALUE!</v>
          </cell>
        </row>
        <row r="209">
          <cell r="M209" t="str">
            <v>SCURRY</v>
          </cell>
          <cell r="N209" t="str">
            <v>Scurry County</v>
          </cell>
          <cell r="O209" t="e">
            <v>#VALUE!</v>
          </cell>
        </row>
        <row r="210">
          <cell r="M210" t="str">
            <v>SHACKELFORD</v>
          </cell>
          <cell r="N210" t="str">
            <v>Shackelford County</v>
          </cell>
          <cell r="O210" t="e">
            <v>#VALUE!</v>
          </cell>
        </row>
        <row r="211">
          <cell r="M211" t="str">
            <v>SHELBY</v>
          </cell>
          <cell r="N211" t="str">
            <v>Shelby County</v>
          </cell>
          <cell r="O211" t="e">
            <v>#VALUE!</v>
          </cell>
        </row>
        <row r="212">
          <cell r="M212" t="str">
            <v>SHERMAN</v>
          </cell>
          <cell r="N212" t="str">
            <v>Sherman County</v>
          </cell>
          <cell r="O212" t="e">
            <v>#VALUE!</v>
          </cell>
        </row>
        <row r="213">
          <cell r="M213" t="str">
            <v>SMITH</v>
          </cell>
          <cell r="N213" t="str">
            <v>Smith County</v>
          </cell>
          <cell r="O213" t="e">
            <v>#VALUE!</v>
          </cell>
        </row>
        <row r="214">
          <cell r="M214" t="str">
            <v>SOMERVELL</v>
          </cell>
          <cell r="N214" t="str">
            <v>Somervell County</v>
          </cell>
          <cell r="O214" t="e">
            <v>#VALUE!</v>
          </cell>
        </row>
        <row r="215">
          <cell r="M215" t="str">
            <v>STARR</v>
          </cell>
          <cell r="N215" t="str">
            <v>Starr County</v>
          </cell>
          <cell r="O215" t="e">
            <v>#VALUE!</v>
          </cell>
        </row>
        <row r="216">
          <cell r="M216" t="str">
            <v>STEPHENS</v>
          </cell>
          <cell r="N216" t="str">
            <v>Stephens County</v>
          </cell>
          <cell r="O216" t="e">
            <v>#VALUE!</v>
          </cell>
        </row>
        <row r="217">
          <cell r="M217" t="str">
            <v>STERLING</v>
          </cell>
          <cell r="N217" t="str">
            <v>Sterling County</v>
          </cell>
          <cell r="O217" t="e">
            <v>#VALUE!</v>
          </cell>
        </row>
        <row r="218">
          <cell r="M218" t="str">
            <v>STONEWALL</v>
          </cell>
          <cell r="N218" t="str">
            <v>Stonewall County</v>
          </cell>
          <cell r="O218" t="e">
            <v>#VALUE!</v>
          </cell>
        </row>
        <row r="219">
          <cell r="M219" t="str">
            <v>SUTTON</v>
          </cell>
          <cell r="N219" t="str">
            <v>Sutton County</v>
          </cell>
          <cell r="O219" t="e">
            <v>#VALUE!</v>
          </cell>
        </row>
        <row r="220">
          <cell r="M220" t="str">
            <v>SWISHER</v>
          </cell>
          <cell r="N220" t="str">
            <v>Swisher County</v>
          </cell>
          <cell r="O220" t="e">
            <v>#VALUE!</v>
          </cell>
        </row>
        <row r="221">
          <cell r="M221" t="str">
            <v>TARRANT</v>
          </cell>
          <cell r="N221" t="str">
            <v>Tarrant County</v>
          </cell>
          <cell r="O221" t="e">
            <v>#VALUE!</v>
          </cell>
        </row>
        <row r="222">
          <cell r="M222" t="str">
            <v>TAYLOR</v>
          </cell>
          <cell r="N222" t="str">
            <v>Taylor County</v>
          </cell>
          <cell r="O222" t="e">
            <v>#VALUE!</v>
          </cell>
        </row>
        <row r="223">
          <cell r="M223" t="str">
            <v>TERRELL</v>
          </cell>
          <cell r="N223" t="str">
            <v>Terrell County</v>
          </cell>
          <cell r="O223" t="e">
            <v>#VALUE!</v>
          </cell>
        </row>
        <row r="224">
          <cell r="M224" t="str">
            <v>TERRY</v>
          </cell>
          <cell r="N224" t="str">
            <v>Terry County</v>
          </cell>
          <cell r="O224" t="e">
            <v>#VALUE!</v>
          </cell>
        </row>
        <row r="225">
          <cell r="M225" t="str">
            <v>THROCKMORTON</v>
          </cell>
          <cell r="N225" t="str">
            <v>Throckmorton County</v>
          </cell>
          <cell r="O225" t="e">
            <v>#VALUE!</v>
          </cell>
        </row>
        <row r="226">
          <cell r="M226" t="str">
            <v>TITUS</v>
          </cell>
          <cell r="N226" t="str">
            <v>Titus County</v>
          </cell>
          <cell r="O226" t="e">
            <v>#VALUE!</v>
          </cell>
        </row>
        <row r="227">
          <cell r="M227" t="str">
            <v>TOM GREEN</v>
          </cell>
          <cell r="N227" t="str">
            <v>Tom Green County</v>
          </cell>
          <cell r="O227" t="e">
            <v>#VALUE!</v>
          </cell>
        </row>
        <row r="228">
          <cell r="M228" t="str">
            <v>TRAVIS</v>
          </cell>
          <cell r="N228" t="str">
            <v>Travis County</v>
          </cell>
          <cell r="O228" t="e">
            <v>#VALUE!</v>
          </cell>
        </row>
        <row r="229">
          <cell r="M229" t="str">
            <v>TRINITY</v>
          </cell>
          <cell r="N229" t="str">
            <v>Trinity County</v>
          </cell>
          <cell r="O229" t="e">
            <v>#VALUE!</v>
          </cell>
        </row>
        <row r="230">
          <cell r="M230" t="str">
            <v>TYLER</v>
          </cell>
          <cell r="N230" t="str">
            <v>Tyler County</v>
          </cell>
          <cell r="O230" t="e">
            <v>#VALUE!</v>
          </cell>
        </row>
        <row r="231">
          <cell r="M231" t="str">
            <v>UPSHUR</v>
          </cell>
          <cell r="N231" t="str">
            <v>Upshur County</v>
          </cell>
          <cell r="O231" t="e">
            <v>#VALUE!</v>
          </cell>
        </row>
        <row r="232">
          <cell r="M232" t="str">
            <v>UPTON</v>
          </cell>
          <cell r="N232" t="str">
            <v>Upton County</v>
          </cell>
          <cell r="O232" t="e">
            <v>#VALUE!</v>
          </cell>
        </row>
        <row r="233">
          <cell r="M233" t="str">
            <v>UVALDE</v>
          </cell>
          <cell r="N233" t="str">
            <v>Uvalde County</v>
          </cell>
          <cell r="O233" t="e">
            <v>#VALUE!</v>
          </cell>
        </row>
        <row r="234">
          <cell r="M234" t="str">
            <v>VAL VERDE</v>
          </cell>
          <cell r="N234" t="str">
            <v>Val Verde County</v>
          </cell>
          <cell r="O234" t="e">
            <v>#VALUE!</v>
          </cell>
        </row>
        <row r="235">
          <cell r="M235" t="str">
            <v>VAN ZANDT</v>
          </cell>
          <cell r="N235" t="str">
            <v>Van Zandt County</v>
          </cell>
          <cell r="O235" t="e">
            <v>#VALUE!</v>
          </cell>
        </row>
        <row r="236">
          <cell r="M236" t="str">
            <v>VICTORIA</v>
          </cell>
          <cell r="N236" t="str">
            <v>Victoria County</v>
          </cell>
          <cell r="O236" t="e">
            <v>#VALUE!</v>
          </cell>
        </row>
        <row r="237">
          <cell r="M237" t="str">
            <v>WALKER</v>
          </cell>
          <cell r="N237" t="str">
            <v>Walker County</v>
          </cell>
          <cell r="O237" t="e">
            <v>#VALUE!</v>
          </cell>
        </row>
        <row r="238">
          <cell r="M238" t="str">
            <v>WALLER</v>
          </cell>
          <cell r="N238" t="str">
            <v>Waller County</v>
          </cell>
          <cell r="O238" t="e">
            <v>#VALUE!</v>
          </cell>
        </row>
        <row r="239">
          <cell r="M239" t="str">
            <v>WARD</v>
          </cell>
          <cell r="N239" t="str">
            <v>Ward County</v>
          </cell>
          <cell r="O239" t="e">
            <v>#VALUE!</v>
          </cell>
        </row>
        <row r="240">
          <cell r="M240" t="str">
            <v>WASHINGTON</v>
          </cell>
          <cell r="N240" t="str">
            <v>Washington County</v>
          </cell>
          <cell r="O240" t="e">
            <v>#VALUE!</v>
          </cell>
        </row>
        <row r="241">
          <cell r="M241" t="str">
            <v>WEBB</v>
          </cell>
          <cell r="N241" t="str">
            <v>Webb County</v>
          </cell>
          <cell r="O241" t="e">
            <v>#VALUE!</v>
          </cell>
        </row>
        <row r="242">
          <cell r="M242" t="str">
            <v>WHARTON</v>
          </cell>
          <cell r="N242" t="str">
            <v>Wharton County</v>
          </cell>
          <cell r="O242" t="e">
            <v>#VALUE!</v>
          </cell>
        </row>
        <row r="243">
          <cell r="M243" t="str">
            <v>WHEELER</v>
          </cell>
          <cell r="N243" t="str">
            <v>Wheeler County</v>
          </cell>
          <cell r="O243" t="e">
            <v>#VALUE!</v>
          </cell>
        </row>
        <row r="244">
          <cell r="M244" t="str">
            <v>WICHITA</v>
          </cell>
          <cell r="N244" t="str">
            <v>Wichita County</v>
          </cell>
          <cell r="O244" t="e">
            <v>#VALUE!</v>
          </cell>
        </row>
        <row r="245">
          <cell r="M245" t="str">
            <v>WILBARGER</v>
          </cell>
          <cell r="N245" t="str">
            <v>Wilbarger County</v>
          </cell>
          <cell r="O245" t="e">
            <v>#VALUE!</v>
          </cell>
        </row>
        <row r="246">
          <cell r="M246" t="str">
            <v>WILLACY</v>
          </cell>
          <cell r="N246" t="str">
            <v>Willacy County</v>
          </cell>
          <cell r="O246" t="e">
            <v>#VALUE!</v>
          </cell>
        </row>
        <row r="247">
          <cell r="M247" t="str">
            <v>WILLIAMSON</v>
          </cell>
          <cell r="N247" t="str">
            <v>Williamson County</v>
          </cell>
          <cell r="O247" t="e">
            <v>#VALUE!</v>
          </cell>
        </row>
        <row r="248">
          <cell r="M248" t="str">
            <v>WILSON</v>
          </cell>
          <cell r="N248" t="str">
            <v>Wilson County</v>
          </cell>
          <cell r="O248" t="e">
            <v>#VALUE!</v>
          </cell>
        </row>
        <row r="249">
          <cell r="M249" t="str">
            <v>WINKLER</v>
          </cell>
          <cell r="N249" t="str">
            <v>Winkler County</v>
          </cell>
          <cell r="O249" t="e">
            <v>#VALUE!</v>
          </cell>
        </row>
        <row r="250">
          <cell r="M250" t="str">
            <v>WISE</v>
          </cell>
          <cell r="N250" t="str">
            <v>Wise County</v>
          </cell>
          <cell r="O250" t="e">
            <v>#VALUE!</v>
          </cell>
        </row>
        <row r="251">
          <cell r="M251" t="str">
            <v>WOOD</v>
          </cell>
          <cell r="N251" t="str">
            <v>Wood County</v>
          </cell>
          <cell r="O251" t="e">
            <v>#VALUE!</v>
          </cell>
        </row>
        <row r="252">
          <cell r="M252" t="str">
            <v>YOAKUM</v>
          </cell>
          <cell r="N252" t="str">
            <v>Yoakum County</v>
          </cell>
          <cell r="O252" t="e">
            <v>#VALUE!</v>
          </cell>
        </row>
        <row r="253">
          <cell r="M253" t="str">
            <v>YOUNG</v>
          </cell>
          <cell r="N253" t="str">
            <v>Young County</v>
          </cell>
          <cell r="O253" t="e">
            <v>#VALUE!</v>
          </cell>
        </row>
        <row r="254">
          <cell r="M254" t="str">
            <v>ZAPATA</v>
          </cell>
          <cell r="N254" t="str">
            <v>Zapata County</v>
          </cell>
          <cell r="O254" t="e">
            <v>#VALUE!</v>
          </cell>
        </row>
        <row r="255">
          <cell r="M255" t="str">
            <v>ZAVALA</v>
          </cell>
          <cell r="N255" t="str">
            <v>Zavala County</v>
          </cell>
          <cell r="O255" t="e">
            <v>#VALUE!</v>
          </cell>
        </row>
      </sheetData>
      <sheetData sheetId="4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A.Summary"/>
      <sheetName val="PBA.Summary"/>
      <sheetName val="UB Cost Per Option (2)"/>
      <sheetName val="Add.Rep.Tables"/>
      <sheetName val="Op.Plan.Tables"/>
      <sheetName val="Capex"/>
      <sheetName val="CVA.Financials"/>
      <sheetName val="CVA.Assumptions"/>
      <sheetName val="CVA.Charts"/>
      <sheetName val="Inputs-CaseSpecific"/>
      <sheetName val="Inputs-Constant"/>
      <sheetName val="CSA"/>
      <sheetName val="Calc-Diversion"/>
      <sheetName val="Calc-BCA"/>
      <sheetName val="Calc-B1"/>
      <sheetName val="Calc-B2"/>
      <sheetName val="Calc-B3"/>
      <sheetName val="Calc-B4"/>
      <sheetName val="Calc-B5"/>
      <sheetName val="Calc-B6"/>
      <sheetName val="Calc-Costs"/>
      <sheetName val="UB Cost Per Option"/>
      <sheetName val="CVA.DS"/>
      <sheetName val="Alt.2 Capital Costs"/>
      <sheetName val="Alt.3 Capital Costs"/>
      <sheetName val="Congestion Costs"/>
      <sheetName val="Accident Costs"/>
      <sheetName val="Emission Costs"/>
      <sheetName val="Rail Emission"/>
      <sheetName val="Truck Emission"/>
      <sheetName val="Inventory Costs"/>
      <sheetName val="CPI and Discount Rate"/>
    </sheetNames>
    <sheetDataSet>
      <sheetData sheetId="0"/>
      <sheetData sheetId="1"/>
      <sheetData sheetId="2"/>
      <sheetData sheetId="3"/>
      <sheetData sheetId="4"/>
      <sheetData sheetId="5"/>
      <sheetData sheetId="6"/>
      <sheetData sheetId="7">
        <row r="3">
          <cell r="C3">
            <v>3.2840000000000001E-2</v>
          </cell>
        </row>
        <row r="4">
          <cell r="C4">
            <v>2020</v>
          </cell>
        </row>
        <row r="5">
          <cell r="C5">
            <v>773513.62250000006</v>
          </cell>
        </row>
      </sheetData>
      <sheetData sheetId="8"/>
      <sheetData sheetId="9">
        <row r="103">
          <cell r="J103">
            <v>70</v>
          </cell>
        </row>
      </sheetData>
      <sheetData sheetId="10">
        <row r="6">
          <cell r="D6">
            <v>2014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Results"/>
      <sheetName val="Inputs"/>
      <sheetName val="Reporting"/>
      <sheetName val="USDOT Guidance"/>
      <sheetName val="Sensitivity"/>
      <sheetName val="Capital.Costs"/>
      <sheetName val="AT.Benefits"/>
      <sheetName val="Emissions.Benefits"/>
      <sheetName val="Travel.Time.Benefits"/>
      <sheetName val="Safety.Benefits"/>
      <sheetName val="Time.Savings"/>
      <sheetName val="Safety.Calcs"/>
      <sheetName val="Cycling.Traffic"/>
      <sheetName val="Pedestrian.Traffic"/>
      <sheetName val="VMT"/>
      <sheetName val="AADT"/>
      <sheetName val="CMFs"/>
      <sheetName val="Transit.Ridership"/>
      <sheetName val="Facility.Improvements"/>
      <sheetName val="Project List"/>
      <sheetName val="Cost Summary"/>
      <sheetName val="TT.Data"/>
      <sheetName val="Trip Length"/>
      <sheetName val="Ridership by Project"/>
      <sheetName val="FLM_Projects_AADT_Table"/>
      <sheetName val="BCAs"/>
      <sheetName val="Summary_byYear"/>
      <sheetName val="4Trails_ByYear"/>
      <sheetName val="Strava"/>
      <sheetName val="BRT"/>
      <sheetName val="LRT"/>
      <sheetName val="CR"/>
      <sheetName val="Inflation"/>
      <sheetName val="Emissions"/>
    </sheetNames>
    <sheetDataSet>
      <sheetData sheetId="0">
        <row r="4">
          <cell r="B4" t="str">
            <v>Utah Department of Transportation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ondtest_input"/>
      <sheetName val="BLCC_OutputDeck"/>
      <sheetName val="BLCC_InputDeck"/>
      <sheetName val="REVIEW"/>
      <sheetName val="Intro"/>
      <sheetName val="Project Information"/>
      <sheetName val="BLCC Data Entry"/>
      <sheetName val="GDAM 1.1-S&amp;L"/>
      <sheetName val="GDAM 1.1-Inputs"/>
      <sheetName val="GDAM 1.1-LCCA &amp; SROI"/>
      <sheetName val="GDAM 1.1-BLCC Outputs"/>
      <sheetName val="GDAM 1.1-Simplified Outputs"/>
      <sheetName val="GDAM 2.1-S&amp;L"/>
      <sheetName val="GDAM 2.1-Inputs"/>
      <sheetName val="GDAM 2.1-LCCA &amp; SROI"/>
      <sheetName val="GDAM 2.1-BLCC Outputs"/>
      <sheetName val="GDAM 2.1-Simplified Outputs"/>
      <sheetName val="GDAM 5.2-S&amp;L"/>
      <sheetName val="GDAM 5.2-Inputs"/>
      <sheetName val="GDAM 5.2-LCCA &amp; SROI"/>
      <sheetName val="GDAM 5.2-Outputs"/>
      <sheetName val="Totals"/>
      <sheetName val="Assumptions"/>
      <sheetName val="List&amp;Lookups"/>
      <sheetName val="State_GHG_Power_Data"/>
      <sheetName val="Electricity EmissionConversions"/>
      <sheetName val="Gas_Oil_Conversion"/>
      <sheetName val="EMISSION COSTS"/>
      <sheetName val="PRICES and ECI"/>
      <sheetName val="ACCIDENTS"/>
      <sheetName val="Conversion Factors"/>
      <sheetName val="WaterSourcesShare"/>
      <sheetName val="HUC-State"/>
      <sheetName val="WasteEmissions"/>
      <sheetName val="ManfDistance"/>
      <sheetName val="SROI Terms"/>
      <sheetName val="SROI Instructions"/>
      <sheetName val="Electricity_Prices"/>
      <sheetName val="TruckEmiss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
          <cell r="C2" t="str">
            <v>grams</v>
          </cell>
        </row>
        <row r="3">
          <cell r="B3" t="str">
            <v>grams</v>
          </cell>
          <cell r="C3">
            <v>1</v>
          </cell>
          <cell r="D3">
            <v>1E-3</v>
          </cell>
          <cell r="E3">
            <v>2.20462262E-3</v>
          </cell>
          <cell r="F3">
            <v>9.8420643926904964E-7</v>
          </cell>
          <cell r="G3">
            <v>1.1023113595279991E-6</v>
          </cell>
          <cell r="H3">
            <v>9.9999999999999995E-7</v>
          </cell>
          <cell r="I3" t="str">
            <v>N/A</v>
          </cell>
          <cell r="J3" t="str">
            <v>N/A</v>
          </cell>
          <cell r="K3" t="str">
            <v>N/A</v>
          </cell>
          <cell r="L3" t="str">
            <v>N/A</v>
          </cell>
          <cell r="M3" t="str">
            <v>N/A</v>
          </cell>
          <cell r="N3" t="str">
            <v>N/A</v>
          </cell>
          <cell r="O3" t="str">
            <v>N/A</v>
          </cell>
          <cell r="P3" t="str">
            <v>N/A</v>
          </cell>
          <cell r="Q3" t="str">
            <v>N/A</v>
          </cell>
          <cell r="R3" t="str">
            <v>N/A</v>
          </cell>
          <cell r="S3" t="str">
            <v>N/A</v>
          </cell>
          <cell r="T3" t="str">
            <v>N/A</v>
          </cell>
          <cell r="U3" t="str">
            <v>N/A</v>
          </cell>
          <cell r="V3" t="str">
            <v>N/A</v>
          </cell>
          <cell r="W3" t="str">
            <v>N/A</v>
          </cell>
          <cell r="X3" t="str">
            <v>N/A</v>
          </cell>
          <cell r="Y3" t="str">
            <v>N/A</v>
          </cell>
          <cell r="Z3" t="str">
            <v>N/A</v>
          </cell>
        </row>
        <row r="4">
          <cell r="B4" t="str">
            <v>kilograms</v>
          </cell>
          <cell r="C4">
            <v>1000</v>
          </cell>
          <cell r="D4">
            <v>1</v>
          </cell>
          <cell r="E4">
            <v>2.2046226199999999</v>
          </cell>
          <cell r="F4">
            <v>9.8420643926904958E-4</v>
          </cell>
          <cell r="G4">
            <v>1.1023113595279991E-3</v>
          </cell>
          <cell r="H4">
            <v>1E-3</v>
          </cell>
          <cell r="I4" t="str">
            <v>N/A</v>
          </cell>
          <cell r="J4" t="str">
            <v>N/A</v>
          </cell>
          <cell r="K4" t="str">
            <v>N/A</v>
          </cell>
          <cell r="L4" t="str">
            <v>N/A</v>
          </cell>
          <cell r="M4" t="str">
            <v>N/A</v>
          </cell>
          <cell r="N4" t="str">
            <v>N/A</v>
          </cell>
          <cell r="O4" t="str">
            <v>N/A</v>
          </cell>
          <cell r="P4" t="str">
            <v>N/A</v>
          </cell>
          <cell r="Q4" t="str">
            <v>N/A</v>
          </cell>
          <cell r="R4" t="str">
            <v>N/A</v>
          </cell>
          <cell r="S4" t="str">
            <v>N/A</v>
          </cell>
          <cell r="T4" t="str">
            <v>N/A</v>
          </cell>
          <cell r="U4" t="str">
            <v>N/A</v>
          </cell>
          <cell r="V4" t="str">
            <v>N/A</v>
          </cell>
          <cell r="W4" t="str">
            <v>N/A</v>
          </cell>
          <cell r="X4" t="str">
            <v>N/A</v>
          </cell>
          <cell r="Y4" t="str">
            <v>N/A</v>
          </cell>
          <cell r="Z4" t="str">
            <v>N/A</v>
          </cell>
        </row>
        <row r="5">
          <cell r="B5" t="str">
            <v>pounds (lbs)</v>
          </cell>
          <cell r="C5">
            <v>453.59237038037833</v>
          </cell>
          <cell r="D5">
            <v>0.45359237038037831</v>
          </cell>
          <cell r="E5">
            <v>1</v>
          </cell>
          <cell r="F5">
            <v>4.4642857142857141E-4</v>
          </cell>
          <cell r="G5">
            <v>5.0000000000000001E-4</v>
          </cell>
          <cell r="H5">
            <v>4.5359229219689716E-4</v>
          </cell>
          <cell r="I5" t="str">
            <v>N/A</v>
          </cell>
          <cell r="J5" t="str">
            <v>N/A</v>
          </cell>
          <cell r="K5" t="str">
            <v>N/A</v>
          </cell>
          <cell r="L5" t="str">
            <v>N/A</v>
          </cell>
          <cell r="M5" t="str">
            <v>N/A</v>
          </cell>
          <cell r="N5" t="str">
            <v>N/A</v>
          </cell>
          <cell r="O5" t="str">
            <v>N/A</v>
          </cell>
          <cell r="P5" t="str">
            <v>N/A</v>
          </cell>
          <cell r="Q5" t="str">
            <v>N/A</v>
          </cell>
          <cell r="R5" t="str">
            <v>N/A</v>
          </cell>
          <cell r="S5" t="str">
            <v>N/A</v>
          </cell>
          <cell r="T5" t="str">
            <v>N/A</v>
          </cell>
          <cell r="U5" t="str">
            <v>N/A</v>
          </cell>
          <cell r="V5" t="str">
            <v>N/A</v>
          </cell>
          <cell r="W5" t="str">
            <v>N/A</v>
          </cell>
          <cell r="X5" t="str">
            <v>N/A</v>
          </cell>
          <cell r="Y5" t="str">
            <v>N/A</v>
          </cell>
          <cell r="Z5" t="str">
            <v>N/A</v>
          </cell>
        </row>
        <row r="6">
          <cell r="B6" t="str">
            <v>long ton</v>
          </cell>
          <cell r="C6">
            <v>1016047</v>
          </cell>
          <cell r="D6">
            <v>1016.047</v>
          </cell>
          <cell r="E6">
            <v>2240</v>
          </cell>
          <cell r="F6">
            <v>1</v>
          </cell>
          <cell r="G6">
            <v>1.1200000000000001</v>
          </cell>
          <cell r="H6">
            <v>1.0160467345210495</v>
          </cell>
          <cell r="I6" t="str">
            <v>N/A</v>
          </cell>
          <cell r="J6" t="str">
            <v>N/A</v>
          </cell>
          <cell r="K6" t="str">
            <v>N/A</v>
          </cell>
          <cell r="L6" t="str">
            <v>N/A</v>
          </cell>
          <cell r="M6" t="str">
            <v>N/A</v>
          </cell>
          <cell r="N6" t="str">
            <v>N/A</v>
          </cell>
          <cell r="O6" t="str">
            <v>N/A</v>
          </cell>
          <cell r="P6" t="str">
            <v>N/A</v>
          </cell>
          <cell r="Q6" t="str">
            <v>N/A</v>
          </cell>
          <cell r="R6" t="str">
            <v>N/A</v>
          </cell>
          <cell r="S6" t="str">
            <v>N/A</v>
          </cell>
          <cell r="T6" t="str">
            <v>N/A</v>
          </cell>
          <cell r="U6" t="str">
            <v>N/A</v>
          </cell>
          <cell r="V6" t="str">
            <v>N/A</v>
          </cell>
          <cell r="W6" t="str">
            <v>N/A</v>
          </cell>
          <cell r="X6" t="str">
            <v>N/A</v>
          </cell>
          <cell r="Y6" t="str">
            <v>N/A</v>
          </cell>
          <cell r="Z6" t="str">
            <v>N/A</v>
          </cell>
        </row>
        <row r="7">
          <cell r="B7" t="str">
            <v>short ton</v>
          </cell>
          <cell r="C7">
            <v>907184.70000000007</v>
          </cell>
          <cell r="D7">
            <v>907.18470000000002</v>
          </cell>
          <cell r="E7">
            <v>2000</v>
          </cell>
          <cell r="F7">
            <v>0.8928571428571429</v>
          </cell>
          <cell r="G7">
            <v>1</v>
          </cell>
          <cell r="H7">
            <v>1.1023115000000001</v>
          </cell>
          <cell r="I7" t="str">
            <v>N/A</v>
          </cell>
          <cell r="J7" t="str">
            <v>N/A</v>
          </cell>
          <cell r="K7" t="str">
            <v>N/A</v>
          </cell>
          <cell r="L7" t="str">
            <v>N/A</v>
          </cell>
          <cell r="M7" t="str">
            <v>N/A</v>
          </cell>
          <cell r="N7" t="str">
            <v>N/A</v>
          </cell>
          <cell r="O7" t="str">
            <v>N/A</v>
          </cell>
          <cell r="P7" t="str">
            <v>N/A</v>
          </cell>
          <cell r="Q7" t="str">
            <v>N/A</v>
          </cell>
          <cell r="R7" t="str">
            <v>N/A</v>
          </cell>
          <cell r="S7" t="str">
            <v>N/A</v>
          </cell>
          <cell r="T7" t="str">
            <v>N/A</v>
          </cell>
          <cell r="U7" t="str">
            <v>N/A</v>
          </cell>
          <cell r="V7" t="str">
            <v>N/A</v>
          </cell>
          <cell r="W7" t="str">
            <v>N/A</v>
          </cell>
          <cell r="X7" t="str">
            <v>N/A</v>
          </cell>
          <cell r="Y7" t="str">
            <v>N/A</v>
          </cell>
          <cell r="Z7" t="str">
            <v>N/A</v>
          </cell>
        </row>
        <row r="8">
          <cell r="B8" t="str">
            <v>metric ton</v>
          </cell>
          <cell r="C8">
            <v>1000000</v>
          </cell>
          <cell r="D8">
            <v>1000</v>
          </cell>
          <cell r="E8">
            <v>2204.623</v>
          </cell>
          <cell r="F8">
            <v>0.9842066964285715</v>
          </cell>
          <cell r="G8">
            <v>0.90718458439379435</v>
          </cell>
          <cell r="H8">
            <v>1</v>
          </cell>
          <cell r="I8" t="str">
            <v>N/A</v>
          </cell>
          <cell r="J8" t="str">
            <v>N/A</v>
          </cell>
          <cell r="K8" t="str">
            <v>N/A</v>
          </cell>
          <cell r="L8" t="str">
            <v>N/A</v>
          </cell>
          <cell r="M8" t="str">
            <v>N/A</v>
          </cell>
          <cell r="N8" t="str">
            <v>N/A</v>
          </cell>
          <cell r="O8" t="str">
            <v>N/A</v>
          </cell>
          <cell r="P8" t="str">
            <v>N/A</v>
          </cell>
          <cell r="Q8" t="str">
            <v>N/A</v>
          </cell>
          <cell r="R8" t="str">
            <v>N/A</v>
          </cell>
          <cell r="S8" t="str">
            <v>N/A</v>
          </cell>
          <cell r="T8" t="str">
            <v>N/A</v>
          </cell>
          <cell r="U8" t="str">
            <v>N/A</v>
          </cell>
          <cell r="V8" t="str">
            <v>N/A</v>
          </cell>
          <cell r="W8" t="str">
            <v>N/A</v>
          </cell>
          <cell r="X8" t="str">
            <v>N/A</v>
          </cell>
          <cell r="Y8" t="str">
            <v>N/A</v>
          </cell>
          <cell r="Z8" t="str">
            <v>N/A</v>
          </cell>
        </row>
        <row r="9">
          <cell r="B9" t="str">
            <v>kWh</v>
          </cell>
          <cell r="C9" t="str">
            <v>N/A</v>
          </cell>
          <cell r="D9" t="str">
            <v>N/A</v>
          </cell>
          <cell r="E9" t="str">
            <v>N/A</v>
          </cell>
          <cell r="F9" t="str">
            <v>N/A</v>
          </cell>
          <cell r="G9" t="str">
            <v>N/A</v>
          </cell>
          <cell r="H9" t="str">
            <v>N/A</v>
          </cell>
          <cell r="I9">
            <v>1</v>
          </cell>
          <cell r="J9">
            <v>1E-3</v>
          </cell>
          <cell r="K9">
            <v>9.9999999999999995E-7</v>
          </cell>
          <cell r="L9">
            <v>3.4129563000000002E-2</v>
          </cell>
          <cell r="M9">
            <v>3412.1416331280002</v>
          </cell>
          <cell r="N9">
            <v>3.412142E-3</v>
          </cell>
          <cell r="O9">
            <v>3.6</v>
          </cell>
          <cell r="P9">
            <v>3.5999999999971203E-3</v>
          </cell>
          <cell r="Q9" t="str">
            <v>N/A</v>
          </cell>
          <cell r="R9" t="str">
            <v>N/A</v>
          </cell>
          <cell r="S9" t="str">
            <v>N/A</v>
          </cell>
          <cell r="T9" t="str">
            <v>N/A</v>
          </cell>
          <cell r="U9" t="str">
            <v>N/A</v>
          </cell>
          <cell r="V9" t="str">
            <v>N/A</v>
          </cell>
          <cell r="W9" t="str">
            <v>N/A</v>
          </cell>
          <cell r="X9" t="str">
            <v>N/A</v>
          </cell>
          <cell r="Y9" t="str">
            <v>N/A</v>
          </cell>
          <cell r="Z9" t="str">
            <v>N/A</v>
          </cell>
        </row>
        <row r="10">
          <cell r="B10" t="str">
            <v>MWh</v>
          </cell>
          <cell r="C10" t="str">
            <v>N/A</v>
          </cell>
          <cell r="D10" t="str">
            <v>N/A</v>
          </cell>
          <cell r="E10" t="str">
            <v>N/A</v>
          </cell>
          <cell r="F10" t="str">
            <v>N/A</v>
          </cell>
          <cell r="G10" t="str">
            <v>N/A</v>
          </cell>
          <cell r="H10" t="str">
            <v>N/A</v>
          </cell>
          <cell r="I10">
            <v>1000</v>
          </cell>
          <cell r="J10">
            <v>1</v>
          </cell>
          <cell r="K10">
            <v>1E-3</v>
          </cell>
          <cell r="L10">
            <v>34.129563406999999</v>
          </cell>
          <cell r="M10">
            <v>3412141.6331279399</v>
          </cell>
          <cell r="N10">
            <v>3.4121416330000001</v>
          </cell>
          <cell r="O10">
            <v>3600</v>
          </cell>
          <cell r="P10">
            <v>3.5999999971200003</v>
          </cell>
          <cell r="Q10" t="str">
            <v>N/A</v>
          </cell>
          <cell r="R10" t="str">
            <v>N/A</v>
          </cell>
          <cell r="S10" t="str">
            <v>N/A</v>
          </cell>
          <cell r="T10" t="str">
            <v>N/A</v>
          </cell>
          <cell r="U10" t="str">
            <v>N/A</v>
          </cell>
          <cell r="V10" t="str">
            <v>N/A</v>
          </cell>
          <cell r="W10" t="str">
            <v>N/A</v>
          </cell>
          <cell r="X10" t="str">
            <v>N/A</v>
          </cell>
          <cell r="Y10" t="str">
            <v>N/A</v>
          </cell>
          <cell r="Z10" t="str">
            <v>N/A</v>
          </cell>
        </row>
        <row r="11">
          <cell r="B11" t="str">
            <v>GWh</v>
          </cell>
          <cell r="C11" t="str">
            <v>N/A</v>
          </cell>
          <cell r="D11" t="str">
            <v>N/A</v>
          </cell>
          <cell r="E11" t="str">
            <v>N/A</v>
          </cell>
          <cell r="F11" t="str">
            <v>N/A</v>
          </cell>
          <cell r="G11" t="str">
            <v>N/A</v>
          </cell>
          <cell r="H11" t="str">
            <v>N/A</v>
          </cell>
          <cell r="I11">
            <v>1000000</v>
          </cell>
          <cell r="J11">
            <v>1000</v>
          </cell>
          <cell r="K11">
            <v>1</v>
          </cell>
          <cell r="L11">
            <v>34129.563407041001</v>
          </cell>
          <cell r="M11">
            <v>3412141633.1279402</v>
          </cell>
          <cell r="N11">
            <v>3412.1416331280002</v>
          </cell>
          <cell r="O11">
            <v>3599999.9971200004</v>
          </cell>
          <cell r="P11">
            <v>3600</v>
          </cell>
          <cell r="Q11" t="str">
            <v>N/A</v>
          </cell>
          <cell r="R11" t="str">
            <v>N/A</v>
          </cell>
          <cell r="S11" t="str">
            <v>N/A</v>
          </cell>
          <cell r="T11" t="str">
            <v>N/A</v>
          </cell>
          <cell r="U11" t="str">
            <v>N/A</v>
          </cell>
          <cell r="V11" t="str">
            <v>N/A</v>
          </cell>
          <cell r="W11" t="str">
            <v>N/A</v>
          </cell>
          <cell r="X11" t="str">
            <v>N/A</v>
          </cell>
          <cell r="Y11" t="str">
            <v>N/A</v>
          </cell>
          <cell r="Z11" t="str">
            <v>N/A</v>
          </cell>
        </row>
        <row r="12">
          <cell r="B12" t="str">
            <v>Therm</v>
          </cell>
          <cell r="C12" t="str">
            <v>N/A</v>
          </cell>
          <cell r="D12" t="str">
            <v>N/A</v>
          </cell>
          <cell r="E12" t="str">
            <v>N/A</v>
          </cell>
          <cell r="F12" t="str">
            <v>N/A</v>
          </cell>
          <cell r="G12" t="str">
            <v>N/A</v>
          </cell>
          <cell r="H12" t="str">
            <v>N/A</v>
          </cell>
          <cell r="I12">
            <v>29.300111111</v>
          </cell>
          <cell r="J12">
            <v>2.9300111E-2</v>
          </cell>
          <cell r="K12">
            <v>2.9300000000000001E-5</v>
          </cell>
          <cell r="L12">
            <v>1</v>
          </cell>
          <cell r="M12">
            <v>99976.128977494998</v>
          </cell>
          <cell r="N12">
            <v>9.9976128999999997E-2</v>
          </cell>
          <cell r="O12">
            <v>105.4804</v>
          </cell>
          <cell r="P12">
            <v>0.10548039999703472</v>
          </cell>
          <cell r="Q12" t="str">
            <v>N/A</v>
          </cell>
          <cell r="R12" t="str">
            <v>N/A</v>
          </cell>
          <cell r="S12" t="str">
            <v>N/A</v>
          </cell>
          <cell r="T12" t="str">
            <v>N/A</v>
          </cell>
          <cell r="U12" t="str">
            <v>N/A</v>
          </cell>
          <cell r="V12" t="str">
            <v>N/A</v>
          </cell>
          <cell r="W12" t="str">
            <v>N/A</v>
          </cell>
          <cell r="X12" t="str">
            <v>N/A</v>
          </cell>
          <cell r="Y12" t="str">
            <v>N/A</v>
          </cell>
          <cell r="Z12" t="str">
            <v>N/A</v>
          </cell>
        </row>
        <row r="13">
          <cell r="B13" t="str">
            <v>Btu</v>
          </cell>
          <cell r="C13" t="str">
            <v>N/A</v>
          </cell>
          <cell r="D13" t="str">
            <v>N/A</v>
          </cell>
          <cell r="E13" t="str">
            <v>N/A</v>
          </cell>
          <cell r="F13" t="str">
            <v>N/A</v>
          </cell>
          <cell r="G13" t="str">
            <v>N/A</v>
          </cell>
          <cell r="H13" t="str">
            <v>N/A</v>
          </cell>
          <cell r="I13">
            <v>2.93071E-4</v>
          </cell>
          <cell r="J13">
            <v>2.9299999999999999E-7</v>
          </cell>
          <cell r="K13">
            <v>2.9307107019999998E-10</v>
          </cell>
          <cell r="L13">
            <v>1.0002E-5</v>
          </cell>
          <cell r="M13">
            <v>1</v>
          </cell>
          <cell r="N13">
            <v>9.9999999999999995E-7</v>
          </cell>
          <cell r="O13">
            <v>1.055056E-3</v>
          </cell>
          <cell r="P13">
            <v>1.0550558526200012E-6</v>
          </cell>
          <cell r="Q13" t="str">
            <v>N/A</v>
          </cell>
          <cell r="R13" t="str">
            <v>N/A</v>
          </cell>
          <cell r="S13" t="str">
            <v>N/A</v>
          </cell>
          <cell r="T13" t="str">
            <v>N/A</v>
          </cell>
          <cell r="U13" t="str">
            <v>N/A</v>
          </cell>
          <cell r="V13" t="str">
            <v>N/A</v>
          </cell>
          <cell r="W13" t="str">
            <v>N/A</v>
          </cell>
          <cell r="X13" t="str">
            <v>N/A</v>
          </cell>
          <cell r="Y13" t="str">
            <v>N/A</v>
          </cell>
          <cell r="Z13" t="str">
            <v>N/A</v>
          </cell>
        </row>
        <row r="14">
          <cell r="B14" t="str">
            <v>MBtu</v>
          </cell>
          <cell r="C14" t="str">
            <v>N/A</v>
          </cell>
          <cell r="D14" t="str">
            <v>N/A</v>
          </cell>
          <cell r="E14" t="str">
            <v>N/A</v>
          </cell>
          <cell r="F14" t="str">
            <v>N/A</v>
          </cell>
          <cell r="G14" t="str">
            <v>N/A</v>
          </cell>
          <cell r="H14" t="str">
            <v>N/A</v>
          </cell>
          <cell r="I14">
            <v>293.07107017200002</v>
          </cell>
          <cell r="J14">
            <v>0.29307107017200001</v>
          </cell>
          <cell r="K14">
            <v>2.9307107017200005E-4</v>
          </cell>
          <cell r="L14">
            <v>10.002387671999999</v>
          </cell>
          <cell r="M14">
            <v>1000000</v>
          </cell>
          <cell r="N14">
            <v>1</v>
          </cell>
          <cell r="O14">
            <v>1055.05585262</v>
          </cell>
          <cell r="P14">
            <v>1.0550558529687668</v>
          </cell>
          <cell r="Q14" t="str">
            <v>N/A</v>
          </cell>
          <cell r="R14" t="str">
            <v>N/A</v>
          </cell>
          <cell r="S14" t="str">
            <v>N/A</v>
          </cell>
          <cell r="T14" t="str">
            <v>N/A</v>
          </cell>
          <cell r="U14" t="str">
            <v>N/A</v>
          </cell>
          <cell r="V14" t="str">
            <v>N/A</v>
          </cell>
          <cell r="W14" t="str">
            <v>N/A</v>
          </cell>
          <cell r="X14" t="str">
            <v>N/A</v>
          </cell>
          <cell r="Y14" t="str">
            <v>N/A</v>
          </cell>
          <cell r="Z14" t="str">
            <v>N/A</v>
          </cell>
        </row>
        <row r="15">
          <cell r="B15" t="str">
            <v>MJ</v>
          </cell>
          <cell r="C15" t="str">
            <v>N/A</v>
          </cell>
          <cell r="D15" t="str">
            <v>N/A</v>
          </cell>
          <cell r="E15" t="str">
            <v>N/A</v>
          </cell>
          <cell r="F15" t="str">
            <v>N/A</v>
          </cell>
          <cell r="G15" t="str">
            <v>N/A</v>
          </cell>
          <cell r="H15" t="str">
            <v>N/A</v>
          </cell>
          <cell r="I15">
            <v>0.27777777799999998</v>
          </cell>
          <cell r="J15">
            <v>2.7777777799999997E-4</v>
          </cell>
          <cell r="K15">
            <v>2.7777777799999998E-7</v>
          </cell>
          <cell r="L15">
            <v>9.4804339999999994E-3</v>
          </cell>
          <cell r="M15">
            <v>947.81712031300003</v>
          </cell>
          <cell r="N15">
            <v>9.47817E-4</v>
          </cell>
          <cell r="O15">
            <v>1</v>
          </cell>
          <cell r="P15">
            <v>1E-3</v>
          </cell>
          <cell r="Q15" t="str">
            <v>N/A</v>
          </cell>
          <cell r="R15" t="str">
            <v>N/A</v>
          </cell>
          <cell r="S15" t="str">
            <v>N/A</v>
          </cell>
          <cell r="T15" t="str">
            <v>N/A</v>
          </cell>
          <cell r="U15" t="str">
            <v>N/A</v>
          </cell>
          <cell r="V15" t="str">
            <v>N/A</v>
          </cell>
          <cell r="W15" t="str">
            <v>N/A</v>
          </cell>
          <cell r="X15" t="str">
            <v>N/A</v>
          </cell>
          <cell r="Y15" t="str">
            <v>N/A</v>
          </cell>
          <cell r="Z15" t="str">
            <v>N/A</v>
          </cell>
        </row>
        <row r="16">
          <cell r="B16" t="str">
            <v>GJ</v>
          </cell>
          <cell r="C16" t="str">
            <v>N/A</v>
          </cell>
          <cell r="D16" t="str">
            <v>N/A</v>
          </cell>
          <cell r="E16" t="str">
            <v>N/A</v>
          </cell>
          <cell r="F16" t="str">
            <v>N/A</v>
          </cell>
          <cell r="G16" t="str">
            <v>N/A</v>
          </cell>
          <cell r="H16" t="str">
            <v>N/A</v>
          </cell>
          <cell r="I16">
            <v>277.77777777799997</v>
          </cell>
          <cell r="J16">
            <v>0.27777777799999998</v>
          </cell>
          <cell r="K16">
            <v>2.7777800000000001E-4</v>
          </cell>
          <cell r="L16">
            <v>9.4804342800000008</v>
          </cell>
          <cell r="M16">
            <v>947817.120313316</v>
          </cell>
          <cell r="N16">
            <v>0.94781711999999996</v>
          </cell>
          <cell r="O16">
            <v>1000</v>
          </cell>
          <cell r="P16">
            <v>1</v>
          </cell>
          <cell r="Q16" t="str">
            <v>N/A</v>
          </cell>
          <cell r="R16" t="str">
            <v>N/A</v>
          </cell>
          <cell r="S16" t="str">
            <v>N/A</v>
          </cell>
          <cell r="T16" t="str">
            <v>N/A</v>
          </cell>
          <cell r="U16" t="str">
            <v>N/A</v>
          </cell>
          <cell r="V16" t="str">
            <v>N/A</v>
          </cell>
          <cell r="W16" t="str">
            <v>N/A</v>
          </cell>
          <cell r="X16" t="str">
            <v>N/A</v>
          </cell>
          <cell r="Y16" t="str">
            <v>N/A</v>
          </cell>
          <cell r="Z16" t="str">
            <v>N/A</v>
          </cell>
        </row>
        <row r="17">
          <cell r="B17" t="str">
            <v>Liters</v>
          </cell>
          <cell r="C17" t="str">
            <v>N/A</v>
          </cell>
          <cell r="D17" t="str">
            <v>N/A</v>
          </cell>
          <cell r="E17" t="str">
            <v>N/A</v>
          </cell>
          <cell r="F17" t="str">
            <v>N/A</v>
          </cell>
          <cell r="G17" t="str">
            <v>N/A</v>
          </cell>
          <cell r="H17" t="str">
            <v>N/A</v>
          </cell>
          <cell r="I17" t="str">
            <v>N/A</v>
          </cell>
          <cell r="J17" t="str">
            <v>N/A</v>
          </cell>
          <cell r="K17" t="str">
            <v>N/A</v>
          </cell>
          <cell r="L17" t="str">
            <v>N/A</v>
          </cell>
          <cell r="M17" t="str">
            <v>N/A</v>
          </cell>
          <cell r="N17" t="str">
            <v>N/A</v>
          </cell>
          <cell r="O17" t="str">
            <v>N/A</v>
          </cell>
          <cell r="P17" t="str">
            <v>N/A</v>
          </cell>
          <cell r="Q17">
            <v>1</v>
          </cell>
          <cell r="R17">
            <v>1E-3</v>
          </cell>
          <cell r="S17">
            <v>1E-3</v>
          </cell>
          <cell r="T17">
            <v>0.26417205263729593</v>
          </cell>
          <cell r="U17">
            <v>264.17205263729591</v>
          </cell>
          <cell r="V17">
            <v>3.531466671151158E-2</v>
          </cell>
          <cell r="W17">
            <v>8.1071319217800559E-7</v>
          </cell>
          <cell r="X17" t="str">
            <v>N/A</v>
          </cell>
          <cell r="Y17" t="str">
            <v>N/A</v>
          </cell>
          <cell r="Z17" t="str">
            <v>N/A</v>
          </cell>
        </row>
        <row r="18">
          <cell r="B18" t="str">
            <v>1,000 Liters</v>
          </cell>
          <cell r="C18" t="str">
            <v>N/A</v>
          </cell>
          <cell r="D18" t="str">
            <v>N/A</v>
          </cell>
          <cell r="E18" t="str">
            <v>N/A</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cell r="Q18">
            <v>1000</v>
          </cell>
          <cell r="R18">
            <v>1</v>
          </cell>
          <cell r="S18">
            <v>1</v>
          </cell>
          <cell r="T18">
            <v>264.17205263729591</v>
          </cell>
          <cell r="U18">
            <v>264172.05263729591</v>
          </cell>
          <cell r="V18">
            <v>35.314666711511585</v>
          </cell>
          <cell r="W18">
            <v>8.1071319217800551E-4</v>
          </cell>
          <cell r="X18" t="str">
            <v>N/A</v>
          </cell>
          <cell r="Y18" t="str">
            <v>N/A</v>
          </cell>
          <cell r="Z18" t="str">
            <v>N/A</v>
          </cell>
        </row>
        <row r="19">
          <cell r="B19" t="str">
            <v>Cubic Meters</v>
          </cell>
          <cell r="C19" t="str">
            <v>N/A</v>
          </cell>
          <cell r="D19" t="str">
            <v>N/A</v>
          </cell>
          <cell r="E19" t="str">
            <v>N/A</v>
          </cell>
          <cell r="F19" t="str">
            <v>N/A</v>
          </cell>
          <cell r="G19" t="str">
            <v>N/A</v>
          </cell>
          <cell r="H19" t="str">
            <v>N/A</v>
          </cell>
          <cell r="I19" t="str">
            <v>N/A</v>
          </cell>
          <cell r="J19" t="str">
            <v>N/A</v>
          </cell>
          <cell r="K19" t="str">
            <v>N/A</v>
          </cell>
          <cell r="L19" t="str">
            <v>N/A</v>
          </cell>
          <cell r="M19" t="str">
            <v>N/A</v>
          </cell>
          <cell r="N19" t="str">
            <v>N/A</v>
          </cell>
          <cell r="O19" t="str">
            <v>N/A</v>
          </cell>
          <cell r="P19" t="str">
            <v>N/A</v>
          </cell>
          <cell r="Q19">
            <v>1000</v>
          </cell>
          <cell r="R19">
            <v>1</v>
          </cell>
          <cell r="S19">
            <v>1</v>
          </cell>
          <cell r="T19">
            <v>264.17205263729591</v>
          </cell>
          <cell r="U19">
            <v>264172.05263729591</v>
          </cell>
          <cell r="V19">
            <v>35314.666711511585</v>
          </cell>
          <cell r="W19">
            <v>8.1071440153062876E-4</v>
          </cell>
          <cell r="X19" t="str">
            <v>N/A</v>
          </cell>
          <cell r="Y19" t="str">
            <v>N/A</v>
          </cell>
          <cell r="Z19" t="str">
            <v>N/A</v>
          </cell>
        </row>
        <row r="20">
          <cell r="B20" t="str">
            <v>Gallons</v>
          </cell>
          <cell r="C20" t="str">
            <v>N/A</v>
          </cell>
          <cell r="D20" t="str">
            <v>N/A</v>
          </cell>
          <cell r="E20" t="str">
            <v>N/A</v>
          </cell>
          <cell r="F20" t="str">
            <v>N/A</v>
          </cell>
          <cell r="G20" t="str">
            <v>N/A</v>
          </cell>
          <cell r="H20" t="str">
            <v>N/A</v>
          </cell>
          <cell r="I20" t="str">
            <v>N/A</v>
          </cell>
          <cell r="J20" t="str">
            <v>N/A</v>
          </cell>
          <cell r="K20" t="str">
            <v>N/A</v>
          </cell>
          <cell r="L20" t="str">
            <v>N/A</v>
          </cell>
          <cell r="M20" t="str">
            <v>N/A</v>
          </cell>
          <cell r="N20" t="str">
            <v>N/A</v>
          </cell>
          <cell r="O20" t="str">
            <v>N/A</v>
          </cell>
          <cell r="P20" t="str">
            <v>N/A</v>
          </cell>
          <cell r="Q20">
            <v>3.78541178</v>
          </cell>
          <cell r="R20">
            <v>3.7854117800000002E-3</v>
          </cell>
          <cell r="S20">
            <v>3.7854117800000002E-3</v>
          </cell>
          <cell r="T20">
            <v>1</v>
          </cell>
          <cell r="U20">
            <v>1000</v>
          </cell>
          <cell r="V20">
            <v>0.13368055600000001</v>
          </cell>
          <cell r="W20">
            <v>3.0688832637622614E-6</v>
          </cell>
          <cell r="X20" t="str">
            <v>N/A</v>
          </cell>
          <cell r="Y20" t="str">
            <v>N/A</v>
          </cell>
          <cell r="Z20" t="str">
            <v>N/A</v>
          </cell>
        </row>
        <row r="21">
          <cell r="B21" t="str">
            <v>1,000 Gallons</v>
          </cell>
          <cell r="C21" t="str">
            <v>N/A</v>
          </cell>
          <cell r="D21" t="str">
            <v>N/A</v>
          </cell>
          <cell r="E21" t="str">
            <v>N/A</v>
          </cell>
          <cell r="F21" t="str">
            <v>N/A</v>
          </cell>
          <cell r="G21" t="str">
            <v>N/A</v>
          </cell>
          <cell r="H21" t="str">
            <v>N/A</v>
          </cell>
          <cell r="I21" t="str">
            <v>N/A</v>
          </cell>
          <cell r="J21" t="str">
            <v>N/A</v>
          </cell>
          <cell r="K21" t="str">
            <v>N/A</v>
          </cell>
          <cell r="L21" t="str">
            <v>N/A</v>
          </cell>
          <cell r="M21" t="str">
            <v>N/A</v>
          </cell>
          <cell r="N21" t="str">
            <v>N/A</v>
          </cell>
          <cell r="O21" t="str">
            <v>N/A</v>
          </cell>
          <cell r="P21" t="str">
            <v>N/A</v>
          </cell>
          <cell r="Q21">
            <v>3.7854117800000002E-3</v>
          </cell>
          <cell r="R21">
            <v>3.7854117800000002E-6</v>
          </cell>
          <cell r="S21">
            <v>3.7854117800000002E-6</v>
          </cell>
          <cell r="T21">
            <v>1E-3</v>
          </cell>
          <cell r="U21">
            <v>1</v>
          </cell>
          <cell r="V21">
            <v>1.3368055600000001E-4</v>
          </cell>
          <cell r="W21">
            <v>3.0688832637622613E-3</v>
          </cell>
          <cell r="X21" t="str">
            <v>N/A</v>
          </cell>
          <cell r="Y21" t="str">
            <v>N/A</v>
          </cell>
          <cell r="Z21" t="str">
            <v>N/A</v>
          </cell>
        </row>
        <row r="22">
          <cell r="B22" t="str">
            <v>Cubic Feet</v>
          </cell>
          <cell r="C22" t="str">
            <v>N/A</v>
          </cell>
          <cell r="D22" t="str">
            <v>N/A</v>
          </cell>
          <cell r="E22" t="str">
            <v>N/A</v>
          </cell>
          <cell r="F22" t="str">
            <v>N/A</v>
          </cell>
          <cell r="G22" t="str">
            <v>N/A</v>
          </cell>
          <cell r="H22" t="str">
            <v>N/A</v>
          </cell>
          <cell r="I22" t="str">
            <v>N/A</v>
          </cell>
          <cell r="J22" t="str">
            <v>N/A</v>
          </cell>
          <cell r="K22" t="str">
            <v>N/A</v>
          </cell>
          <cell r="L22" t="str">
            <v>N/A</v>
          </cell>
          <cell r="M22" t="str">
            <v>N/A</v>
          </cell>
          <cell r="N22" t="str">
            <v>N/A</v>
          </cell>
          <cell r="O22" t="str">
            <v>N/A</v>
          </cell>
          <cell r="P22" t="str">
            <v>N/A</v>
          </cell>
          <cell r="Q22">
            <v>28.316846600000002</v>
          </cell>
          <cell r="R22">
            <v>2.8316846600000001E-2</v>
          </cell>
          <cell r="S22">
            <v>2.8316846600000002E-5</v>
          </cell>
          <cell r="T22">
            <v>7.4805194556491816</v>
          </cell>
          <cell r="U22">
            <v>7480.5194556491815</v>
          </cell>
          <cell r="V22">
            <v>1</v>
          </cell>
          <cell r="W22">
            <v>2.295684113865932E-5</v>
          </cell>
          <cell r="X22" t="str">
            <v>N/A</v>
          </cell>
          <cell r="Y22" t="str">
            <v>N/A</v>
          </cell>
          <cell r="Z22" t="str">
            <v>N/A</v>
          </cell>
        </row>
        <row r="23">
          <cell r="B23" t="str">
            <v>Acre-Feet</v>
          </cell>
          <cell r="C23" t="str">
            <v>N/A</v>
          </cell>
          <cell r="D23" t="str">
            <v>N/A</v>
          </cell>
          <cell r="E23" t="str">
            <v>N/A</v>
          </cell>
          <cell r="F23" t="str">
            <v>N/A</v>
          </cell>
          <cell r="G23" t="str">
            <v>N/A</v>
          </cell>
          <cell r="H23" t="str">
            <v>N/A</v>
          </cell>
          <cell r="I23" t="str">
            <v>N/A</v>
          </cell>
          <cell r="J23" t="str">
            <v>N/A</v>
          </cell>
          <cell r="K23" t="str">
            <v>N/A</v>
          </cell>
          <cell r="L23" t="str">
            <v>N/A</v>
          </cell>
          <cell r="M23" t="str">
            <v>N/A</v>
          </cell>
          <cell r="N23" t="str">
            <v>N/A</v>
          </cell>
          <cell r="O23" t="str">
            <v>N/A</v>
          </cell>
          <cell r="P23" t="str">
            <v>N/A</v>
          </cell>
          <cell r="Q23">
            <v>1233481.8400000001</v>
          </cell>
          <cell r="R23">
            <v>1233.4818400000001</v>
          </cell>
          <cell r="S23">
            <v>1233.48</v>
          </cell>
          <cell r="T23">
            <v>325851.43</v>
          </cell>
          <cell r="U23">
            <v>325.85142999999999</v>
          </cell>
          <cell r="V23">
            <v>43560</v>
          </cell>
          <cell r="W23">
            <v>1</v>
          </cell>
          <cell r="X23" t="str">
            <v>N/A</v>
          </cell>
          <cell r="Y23" t="str">
            <v>N/A</v>
          </cell>
          <cell r="Z23" t="str">
            <v>N/A</v>
          </cell>
        </row>
        <row r="24">
          <cell r="B24" t="str">
            <v>miles</v>
          </cell>
          <cell r="C24" t="str">
            <v>N/A</v>
          </cell>
          <cell r="D24" t="str">
            <v>N/A</v>
          </cell>
          <cell r="E24" t="str">
            <v>N/A</v>
          </cell>
          <cell r="F24" t="str">
            <v>N/A</v>
          </cell>
          <cell r="G24" t="str">
            <v>N/A</v>
          </cell>
          <cell r="H24" t="str">
            <v>N/A</v>
          </cell>
          <cell r="I24" t="str">
            <v>N/A</v>
          </cell>
          <cell r="J24" t="str">
            <v>N/A</v>
          </cell>
          <cell r="K24" t="str">
            <v>N/A</v>
          </cell>
          <cell r="L24" t="str">
            <v>N/A</v>
          </cell>
          <cell r="M24" t="str">
            <v>N/A</v>
          </cell>
          <cell r="N24" t="str">
            <v>N/A</v>
          </cell>
          <cell r="O24" t="str">
            <v>N/A</v>
          </cell>
          <cell r="P24" t="str">
            <v>N/A</v>
          </cell>
          <cell r="Q24" t="str">
            <v>N/A</v>
          </cell>
          <cell r="R24" t="str">
            <v>N/A</v>
          </cell>
          <cell r="S24" t="str">
            <v>N/A</v>
          </cell>
          <cell r="T24" t="str">
            <v>N/A</v>
          </cell>
          <cell r="U24" t="str">
            <v>N/A</v>
          </cell>
          <cell r="V24" t="str">
            <v>N/A</v>
          </cell>
          <cell r="W24" t="str">
            <v>N/A</v>
          </cell>
          <cell r="X24">
            <v>1</v>
          </cell>
          <cell r="Y24">
            <v>0</v>
          </cell>
          <cell r="Z24">
            <v>0</v>
          </cell>
        </row>
        <row r="25">
          <cell r="B25" t="str">
            <v>meters</v>
          </cell>
          <cell r="C25" t="str">
            <v>N/A</v>
          </cell>
          <cell r="D25" t="str">
            <v>N/A</v>
          </cell>
          <cell r="E25" t="str">
            <v>N/A</v>
          </cell>
          <cell r="F25" t="str">
            <v>N/A</v>
          </cell>
          <cell r="G25" t="str">
            <v>N/A</v>
          </cell>
          <cell r="H25" t="str">
            <v>N/A</v>
          </cell>
          <cell r="I25" t="str">
            <v>N/A</v>
          </cell>
          <cell r="J25" t="str">
            <v>N/A</v>
          </cell>
          <cell r="K25" t="str">
            <v>N/A</v>
          </cell>
          <cell r="L25" t="str">
            <v>N/A</v>
          </cell>
          <cell r="M25" t="str">
            <v>N/A</v>
          </cell>
          <cell r="N25" t="str">
            <v>N/A</v>
          </cell>
          <cell r="O25" t="str">
            <v>N/A</v>
          </cell>
          <cell r="P25" t="str">
            <v>N/A</v>
          </cell>
          <cell r="Q25" t="str">
            <v>N/A</v>
          </cell>
          <cell r="R25" t="str">
            <v>N/A</v>
          </cell>
          <cell r="S25" t="str">
            <v>N/A</v>
          </cell>
          <cell r="T25" t="str">
            <v>N/A</v>
          </cell>
          <cell r="U25" t="str">
            <v>N/A</v>
          </cell>
          <cell r="V25" t="str">
            <v>N/A</v>
          </cell>
          <cell r="W25" t="str">
            <v>N/A</v>
          </cell>
          <cell r="X25">
            <v>0</v>
          </cell>
          <cell r="Y25">
            <v>1</v>
          </cell>
          <cell r="Z25">
            <v>0</v>
          </cell>
        </row>
        <row r="26">
          <cell r="B26" t="str">
            <v>kilometers</v>
          </cell>
          <cell r="C26" t="str">
            <v>N/A</v>
          </cell>
          <cell r="D26" t="str">
            <v>N/A</v>
          </cell>
          <cell r="E26" t="str">
            <v>N/A</v>
          </cell>
          <cell r="F26" t="str">
            <v>N/A</v>
          </cell>
          <cell r="G26" t="str">
            <v>N/A</v>
          </cell>
          <cell r="H26" t="str">
            <v>N/A</v>
          </cell>
          <cell r="I26" t="str">
            <v>N/A</v>
          </cell>
          <cell r="J26" t="str">
            <v>N/A</v>
          </cell>
          <cell r="K26" t="str">
            <v>N/A</v>
          </cell>
          <cell r="L26" t="str">
            <v>N/A</v>
          </cell>
          <cell r="M26" t="str">
            <v>N/A</v>
          </cell>
          <cell r="N26" t="str">
            <v>N/A</v>
          </cell>
          <cell r="O26" t="str">
            <v>N/A</v>
          </cell>
          <cell r="P26" t="str">
            <v>N/A</v>
          </cell>
          <cell r="Q26" t="str">
            <v>N/A</v>
          </cell>
          <cell r="R26" t="str">
            <v>N/A</v>
          </cell>
          <cell r="S26" t="str">
            <v>N/A</v>
          </cell>
          <cell r="T26" t="str">
            <v>N/A</v>
          </cell>
          <cell r="U26" t="str">
            <v>N/A</v>
          </cell>
          <cell r="V26" t="str">
            <v>N/A</v>
          </cell>
          <cell r="W26" t="str">
            <v>N/A</v>
          </cell>
          <cell r="X26">
            <v>0</v>
          </cell>
          <cell r="Y26">
            <v>0</v>
          </cell>
          <cell r="Z26">
            <v>1</v>
          </cell>
        </row>
      </sheetData>
      <sheetData sheetId="31"/>
      <sheetData sheetId="32"/>
      <sheetData sheetId="33"/>
      <sheetData sheetId="34"/>
      <sheetData sheetId="35"/>
      <sheetData sheetId="36"/>
      <sheetData sheetId="37"/>
      <sheetData sheetId="3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G CONTRACT"/>
      <sheetName val="HVAC"/>
      <sheetName val="PLUMBING"/>
      <sheetName val="ELECTRICAL"/>
      <sheetName val="Sheet1"/>
      <sheetName val="Sheet2"/>
      <sheetName val="Sheet3"/>
    </sheetNames>
    <sheetDataSet>
      <sheetData sheetId="0" refreshError="1">
        <row r="1">
          <cell r="E1" t="str">
            <v xml:space="preserve"> </v>
          </cell>
        </row>
        <row r="2">
          <cell r="A2" t="str">
            <v>PRELIMINARY CONSTRUCTION COST ESTIMATE</v>
          </cell>
        </row>
        <row r="4">
          <cell r="A4" t="str">
            <v>CAPITAL PROJECT</v>
          </cell>
          <cell r="E4" t="str">
            <v>PLANT NAME: SPRING CREEK</v>
          </cell>
        </row>
        <row r="5">
          <cell r="A5" t="str">
            <v>WP-225</v>
          </cell>
          <cell r="E5" t="str">
            <v>PROJECT NAME: AWPCP UPGRADE</v>
          </cell>
        </row>
        <row r="6">
          <cell r="A6" t="str">
            <v>J.C. ESTIMATING, INC./JCE CO.</v>
          </cell>
          <cell r="E6" t="str">
            <v>PRELIMINARY DESIGN</v>
          </cell>
        </row>
        <row r="8">
          <cell r="A8" t="str">
            <v>ITEM</v>
          </cell>
        </row>
        <row r="9">
          <cell r="A9" t="str">
            <v>ITEM</v>
          </cell>
          <cell r="B9" t="str">
            <v>DESCRIPTION</v>
          </cell>
          <cell r="D9" t="str">
            <v>UNIT</v>
          </cell>
          <cell r="E9" t="str">
            <v>QTY</v>
          </cell>
          <cell r="F9" t="str">
            <v>UNIT</v>
          </cell>
          <cell r="G9" t="str">
            <v>AMOUNT</v>
          </cell>
        </row>
        <row r="10">
          <cell r="A10" t="str">
            <v xml:space="preserve"># </v>
          </cell>
          <cell r="B10" t="str">
            <v xml:space="preserve"> </v>
          </cell>
          <cell r="F10" t="str">
            <v>COST $</v>
          </cell>
          <cell r="G10" t="str">
            <v>$</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Data for Charts"/>
      <sheetName val="Results"/>
      <sheetName val="Calculations"/>
      <sheetName val="Inputs"/>
      <sheetName val="Data Request"/>
      <sheetName val="TIGER Reporting Tables"/>
      <sheetName val="Project Costs,15% Estimate"/>
      <sheetName val="Funding Sources"/>
      <sheetName val="Yearly Project Costs"/>
      <sheetName val="Residual Value"/>
      <sheetName val="Train Forecast"/>
      <sheetName val="AADT Forecast"/>
      <sheetName val="Historical AADT"/>
      <sheetName val="Trent Ave. Accident Rate Calc."/>
      <sheetName val="Intersection Collisions"/>
      <sheetName val="Collisions Pivot"/>
      <sheetName val="Spokane Valley - All Collisions"/>
      <sheetName val="AADT Client Data"/>
      <sheetName val="TDM Intersection Delays"/>
      <sheetName val="Collisions"/>
      <sheetName val="FRA Accident Prediction Summary"/>
      <sheetName val="FRA Accident Prediction 2017"/>
      <sheetName val="FRA Accident Prediction 2026"/>
      <sheetName val="FRA Accident Prediction 2036"/>
      <sheetName val="FRA Accident Prediction 2046"/>
      <sheetName val="FRA Accident Prediction 2056"/>
      <sheetName val="FRA Accident Prediction 2062"/>
      <sheetName val="Spokane Historical Collisions"/>
      <sheetName val="Accident Costs"/>
      <sheetName val="Highway Emissions"/>
      <sheetName val="Emission Costs"/>
      <sheetName val="Fuel Costs"/>
      <sheetName val="Miscellaneous"/>
      <sheetName val="Other Vehicle Costs"/>
      <sheetName val="Value of Time"/>
      <sheetName val="Prices and ECI"/>
    </sheetNames>
    <sheetDataSet>
      <sheetData sheetId="0">
        <row r="4">
          <cell r="B4" t="str">
            <v>City of Spokane Valley</v>
          </cell>
        </row>
        <row r="5">
          <cell r="B5" t="str">
            <v>Bridging the Valley: Barker Road Grade Separation Project</v>
          </cell>
        </row>
        <row r="6">
          <cell r="B6" t="str">
            <v>USDOT INFRA and TIGER Grant Application</v>
          </cell>
        </row>
      </sheetData>
      <sheetData sheetId="1"/>
      <sheetData sheetId="2"/>
      <sheetData sheetId="3"/>
      <sheetData sheetId="4">
        <row r="76">
          <cell r="D76">
            <v>907185</v>
          </cell>
        </row>
        <row r="78">
          <cell r="D78">
            <v>5280</v>
          </cell>
        </row>
        <row r="79">
          <cell r="D79">
            <v>1440</v>
          </cell>
        </row>
        <row r="80">
          <cell r="D80">
            <v>365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C"/>
      <sheetName val="PPA"/>
      <sheetName val="Lists"/>
      <sheetName val="StateTax"/>
    </sheetNames>
    <sheetDataSet>
      <sheetData sheetId="0"/>
      <sheetData sheetId="1"/>
      <sheetData sheetId="2">
        <row r="2">
          <cell r="B2" t="str">
            <v>Levelized</v>
          </cell>
          <cell r="D2" t="str">
            <v>Rate Base Reduction</v>
          </cell>
        </row>
        <row r="3">
          <cell r="B3" t="str">
            <v>Interest Only</v>
          </cell>
          <cell r="D3" t="str">
            <v>Amortization</v>
          </cell>
        </row>
      </sheetData>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TE_DATA"/>
      <sheetName val="CALC_RISK"/>
      <sheetName val="TABLE_RISK"/>
      <sheetName val="FINANCIAL"/>
      <sheetName val="CHARTS"/>
      <sheetName val="TABLE_RISK_B"/>
      <sheetName val="OUTPUT"/>
      <sheetName val="INPUT"/>
      <sheetName val="ANALYSIS"/>
      <sheetName val="TOLL SHARE"/>
      <sheetName val="VOLLMER FCST"/>
      <sheetName val="CHART_LARGE"/>
      <sheetName val="TOLLS_CONS"/>
      <sheetName val="TOLLS"/>
      <sheetName val="SENSITIVITY"/>
      <sheetName val="TRANSACTION"/>
      <sheetName val="SCREENLINE"/>
      <sheetName val="VC SPEED"/>
      <sheetName val="VOT"/>
      <sheetName val="HISTORICAL"/>
      <sheetName val="NOTES"/>
      <sheetName val="ECONOMICS"/>
      <sheetName val="AADT"/>
      <sheetName val="SURVEY RESULTS"/>
      <sheetName val="TIME SAVING"/>
      <sheetName val="MAPS"/>
      <sheetName val="INFLATOR"/>
      <sheetName val="DATA LIST"/>
      <sheetName val="TABLES_PPT"/>
      <sheetName val="TOLLS_OLD"/>
      <sheetName val="SCREENLINE_OLD"/>
      <sheetName val="TOLL SHARE_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K8">
            <v>8.9999999999999976E-3</v>
          </cell>
        </row>
        <row r="9">
          <cell r="K9">
            <v>1.0999999999999999E-2</v>
          </cell>
        </row>
        <row r="10">
          <cell r="K10">
            <v>8.6E-3</v>
          </cell>
        </row>
        <row r="11">
          <cell r="K11">
            <v>7.2999999999999992E-3</v>
          </cell>
        </row>
        <row r="12">
          <cell r="K12">
            <v>6.199999999999998E-3</v>
          </cell>
        </row>
        <row r="14">
          <cell r="K14">
            <v>1.7500000000000002E-2</v>
          </cell>
        </row>
        <row r="15">
          <cell r="K15">
            <v>2.0399999999999998E-2</v>
          </cell>
        </row>
        <row r="16">
          <cell r="K16">
            <v>1.6799999999999995E-2</v>
          </cell>
        </row>
        <row r="17">
          <cell r="K17">
            <v>1.6099999999999996E-2</v>
          </cell>
        </row>
        <row r="18">
          <cell r="K18">
            <v>1.7499999999999995E-2</v>
          </cell>
        </row>
        <row r="20">
          <cell r="K20">
            <v>9.9999999999999985E-3</v>
          </cell>
        </row>
        <row r="21">
          <cell r="K21">
            <v>1.2199999999999999E-2</v>
          </cell>
        </row>
        <row r="22">
          <cell r="K22">
            <v>1.0699999999999998E-2</v>
          </cell>
        </row>
        <row r="23">
          <cell r="K23">
            <v>5.0513549856259668E-4</v>
          </cell>
        </row>
        <row r="24">
          <cell r="K24">
            <v>1.9982107096863107E-2</v>
          </cell>
        </row>
        <row r="28">
          <cell r="K28">
            <v>1.26E-2</v>
          </cell>
        </row>
        <row r="29">
          <cell r="K29">
            <v>1.83E-2</v>
          </cell>
        </row>
        <row r="30">
          <cell r="K30">
            <v>1.2199999999999992E-2</v>
          </cell>
        </row>
        <row r="31">
          <cell r="K31">
            <v>1.2E-2</v>
          </cell>
        </row>
        <row r="32">
          <cell r="K32">
            <v>9.9999999999999915E-3</v>
          </cell>
        </row>
        <row r="34">
          <cell r="K34">
            <v>1.8799999999999997E-2</v>
          </cell>
        </row>
        <row r="35">
          <cell r="K35">
            <v>2.4199999999999992E-2</v>
          </cell>
        </row>
        <row r="36">
          <cell r="K36">
            <v>1.9299999999999991E-2</v>
          </cell>
        </row>
        <row r="37">
          <cell r="K37">
            <v>1.9199999999999998E-2</v>
          </cell>
        </row>
        <row r="38">
          <cell r="K38">
            <v>1.8699999999999998E-2</v>
          </cell>
        </row>
        <row r="40">
          <cell r="K40">
            <v>8.9999999999999976E-3</v>
          </cell>
        </row>
        <row r="41">
          <cell r="K41">
            <v>1.5599999999999999E-2</v>
          </cell>
        </row>
        <row r="42">
          <cell r="K42">
            <v>1.4199999999999997E-2</v>
          </cell>
        </row>
        <row r="43">
          <cell r="K43">
            <v>1.38E-2</v>
          </cell>
        </row>
        <row r="44">
          <cell r="K44">
            <v>1.3600000000000001E-2</v>
          </cell>
        </row>
        <row r="47">
          <cell r="K47">
            <v>9.0000000000000011E-3</v>
          </cell>
        </row>
        <row r="48">
          <cell r="K48">
            <v>0.03</v>
          </cell>
        </row>
        <row r="49">
          <cell r="K49">
            <v>0.03</v>
          </cell>
        </row>
        <row r="57">
          <cell r="K57">
            <v>3.5000000000000003E-2</v>
          </cell>
        </row>
        <row r="58">
          <cell r="K58">
            <v>0.03</v>
          </cell>
        </row>
        <row r="59">
          <cell r="K59">
            <v>2.4999999999999998E-2</v>
          </cell>
        </row>
        <row r="61">
          <cell r="K61">
            <v>3.9999999999999994E-2</v>
          </cell>
        </row>
        <row r="62">
          <cell r="K62">
            <v>3.4999999999999996E-2</v>
          </cell>
        </row>
        <row r="63">
          <cell r="K63">
            <v>2.4999999999999998E-2</v>
          </cell>
        </row>
        <row r="83">
          <cell r="K83">
            <v>0.9</v>
          </cell>
        </row>
        <row r="84">
          <cell r="K84">
            <v>0.8</v>
          </cell>
        </row>
        <row r="89">
          <cell r="K89">
            <v>0.64999999999999991</v>
          </cell>
        </row>
        <row r="92">
          <cell r="K92">
            <v>1</v>
          </cell>
        </row>
        <row r="93">
          <cell r="K93">
            <v>2</v>
          </cell>
        </row>
        <row r="94">
          <cell r="K94">
            <v>4</v>
          </cell>
        </row>
        <row r="96">
          <cell r="K96">
            <v>250</v>
          </cell>
        </row>
        <row r="97">
          <cell r="K97">
            <v>104</v>
          </cell>
        </row>
        <row r="100">
          <cell r="K100">
            <v>1000000</v>
          </cell>
        </row>
        <row r="103">
          <cell r="K103">
            <v>0.65</v>
          </cell>
        </row>
        <row r="109">
          <cell r="K109">
            <v>0.25</v>
          </cell>
        </row>
        <row r="110">
          <cell r="K110">
            <v>0.65</v>
          </cell>
        </row>
        <row r="111">
          <cell r="K111">
            <v>0.1</v>
          </cell>
        </row>
        <row r="138">
          <cell r="K138">
            <v>0</v>
          </cell>
        </row>
        <row r="139">
          <cell r="K139">
            <v>0</v>
          </cell>
        </row>
      </sheetData>
      <sheetData sheetId="8" refreshError="1">
        <row r="305">
          <cell r="C305">
            <v>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G CONTRACT"/>
      <sheetName val="HVAC"/>
      <sheetName val="PLUMBING"/>
      <sheetName val="ELECTRICAL"/>
    </sheetNames>
    <sheetDataSet>
      <sheetData sheetId="0" refreshError="1">
        <row r="1">
          <cell r="E1" t="str">
            <v xml:space="preserve"> </v>
          </cell>
        </row>
        <row r="2">
          <cell r="A2" t="str">
            <v>PRELIMINARY CONSTRUCTION COST ESTIMATE</v>
          </cell>
        </row>
        <row r="4">
          <cell r="A4" t="str">
            <v>CAPITAL PROJECT</v>
          </cell>
          <cell r="E4" t="str">
            <v>PLANT NAME: SPRING CREEK</v>
          </cell>
        </row>
        <row r="5">
          <cell r="A5" t="str">
            <v>WP-225</v>
          </cell>
          <cell r="E5" t="str">
            <v>PROJECT NAME: AWPCP UPGRADE</v>
          </cell>
        </row>
        <row r="6">
          <cell r="A6" t="str">
            <v>J.C. ESTIMATING, INC./JCE CO.</v>
          </cell>
          <cell r="E6" t="str">
            <v>PRELIMINARY DESIGN</v>
          </cell>
        </row>
        <row r="8">
          <cell r="A8" t="str">
            <v>ITEM</v>
          </cell>
        </row>
        <row r="9">
          <cell r="A9" t="str">
            <v>ITEM</v>
          </cell>
          <cell r="B9" t="str">
            <v>DESCRIPTION</v>
          </cell>
          <cell r="D9" t="str">
            <v>UNIT</v>
          </cell>
          <cell r="E9" t="str">
            <v>QTY</v>
          </cell>
          <cell r="F9" t="str">
            <v>UNIT</v>
          </cell>
          <cell r="G9" t="str">
            <v>AMOUNT</v>
          </cell>
        </row>
        <row r="10">
          <cell r="A10" t="str">
            <v xml:space="preserve"># </v>
          </cell>
          <cell r="B10" t="str">
            <v xml:space="preserve"> </v>
          </cell>
          <cell r="F10" t="str">
            <v>COST $</v>
          </cell>
          <cell r="G10" t="str">
            <v>$</v>
          </cell>
        </row>
      </sheetData>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t_summ"/>
      <sheetName val="BC_summ"/>
      <sheetName val="fees"/>
      <sheetName val="staff"/>
      <sheetName val="emp"/>
      <sheetName val="GL_upload"/>
      <sheetName val="Capital_Budget"/>
      <sheetName val="formulas"/>
      <sheetName val="main_menu"/>
      <sheetName val="Initiate"/>
      <sheetName val="GLC_SUM_VIEW"/>
      <sheetName val="BC_VIEW"/>
      <sheetName val="VIEW_GOTO"/>
      <sheetName val="VERSION"/>
      <sheetName val="ModRoutines"/>
      <sheetName val="Mod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BQ4">
            <v>1</v>
          </cell>
          <cell r="BR4" t="str">
            <v>Alabama</v>
          </cell>
          <cell r="BU4">
            <v>1</v>
          </cell>
          <cell r="BV4" t="str">
            <v>HDR, Architecture</v>
          </cell>
          <cell r="BW4">
            <v>0.01</v>
          </cell>
        </row>
        <row r="5">
          <cell r="BQ5">
            <v>2</v>
          </cell>
          <cell r="BR5" t="str">
            <v>Alaska</v>
          </cell>
          <cell r="BU5">
            <v>2</v>
          </cell>
          <cell r="BV5" t="str">
            <v>HDR, Engineering</v>
          </cell>
          <cell r="BW5">
            <v>5.0000000000000001E-3</v>
          </cell>
        </row>
        <row r="6">
          <cell r="BQ6">
            <v>3</v>
          </cell>
          <cell r="BR6" t="str">
            <v>Arizonia</v>
          </cell>
          <cell r="BU6">
            <v>3</v>
          </cell>
          <cell r="BV6" t="str">
            <v>HDR, Security</v>
          </cell>
          <cell r="BW6">
            <v>0.01</v>
          </cell>
        </row>
        <row r="7">
          <cell r="BQ7">
            <v>4</v>
          </cell>
          <cell r="BR7" t="str">
            <v>Arkansas</v>
          </cell>
          <cell r="BU7">
            <v>4</v>
          </cell>
          <cell r="BV7" t="str">
            <v>HDR, Inc.</v>
          </cell>
          <cell r="BW7">
            <v>0</v>
          </cell>
        </row>
        <row r="8">
          <cell r="BQ8">
            <v>5</v>
          </cell>
          <cell r="BR8" t="str">
            <v>California</v>
          </cell>
          <cell r="BU8">
            <v>5</v>
          </cell>
          <cell r="BV8" t="str">
            <v>HDR, Engineering of Carolinas</v>
          </cell>
          <cell r="BW8">
            <v>5.0000000000000001E-3</v>
          </cell>
        </row>
        <row r="9">
          <cell r="BQ9">
            <v>6</v>
          </cell>
          <cell r="BR9" t="str">
            <v>Colorado</v>
          </cell>
          <cell r="BU9">
            <v>6</v>
          </cell>
          <cell r="BV9" t="str">
            <v>HDR, Construction Control</v>
          </cell>
          <cell r="BW9">
            <v>5.0000000000000001E-3</v>
          </cell>
        </row>
        <row r="10">
          <cell r="BQ10">
            <v>7</v>
          </cell>
          <cell r="BR10" t="str">
            <v>Connecticut</v>
          </cell>
          <cell r="BU10">
            <v>7</v>
          </cell>
          <cell r="BV10" t="str">
            <v>HDR/Edwards Consulting, Inc.</v>
          </cell>
          <cell r="BW10">
            <v>0.01</v>
          </cell>
        </row>
        <row r="11">
          <cell r="BQ11">
            <v>8</v>
          </cell>
          <cell r="BR11" t="str">
            <v>Delaware</v>
          </cell>
          <cell r="BU11">
            <v>8</v>
          </cell>
          <cell r="BV11" t="str">
            <v>HDR, Alaska</v>
          </cell>
          <cell r="BW11">
            <v>5.0000000000000001E-3</v>
          </cell>
        </row>
        <row r="12">
          <cell r="BQ12">
            <v>9</v>
          </cell>
          <cell r="BR12" t="str">
            <v>Dist. of Columbia</v>
          </cell>
          <cell r="BU12">
            <v>9</v>
          </cell>
          <cell r="BV12" t="str">
            <v>HDR, Acquisition Services</v>
          </cell>
          <cell r="BW12">
            <v>5.0000000000000001E-3</v>
          </cell>
        </row>
        <row r="13">
          <cell r="BQ13">
            <v>10</v>
          </cell>
          <cell r="BR13" t="str">
            <v>Florida</v>
          </cell>
          <cell r="BU13">
            <v>10</v>
          </cell>
          <cell r="BV13" t="str">
            <v>HDR, SSR</v>
          </cell>
          <cell r="BW13">
            <v>5.0000000000000001E-3</v>
          </cell>
        </row>
        <row r="14">
          <cell r="BQ14">
            <v>11</v>
          </cell>
          <cell r="BR14" t="str">
            <v>Georgia</v>
          </cell>
          <cell r="BU14">
            <v>11</v>
          </cell>
          <cell r="BV14" t="str">
            <v>HDR, Design Build</v>
          </cell>
          <cell r="BW14">
            <v>5.0000000000000001E-3</v>
          </cell>
        </row>
        <row r="15">
          <cell r="BQ15">
            <v>12</v>
          </cell>
          <cell r="BR15" t="str">
            <v>Hawaii</v>
          </cell>
          <cell r="BU15">
            <v>12</v>
          </cell>
          <cell r="BV15" t="str">
            <v>HDR, Fish Pro</v>
          </cell>
          <cell r="BW15">
            <v>5.0000000000000001E-3</v>
          </cell>
        </row>
        <row r="16">
          <cell r="BQ16">
            <v>13</v>
          </cell>
          <cell r="BR16" t="str">
            <v>Idaho</v>
          </cell>
          <cell r="BU16">
            <v>13</v>
          </cell>
          <cell r="BV16" t="str">
            <v>HDR, Henningson Durham Richardson, PC</v>
          </cell>
          <cell r="BW16">
            <v>0.01</v>
          </cell>
        </row>
        <row r="17">
          <cell r="BQ17">
            <v>14</v>
          </cell>
          <cell r="BR17" t="str">
            <v>Illinois</v>
          </cell>
          <cell r="BU17">
            <v>14</v>
          </cell>
          <cell r="BV17" t="str">
            <v>HDR, Henningson Durham Richardson, International</v>
          </cell>
          <cell r="BW17">
            <v>0.01</v>
          </cell>
        </row>
        <row r="18">
          <cell r="BQ18">
            <v>15</v>
          </cell>
          <cell r="BR18" t="str">
            <v>Indiana</v>
          </cell>
          <cell r="BU18">
            <v>15</v>
          </cell>
          <cell r="BV18" t="str">
            <v>HDR, Gold Cube</v>
          </cell>
        </row>
        <row r="19">
          <cell r="BQ19">
            <v>16</v>
          </cell>
          <cell r="BR19" t="str">
            <v>Iowa</v>
          </cell>
          <cell r="BU19">
            <v>16</v>
          </cell>
          <cell r="BV19" t="str">
            <v>W.L. Jorden</v>
          </cell>
          <cell r="BW19">
            <v>5.0000000000000001E-3</v>
          </cell>
        </row>
        <row r="20">
          <cell r="BQ20">
            <v>17</v>
          </cell>
          <cell r="BR20" t="str">
            <v>Kansas</v>
          </cell>
          <cell r="BU20">
            <v>17</v>
          </cell>
          <cell r="BV20" t="str">
            <v>HDR, PDS</v>
          </cell>
          <cell r="BW20">
            <v>0.01</v>
          </cell>
        </row>
        <row r="21">
          <cell r="BQ21">
            <v>18</v>
          </cell>
          <cell r="BR21" t="str">
            <v>Kentucky</v>
          </cell>
          <cell r="BU21">
            <v>18</v>
          </cell>
          <cell r="BV21" t="str">
            <v>CGVL</v>
          </cell>
          <cell r="BW21">
            <v>5.0000000000000001E-3</v>
          </cell>
        </row>
        <row r="22">
          <cell r="BQ22">
            <v>19</v>
          </cell>
          <cell r="BR22" t="str">
            <v>Louisiana</v>
          </cell>
        </row>
        <row r="23">
          <cell r="BQ23">
            <v>20</v>
          </cell>
          <cell r="BR23" t="str">
            <v>Maine</v>
          </cell>
        </row>
        <row r="24">
          <cell r="BQ24">
            <v>21</v>
          </cell>
          <cell r="BR24" t="str">
            <v>Maryland</v>
          </cell>
        </row>
        <row r="25">
          <cell r="BQ25">
            <v>22</v>
          </cell>
          <cell r="BR25" t="str">
            <v>Massachusetts</v>
          </cell>
        </row>
        <row r="26">
          <cell r="BQ26">
            <v>23</v>
          </cell>
          <cell r="BR26" t="str">
            <v>Michigan</v>
          </cell>
        </row>
        <row r="27">
          <cell r="BQ27">
            <v>24</v>
          </cell>
          <cell r="BR27" t="str">
            <v>Minnesota</v>
          </cell>
        </row>
        <row r="28">
          <cell r="BQ28">
            <v>25</v>
          </cell>
          <cell r="BR28" t="str">
            <v>Mississippi</v>
          </cell>
        </row>
        <row r="29">
          <cell r="BQ29">
            <v>26</v>
          </cell>
          <cell r="BR29" t="str">
            <v>Missouri</v>
          </cell>
        </row>
        <row r="30">
          <cell r="BQ30">
            <v>27</v>
          </cell>
          <cell r="BR30" t="str">
            <v>Montana</v>
          </cell>
        </row>
        <row r="31">
          <cell r="BQ31">
            <v>28</v>
          </cell>
          <cell r="BR31" t="str">
            <v>Nebraska</v>
          </cell>
        </row>
        <row r="32">
          <cell r="BQ32">
            <v>29</v>
          </cell>
          <cell r="BR32" t="str">
            <v>Nevada</v>
          </cell>
        </row>
        <row r="33">
          <cell r="BQ33">
            <v>30</v>
          </cell>
          <cell r="BR33" t="str">
            <v>New Hampshire</v>
          </cell>
        </row>
        <row r="34">
          <cell r="BQ34">
            <v>31</v>
          </cell>
          <cell r="BR34" t="str">
            <v>New Jersey</v>
          </cell>
        </row>
        <row r="35">
          <cell r="BQ35">
            <v>32</v>
          </cell>
          <cell r="BR35" t="str">
            <v>New Mexico</v>
          </cell>
        </row>
        <row r="36">
          <cell r="BQ36">
            <v>33</v>
          </cell>
          <cell r="BR36" t="str">
            <v>New York</v>
          </cell>
        </row>
        <row r="37">
          <cell r="BQ37">
            <v>34</v>
          </cell>
          <cell r="BR37" t="str">
            <v>North Carolina</v>
          </cell>
        </row>
        <row r="38">
          <cell r="BQ38">
            <v>35</v>
          </cell>
          <cell r="BR38" t="str">
            <v>North Dakota</v>
          </cell>
        </row>
        <row r="39">
          <cell r="BQ39">
            <v>36</v>
          </cell>
          <cell r="BR39" t="str">
            <v>Ohio</v>
          </cell>
        </row>
        <row r="40">
          <cell r="BQ40">
            <v>37</v>
          </cell>
          <cell r="BR40" t="str">
            <v>Oklahoma</v>
          </cell>
        </row>
        <row r="41">
          <cell r="BQ41">
            <v>38</v>
          </cell>
          <cell r="BR41" t="str">
            <v>Oregon</v>
          </cell>
        </row>
        <row r="42">
          <cell r="BQ42">
            <v>39</v>
          </cell>
          <cell r="BR42" t="str">
            <v>Pennsylvania</v>
          </cell>
        </row>
        <row r="43">
          <cell r="BQ43">
            <v>40</v>
          </cell>
          <cell r="BR43" t="str">
            <v>Rhode Island</v>
          </cell>
        </row>
        <row r="44">
          <cell r="BQ44">
            <v>41</v>
          </cell>
          <cell r="BR44" t="str">
            <v>South Carolina</v>
          </cell>
        </row>
        <row r="45">
          <cell r="BQ45">
            <v>42</v>
          </cell>
          <cell r="BR45" t="str">
            <v>South Dakota</v>
          </cell>
        </row>
        <row r="46">
          <cell r="BQ46">
            <v>43</v>
          </cell>
          <cell r="BR46" t="str">
            <v>Tennessee</v>
          </cell>
        </row>
        <row r="47">
          <cell r="BQ47">
            <v>44</v>
          </cell>
          <cell r="BR47" t="str">
            <v>Texas</v>
          </cell>
        </row>
        <row r="48">
          <cell r="BQ48">
            <v>45</v>
          </cell>
          <cell r="BR48" t="str">
            <v>Utah</v>
          </cell>
        </row>
        <row r="49">
          <cell r="BQ49">
            <v>46</v>
          </cell>
          <cell r="BR49" t="str">
            <v>Vermont</v>
          </cell>
        </row>
        <row r="50">
          <cell r="BQ50">
            <v>47</v>
          </cell>
          <cell r="BR50" t="str">
            <v>Virginia</v>
          </cell>
        </row>
        <row r="51">
          <cell r="BQ51">
            <v>48</v>
          </cell>
          <cell r="BR51" t="str">
            <v>Washington</v>
          </cell>
        </row>
        <row r="52">
          <cell r="BQ52">
            <v>49</v>
          </cell>
          <cell r="BR52" t="str">
            <v>West Virginia</v>
          </cell>
        </row>
        <row r="53">
          <cell r="BQ53">
            <v>50</v>
          </cell>
          <cell r="BR53" t="str">
            <v>Wisconsin</v>
          </cell>
        </row>
        <row r="54">
          <cell r="BQ54">
            <v>51</v>
          </cell>
          <cell r="BR54" t="str">
            <v>Wyoming</v>
          </cell>
        </row>
        <row r="65">
          <cell r="A65">
            <v>0</v>
          </cell>
          <cell r="B65">
            <v>0</v>
          </cell>
        </row>
        <row r="66">
          <cell r="A66">
            <v>1</v>
          </cell>
          <cell r="B66">
            <v>1.54</v>
          </cell>
        </row>
        <row r="67">
          <cell r="A67">
            <v>2</v>
          </cell>
          <cell r="B67">
            <v>2.31</v>
          </cell>
        </row>
        <row r="68">
          <cell r="A68">
            <v>3</v>
          </cell>
          <cell r="B68">
            <v>2.4700000000000002</v>
          </cell>
        </row>
        <row r="69">
          <cell r="A69">
            <v>4</v>
          </cell>
          <cell r="B69">
            <v>2.62</v>
          </cell>
        </row>
        <row r="70">
          <cell r="A70">
            <v>5</v>
          </cell>
          <cell r="B70">
            <v>2.77</v>
          </cell>
        </row>
        <row r="71">
          <cell r="A71">
            <v>6</v>
          </cell>
          <cell r="B71">
            <v>2.93</v>
          </cell>
        </row>
        <row r="72">
          <cell r="A72">
            <v>7</v>
          </cell>
          <cell r="B72">
            <v>3.08</v>
          </cell>
        </row>
        <row r="73">
          <cell r="A73">
            <v>8</v>
          </cell>
          <cell r="B73">
            <v>1.155</v>
          </cell>
        </row>
        <row r="74">
          <cell r="A74">
            <v>9</v>
          </cell>
          <cell r="B74">
            <v>1.73</v>
          </cell>
        </row>
        <row r="75">
          <cell r="A75">
            <v>10</v>
          </cell>
          <cell r="B75">
            <v>1.85</v>
          </cell>
        </row>
        <row r="76">
          <cell r="A76">
            <v>11</v>
          </cell>
          <cell r="B76">
            <v>1.9650000000000001</v>
          </cell>
        </row>
        <row r="77">
          <cell r="A77">
            <v>12</v>
          </cell>
          <cell r="B77">
            <v>2.077</v>
          </cell>
        </row>
        <row r="78">
          <cell r="A78">
            <v>13</v>
          </cell>
          <cell r="B78">
            <v>2.1970000000000001</v>
          </cell>
        </row>
        <row r="79">
          <cell r="A79">
            <v>14</v>
          </cell>
          <cell r="B79">
            <v>2.31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ublic"/>
      <sheetName val="Weightings"/>
      <sheetName val="Evaluation"/>
      <sheetName val="General Notes"/>
      <sheetName val="Emissions"/>
      <sheetName val="Mode Shift"/>
      <sheetName val="Safety"/>
      <sheetName val="Cycling Capacity"/>
      <sheetName val="Capital Cost"/>
      <sheetName val="Line Items"/>
      <sheetName val="Travel Times"/>
      <sheetName val="Vissim Inputs"/>
      <sheetName val="Vissim Results&gt;"/>
      <sheetName val="Op 1 Node"/>
      <sheetName val="Op 1 TT"/>
      <sheetName val="Op 2 Node"/>
      <sheetName val="Op 2 TT"/>
      <sheetName val="Op 3 Node"/>
      <sheetName val="Op 3 TT"/>
      <sheetName val="Op 3 Node Shift"/>
      <sheetName val="Op 3 TT Shift"/>
      <sheetName val="Sheet1"/>
    </sheetNames>
    <sheetDataSet>
      <sheetData sheetId="0"/>
      <sheetData sheetId="1"/>
      <sheetData sheetId="2"/>
      <sheetData sheetId="3">
        <row r="45">
          <cell r="C45">
            <v>5</v>
          </cell>
        </row>
        <row r="46">
          <cell r="C46">
            <v>4</v>
          </cell>
        </row>
        <row r="47">
          <cell r="C47">
            <v>3</v>
          </cell>
        </row>
        <row r="48">
          <cell r="C48">
            <v>2</v>
          </cell>
        </row>
        <row r="49">
          <cell r="C49">
            <v>1</v>
          </cell>
        </row>
      </sheetData>
      <sheetData sheetId="4"/>
      <sheetData sheetId="5"/>
      <sheetData sheetId="6"/>
      <sheetData sheetId="7"/>
      <sheetData sheetId="8"/>
      <sheetData sheetId="9"/>
      <sheetData sheetId="10">
        <row r="9">
          <cell r="D9">
            <v>90.36</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Down"/>
      <sheetName val="Project"/>
      <sheetName val="Variable_Fact"/>
      <sheetName val="BubData"/>
      <sheetName val="BubForm"/>
      <sheetName val="BubParm"/>
      <sheetName val="Key Costing Assumptions"/>
      <sheetName val="Input"/>
      <sheetName val="Temp"/>
      <sheetName val="Base_Results"/>
      <sheetName val="CF_outputAR"/>
      <sheetName val="Base_Results_1"/>
      <sheetName val="Base_Results_Alt"/>
      <sheetName val="CF_outputAlt"/>
      <sheetName val="Public Private Results"/>
      <sheetName val="Base_Results_Ref"/>
      <sheetName val="CF_outputRef"/>
      <sheetName val="Project_tv"/>
      <sheetName val="Factor_tv"/>
      <sheetName val="Defaults_Used"/>
      <sheetName val="Defaults Used"/>
      <sheetName val="Defaults"/>
      <sheetName val="PCA_Cfclass"/>
      <sheetName val="PCA_Group"/>
      <sheetName val="PCA_TradRating"/>
      <sheetName val="Sensitivity Diagram"/>
      <sheetName val="Sensitivity"/>
      <sheetName val="Probabilistic Chart"/>
      <sheetName val="Probabilistic"/>
      <sheetName val="rshCostSummary_Values"/>
      <sheetName val="IVALocalServRpt"/>
      <sheetName val="Inpt_Tmpl"/>
      <sheetName val="Map_input"/>
      <sheetName val="BubPca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234">
          <cell r="A234" t="str">
            <v>Eng Cust Service Non-Mgmt - CO</v>
          </cell>
          <cell r="B234">
            <v>0</v>
          </cell>
          <cell r="C234">
            <v>0</v>
          </cell>
          <cell r="D234">
            <v>0</v>
          </cell>
          <cell r="E234">
            <v>0</v>
          </cell>
        </row>
        <row r="235">
          <cell r="A235" t="str">
            <v>Plant I&amp;R - CO</v>
          </cell>
          <cell r="B235">
            <v>0</v>
          </cell>
          <cell r="C235">
            <v>0</v>
          </cell>
          <cell r="D235">
            <v>0</v>
          </cell>
          <cell r="E235">
            <v>0</v>
          </cell>
        </row>
        <row r="236">
          <cell r="A236" t="str">
            <v>Plant Central Office Technician - CO</v>
          </cell>
          <cell r="B236">
            <v>0</v>
          </cell>
          <cell r="C236">
            <v>0</v>
          </cell>
          <cell r="D236">
            <v>0</v>
          </cell>
          <cell r="E236">
            <v>0</v>
          </cell>
        </row>
        <row r="237">
          <cell r="A237" t="str">
            <v>Eng Mgmt Company - Total</v>
          </cell>
          <cell r="B237">
            <v>0</v>
          </cell>
          <cell r="C237">
            <v>0</v>
          </cell>
          <cell r="D237">
            <v>0</v>
          </cell>
          <cell r="E237">
            <v>0</v>
          </cell>
        </row>
        <row r="238">
          <cell r="A238" t="str">
            <v>Eng Non-Mgmt Company - Total</v>
          </cell>
          <cell r="B238">
            <v>0</v>
          </cell>
          <cell r="C238">
            <v>0</v>
          </cell>
          <cell r="D238">
            <v>0</v>
          </cell>
          <cell r="E238">
            <v>0</v>
          </cell>
        </row>
        <row r="239">
          <cell r="A239" t="str">
            <v>Eng Mgmt and Non-Mgmt - Total</v>
          </cell>
          <cell r="B239">
            <v>0</v>
          </cell>
          <cell r="C239">
            <v>0</v>
          </cell>
          <cell r="D239">
            <v>0</v>
          </cell>
          <cell r="E239">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Risk Register"/>
      <sheetName val="Traffic Risk"/>
      <sheetName val="Paste@RISK"/>
      <sheetName val="@RISK Sum"/>
      <sheetName val="Tornado"/>
      <sheetName val="Summary"/>
      <sheetName val="Hazmat Sched"/>
      <sheetName val="HazMat Cost"/>
      <sheetName val="GAR Sched"/>
      <sheetName val="GAR Cost"/>
      <sheetName val="Seismic Sched"/>
      <sheetName val="Seismic Cost"/>
      <sheetName val="ROW Sched"/>
      <sheetName val="ROW Cost"/>
      <sheetName val="Utility Sched"/>
      <sheetName val="Utility Cost"/>
      <sheetName val="Overall Sched"/>
      <sheetName val="Overall Cost"/>
      <sheetName val="Traffic Risk Cost"/>
      <sheetName val="Flowchart"/>
      <sheetName val="RR Backup Data"/>
      <sheetName val="RAAV"/>
      <sheetName val="MAP"/>
      <sheetName val="Capital"/>
      <sheetName val="HazMat Fuel Depot"/>
      <sheetName val="HazMat Tesero"/>
      <sheetName val="Earthquake Map"/>
      <sheetName val="Quake1"/>
      <sheetName val="Quake2"/>
      <sheetName val="Quake3"/>
      <sheetName val="Design Criteria"/>
      <sheetName val="Liquifaction"/>
      <sheetName val="ROW1"/>
      <sheetName val="ROW2"/>
      <sheetName val="Khalid's Risk Register"/>
      <sheetName val="SR - 520 CEVP Risk Register"/>
      <sheetName val="WSDOT CEVP Risk Register"/>
      <sheetName val="NYC Groundwater Risk Register"/>
      <sheetName val="AARC Risk Register"/>
      <sheetName val="Support"/>
      <sheetName val="Distribution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2">
          <cell r="B2" t="str">
            <v>Binomial</v>
          </cell>
        </row>
        <row r="10">
          <cell r="B10" t="str">
            <v>Avoidance</v>
          </cell>
        </row>
        <row r="11">
          <cell r="B11" t="str">
            <v>Transference</v>
          </cell>
        </row>
        <row r="12">
          <cell r="B12" t="str">
            <v>Mitigation</v>
          </cell>
        </row>
        <row r="13">
          <cell r="B13" t="str">
            <v>Acceptance</v>
          </cell>
        </row>
        <row r="14">
          <cell r="B14" t="str">
            <v>N/A</v>
          </cell>
        </row>
        <row r="17">
          <cell r="B17" t="str">
            <v>Active</v>
          </cell>
        </row>
        <row r="18">
          <cell r="B18" t="str">
            <v>Dormant</v>
          </cell>
        </row>
        <row r="19">
          <cell r="B19" t="str">
            <v>Retired</v>
          </cell>
        </row>
        <row r="22">
          <cell r="B22" t="str">
            <v>Very High</v>
          </cell>
        </row>
        <row r="23">
          <cell r="B23" t="str">
            <v>High</v>
          </cell>
        </row>
        <row r="24">
          <cell r="B24" t="str">
            <v>Moderate</v>
          </cell>
        </row>
        <row r="25">
          <cell r="B25" t="str">
            <v>Low</v>
          </cell>
        </row>
        <row r="26">
          <cell r="B26" t="str">
            <v>Very Low</v>
          </cell>
        </row>
        <row r="27">
          <cell r="B27" t="str">
            <v>N/A</v>
          </cell>
        </row>
        <row r="30">
          <cell r="B30" t="str">
            <v>Scoping</v>
          </cell>
        </row>
        <row r="31">
          <cell r="B31" t="str">
            <v>Design/PS&amp;E</v>
          </cell>
        </row>
        <row r="32">
          <cell r="B32" t="str">
            <v>Construction</v>
          </cell>
        </row>
        <row r="35">
          <cell r="B35" t="str">
            <v>Bool_C11</v>
          </cell>
          <cell r="C35" t="str">
            <v>Coordination challenges</v>
          </cell>
        </row>
        <row r="36">
          <cell r="B36" t="str">
            <v>Bool_C18</v>
          </cell>
          <cell r="C36" t="str">
            <v>Winter roadway work</v>
          </cell>
        </row>
        <row r="37">
          <cell r="B37" t="str">
            <v>Bool_C19</v>
          </cell>
          <cell r="C37" t="str">
            <v>Reduce amount of compost</v>
          </cell>
        </row>
        <row r="38">
          <cell r="B38" t="str">
            <v>Bool_C2</v>
          </cell>
          <cell r="C38" t="str">
            <v>Fish work window</v>
          </cell>
        </row>
        <row r="39">
          <cell r="B39" t="str">
            <v>Bool_C20</v>
          </cell>
          <cell r="C39" t="str">
            <v xml:space="preserve">Moving temporary barrier </v>
          </cell>
        </row>
        <row r="40">
          <cell r="B40" t="str">
            <v>Bool_C21</v>
          </cell>
          <cell r="C40" t="str">
            <v>Percentage of other miscellaneous items</v>
          </cell>
        </row>
        <row r="41">
          <cell r="B41" t="str">
            <v>Bool_C22</v>
          </cell>
          <cell r="C41" t="str">
            <v>Unsuitable foundation excavation &amp; fill costs</v>
          </cell>
        </row>
        <row r="42">
          <cell r="B42" t="str">
            <v>Bool_C3</v>
          </cell>
          <cell r="C42" t="str">
            <v>Construction work window</v>
          </cell>
        </row>
        <row r="43">
          <cell r="B43" t="str">
            <v>Bool_D1</v>
          </cell>
          <cell r="C43" t="str">
            <v>Design deviations unapproved</v>
          </cell>
        </row>
        <row r="44">
          <cell r="B44" t="str">
            <v>Bool_D10</v>
          </cell>
          <cell r="C44" t="str">
            <v>Unknown hazardous waste found during construction</v>
          </cell>
        </row>
        <row r="45">
          <cell r="B45" t="str">
            <v>Bool_D12</v>
          </cell>
          <cell r="C45" t="str">
            <v>Unanticipated geotechnical hazards</v>
          </cell>
        </row>
        <row r="46">
          <cell r="B46" t="str">
            <v>Bool_D16</v>
          </cell>
          <cell r="C46" t="str">
            <v>Unexpected construction staging issues (during DESIGN/PS&amp;E)</v>
          </cell>
        </row>
        <row r="47">
          <cell r="B47" t="str">
            <v>Bool_D5</v>
          </cell>
          <cell r="C47" t="str">
            <v>Cattle pass underneath Maytown bridges not included in design</v>
          </cell>
        </row>
        <row r="48">
          <cell r="B48" t="str">
            <v>Bool_D6</v>
          </cell>
          <cell r="C48" t="str">
            <v>Piezometer readings effecting pond designs</v>
          </cell>
        </row>
        <row r="49">
          <cell r="B49" t="str">
            <v>Bool_D7</v>
          </cell>
          <cell r="C49" t="str">
            <v>Development impacts</v>
          </cell>
        </row>
        <row r="50">
          <cell r="B50" t="str">
            <v>Bool_D8</v>
          </cell>
          <cell r="C50" t="str">
            <v>Fish habitat and passage issues</v>
          </cell>
        </row>
        <row r="51">
          <cell r="B51" t="str">
            <v>Bool_D9 NEW</v>
          </cell>
          <cell r="C51" t="str">
            <v>Disposal of surplus material</v>
          </cell>
        </row>
        <row r="52">
          <cell r="B52" t="str">
            <v>Bool_E1</v>
          </cell>
          <cell r="C52" t="str">
            <v>NEPA DCE vs. EA</v>
          </cell>
        </row>
        <row r="53">
          <cell r="B53" t="str">
            <v>Bool_E10</v>
          </cell>
          <cell r="C53" t="str">
            <v>Unknown cultural resources discovered during construction</v>
          </cell>
        </row>
        <row r="54">
          <cell r="B54" t="str">
            <v>Bool_E2</v>
          </cell>
          <cell r="C54" t="str">
            <v>Reduction in storm water pond size</v>
          </cell>
        </row>
        <row r="55">
          <cell r="B55" t="str">
            <v>Bool_E6</v>
          </cell>
          <cell r="C55" t="str">
            <v>Uncertainty in the environmental permitting process</v>
          </cell>
        </row>
        <row r="56">
          <cell r="B56" t="str">
            <v>Bool_P1</v>
          </cell>
          <cell r="C56" t="str">
            <v>Rest area improvements design coordination challenges</v>
          </cell>
        </row>
        <row r="57">
          <cell r="B57" t="str">
            <v>Bool_P4</v>
          </cell>
          <cell r="C57" t="str">
            <v xml:space="preserve"> Agreements</v>
          </cell>
        </row>
        <row r="58">
          <cell r="B58" t="str">
            <v>Bool_P5</v>
          </cell>
          <cell r="C58" t="str">
            <v>Functional units not available, overloaded</v>
          </cell>
        </row>
        <row r="59">
          <cell r="B59" t="str">
            <v>Bool_P6</v>
          </cell>
          <cell r="C59" t="str">
            <v>Consultant or contractor delays</v>
          </cell>
        </row>
        <row r="60">
          <cell r="B60" t="str">
            <v>Bool_R3</v>
          </cell>
          <cell r="C60" t="str">
            <v>Utility relocation</v>
          </cell>
        </row>
        <row r="61">
          <cell r="B61" t="str">
            <v>Bool_R5</v>
          </cell>
          <cell r="C61" t="str">
            <v>Objections to right of way appraisal takes more time and/or money</v>
          </cell>
        </row>
        <row r="62">
          <cell r="B62" t="str">
            <v>Bool_R6</v>
          </cell>
          <cell r="C62" t="str">
            <v>Mitigation utilizing WDFW parcel</v>
          </cell>
        </row>
        <row r="63">
          <cell r="B63" t="str">
            <v>Cost_C1</v>
          </cell>
          <cell r="C63" t="str">
            <v>Unexpected construction staging issues (during construction)</v>
          </cell>
        </row>
        <row r="64">
          <cell r="B64" t="str">
            <v>Cost_C11</v>
          </cell>
          <cell r="C64" t="str">
            <v>Coordination challenges</v>
          </cell>
        </row>
        <row r="65">
          <cell r="B65" t="str">
            <v>Cost_C12</v>
          </cell>
          <cell r="C65" t="str">
            <v xml:space="preserve">Unsuitable material &amp; water table problems </v>
          </cell>
        </row>
        <row r="66">
          <cell r="B66" t="str">
            <v>Cost_C13</v>
          </cell>
          <cell r="C66" t="str">
            <v>Buried utilities</v>
          </cell>
        </row>
        <row r="67">
          <cell r="B67" t="str">
            <v>Cost_C14</v>
          </cell>
          <cell r="C67" t="str">
            <v xml:space="preserve">Unsuitable backfill </v>
          </cell>
        </row>
        <row r="68">
          <cell r="B68" t="str">
            <v>Cost_C16</v>
          </cell>
          <cell r="C68" t="str">
            <v>Other utility risks</v>
          </cell>
        </row>
        <row r="69">
          <cell r="B69" t="str">
            <v>Cost_C17</v>
          </cell>
          <cell r="C69" t="str">
            <v>n/a</v>
          </cell>
        </row>
        <row r="70">
          <cell r="B70" t="str">
            <v>Cost_C18</v>
          </cell>
          <cell r="C70" t="str">
            <v>Winter roadway work</v>
          </cell>
        </row>
        <row r="71">
          <cell r="B71" t="str">
            <v>Cost_C19</v>
          </cell>
          <cell r="C71" t="str">
            <v>Reduce amount of compost</v>
          </cell>
        </row>
        <row r="72">
          <cell r="B72" t="str">
            <v>Cost_C2</v>
          </cell>
          <cell r="C72" t="str">
            <v>Fish work window</v>
          </cell>
        </row>
        <row r="73">
          <cell r="B73" t="str">
            <v>Cost_C20</v>
          </cell>
          <cell r="C73" t="str">
            <v xml:space="preserve">Moving temporary barrier </v>
          </cell>
        </row>
        <row r="74">
          <cell r="B74" t="str">
            <v>Cost_C21</v>
          </cell>
          <cell r="C74" t="str">
            <v>Percentage of other miscellaneous items</v>
          </cell>
        </row>
        <row r="75">
          <cell r="B75" t="str">
            <v>Cost_C22</v>
          </cell>
          <cell r="C75" t="str">
            <v>Unsuitable foundation excavation &amp; fill costs</v>
          </cell>
        </row>
        <row r="76">
          <cell r="B76" t="str">
            <v>Cost_C3</v>
          </cell>
          <cell r="C76" t="str">
            <v>Construction work window</v>
          </cell>
        </row>
        <row r="77">
          <cell r="B77" t="str">
            <v>Cost_C6</v>
          </cell>
          <cell r="C77" t="str">
            <v>Difficulty of maintaining median drainage during construction</v>
          </cell>
        </row>
        <row r="78">
          <cell r="B78" t="str">
            <v>Cost_C7</v>
          </cell>
          <cell r="C78" t="str">
            <v>Biological hazard (leaking sewer line)</v>
          </cell>
        </row>
        <row r="79">
          <cell r="B79" t="str">
            <v>Cost_C8</v>
          </cell>
          <cell r="C79" t="str">
            <v xml:space="preserve">Artesian springs in vicinity </v>
          </cell>
        </row>
        <row r="80">
          <cell r="B80" t="str">
            <v>Cost_C9</v>
          </cell>
          <cell r="C80" t="str">
            <v>Chance of rock below ground</v>
          </cell>
        </row>
        <row r="81">
          <cell r="B81" t="str">
            <v>Cost_D1</v>
          </cell>
          <cell r="C81" t="str">
            <v>Design deviations unapproved</v>
          </cell>
        </row>
        <row r="82">
          <cell r="B82" t="str">
            <v>Cost_D10</v>
          </cell>
          <cell r="C82" t="str">
            <v>Unknown hazardous waste found during construction</v>
          </cell>
        </row>
        <row r="83">
          <cell r="B83" t="str">
            <v>Cost_D12</v>
          </cell>
          <cell r="C83" t="str">
            <v>Unanticipated geotechnical hazards</v>
          </cell>
        </row>
        <row r="84">
          <cell r="B84" t="str">
            <v>Cost_D14</v>
          </cell>
          <cell r="C84" t="str">
            <v>Dewatering challenges for structure construction</v>
          </cell>
        </row>
        <row r="85">
          <cell r="B85" t="str">
            <v>Cost_D16</v>
          </cell>
          <cell r="C85" t="str">
            <v>Unexpected construction staging issues - including issues encountered during DESIGN/PS&amp;E</v>
          </cell>
        </row>
        <row r="86">
          <cell r="B86" t="str">
            <v>Cost_D4</v>
          </cell>
          <cell r="C86" t="str">
            <v>Railroad interaction (vertical clearance)</v>
          </cell>
        </row>
        <row r="87">
          <cell r="B87" t="str">
            <v>Cost_D5</v>
          </cell>
          <cell r="C87" t="str">
            <v>Cattle pass underneath Maytown bridges not included in design</v>
          </cell>
        </row>
        <row r="88">
          <cell r="B88" t="str">
            <v>Cost_D6</v>
          </cell>
          <cell r="C88" t="str">
            <v>Piezometer readings effecting pond designs</v>
          </cell>
        </row>
        <row r="89">
          <cell r="B89" t="str">
            <v>Cost_D7</v>
          </cell>
          <cell r="C89" t="str">
            <v>Development impacts</v>
          </cell>
        </row>
        <row r="90">
          <cell r="B90" t="str">
            <v>Cost_D8</v>
          </cell>
          <cell r="C90" t="str">
            <v>Fish habitat and passage issues</v>
          </cell>
        </row>
        <row r="91">
          <cell r="B91" t="str">
            <v>Cost_D9 NEW</v>
          </cell>
          <cell r="C91" t="str">
            <v>Disposal of surplus material</v>
          </cell>
        </row>
        <row r="92">
          <cell r="B92" t="str">
            <v>Cost_E1</v>
          </cell>
          <cell r="C92" t="str">
            <v>NEPA DCE vs. EA</v>
          </cell>
        </row>
        <row r="93">
          <cell r="B93" t="str">
            <v>Cost_E10</v>
          </cell>
          <cell r="C93" t="str">
            <v>Unknown cultural resources discovered during construction</v>
          </cell>
        </row>
        <row r="94">
          <cell r="B94" t="str">
            <v>Cost_E2</v>
          </cell>
          <cell r="C94" t="str">
            <v>Reduction in storm water pond size</v>
          </cell>
        </row>
        <row r="95">
          <cell r="B95" t="str">
            <v>Cost_E6</v>
          </cell>
          <cell r="C95" t="str">
            <v>Uncertainty in the environmental permitting process</v>
          </cell>
        </row>
        <row r="96">
          <cell r="B96" t="str">
            <v>Cost_P1</v>
          </cell>
          <cell r="C96" t="str">
            <v>Rest area improvements design coordination challenges</v>
          </cell>
        </row>
        <row r="97">
          <cell r="B97" t="str">
            <v>Cost_P4</v>
          </cell>
          <cell r="C97" t="str">
            <v xml:space="preserve"> Agreements</v>
          </cell>
        </row>
        <row r="98">
          <cell r="B98" t="str">
            <v>Cost_P5</v>
          </cell>
          <cell r="C98" t="str">
            <v>Functional units not available, overloaded</v>
          </cell>
        </row>
        <row r="99">
          <cell r="B99" t="str">
            <v>Cost_P6</v>
          </cell>
          <cell r="C99" t="str">
            <v>Consultant or contractor delays</v>
          </cell>
        </row>
        <row r="100">
          <cell r="B100" t="str">
            <v>Cost_R2</v>
          </cell>
          <cell r="C100" t="str">
            <v>Limited access requirements not yet considered</v>
          </cell>
        </row>
        <row r="101">
          <cell r="B101" t="str">
            <v>Cost_R3</v>
          </cell>
          <cell r="C101" t="str">
            <v>Utility relocation</v>
          </cell>
        </row>
        <row r="102">
          <cell r="B102" t="str">
            <v>Cost_R5</v>
          </cell>
          <cell r="C102" t="str">
            <v>Objections to right of way appraisal takes more time and/or money</v>
          </cell>
        </row>
        <row r="103">
          <cell r="B103" t="str">
            <v>Cost_R6</v>
          </cell>
          <cell r="C103" t="str">
            <v>Mitigation utilizing WDFW parcel</v>
          </cell>
        </row>
        <row r="104">
          <cell r="B104" t="str">
            <v>Cost_X1</v>
          </cell>
          <cell r="C104" t="str">
            <v>Landowners unwilling to sell</v>
          </cell>
        </row>
        <row r="105">
          <cell r="B105" t="str">
            <v>Schedule_C1</v>
          </cell>
          <cell r="C105" t="str">
            <v>Unexpected construction staging issues (during construction)</v>
          </cell>
        </row>
        <row r="106">
          <cell r="B106" t="str">
            <v>Schedule_C11</v>
          </cell>
          <cell r="C106" t="str">
            <v>Coordination challenges</v>
          </cell>
        </row>
        <row r="107">
          <cell r="B107" t="str">
            <v>Schedule_C12</v>
          </cell>
          <cell r="C107" t="str">
            <v xml:space="preserve">Unsuitable material &amp; water table problems </v>
          </cell>
        </row>
        <row r="108">
          <cell r="B108" t="str">
            <v>Schedule_C13</v>
          </cell>
          <cell r="C108" t="str">
            <v>Buried utilities</v>
          </cell>
        </row>
        <row r="109">
          <cell r="B109" t="str">
            <v>Schedule_C14</v>
          </cell>
          <cell r="C109" t="str">
            <v xml:space="preserve">Unsuitable backfill </v>
          </cell>
        </row>
        <row r="110">
          <cell r="B110" t="str">
            <v>Schedule_C16</v>
          </cell>
          <cell r="C110" t="str">
            <v>Other utility risks</v>
          </cell>
        </row>
        <row r="111">
          <cell r="B111" t="str">
            <v>Schedule_C17</v>
          </cell>
          <cell r="C111" t="str">
            <v>n/a</v>
          </cell>
        </row>
        <row r="112">
          <cell r="B112" t="str">
            <v>Schedule_C18</v>
          </cell>
          <cell r="C112" t="str">
            <v>Winter roadway work</v>
          </cell>
        </row>
        <row r="113">
          <cell r="B113" t="str">
            <v>Schedule_C19</v>
          </cell>
          <cell r="C113" t="str">
            <v>Reduce amount of compost</v>
          </cell>
        </row>
        <row r="114">
          <cell r="B114" t="str">
            <v>Schedule_C2</v>
          </cell>
          <cell r="C114" t="str">
            <v>Fish work window</v>
          </cell>
        </row>
        <row r="115">
          <cell r="B115" t="str">
            <v>Schedule_C20</v>
          </cell>
          <cell r="C115" t="str">
            <v xml:space="preserve">Moving temporary barrier </v>
          </cell>
        </row>
        <row r="116">
          <cell r="B116" t="str">
            <v>Schedule_C3</v>
          </cell>
          <cell r="C116" t="str">
            <v>Construction work window</v>
          </cell>
        </row>
        <row r="117">
          <cell r="B117" t="str">
            <v>Schedule_C6</v>
          </cell>
          <cell r="C117" t="str">
            <v>Difficulty of maintaining median drainage during construction</v>
          </cell>
        </row>
        <row r="118">
          <cell r="B118" t="str">
            <v>Schedule_C7</v>
          </cell>
          <cell r="C118" t="str">
            <v>Biological hazard (leaking sewer line)</v>
          </cell>
        </row>
        <row r="119">
          <cell r="B119" t="str">
            <v>Schedule_C8</v>
          </cell>
          <cell r="C119" t="str">
            <v xml:space="preserve">Artesian springs in vicinity </v>
          </cell>
        </row>
        <row r="120">
          <cell r="B120" t="str">
            <v>Schedule_C9</v>
          </cell>
          <cell r="C120" t="str">
            <v>Chance of rock below ground</v>
          </cell>
        </row>
        <row r="121">
          <cell r="B121" t="str">
            <v>Schedule_D1</v>
          </cell>
          <cell r="C121" t="str">
            <v>Design deviations unapproved</v>
          </cell>
        </row>
        <row r="122">
          <cell r="B122" t="str">
            <v>Schedule_D10</v>
          </cell>
          <cell r="C122" t="str">
            <v>Unknown hazardous waste found during construction</v>
          </cell>
        </row>
        <row r="123">
          <cell r="B123" t="str">
            <v>Schedule_D12</v>
          </cell>
          <cell r="C123" t="str">
            <v>Unanticipated geotechnical hazards</v>
          </cell>
        </row>
        <row r="124">
          <cell r="B124" t="str">
            <v>Schedule_D14</v>
          </cell>
          <cell r="C124" t="str">
            <v>Dewatering challenges for structure construction</v>
          </cell>
        </row>
        <row r="125">
          <cell r="B125" t="str">
            <v>Schedule_D16</v>
          </cell>
          <cell r="C125" t="str">
            <v>Unexpected construction staging issues (during DESIGN/PS&amp;E)</v>
          </cell>
        </row>
        <row r="126">
          <cell r="B126" t="str">
            <v>Schedule_D4</v>
          </cell>
          <cell r="C126" t="str">
            <v>Railroad interaction (vertical clearance)</v>
          </cell>
        </row>
        <row r="127">
          <cell r="B127" t="str">
            <v>Schedule_D5</v>
          </cell>
          <cell r="C127" t="str">
            <v>Cattle pass underneath Maytown bridges not included in design</v>
          </cell>
        </row>
        <row r="128">
          <cell r="B128" t="str">
            <v>Schedule_D6</v>
          </cell>
          <cell r="C128" t="str">
            <v>Piezometer readings effecting pond designs</v>
          </cell>
        </row>
        <row r="129">
          <cell r="B129" t="str">
            <v>Schedule_D7</v>
          </cell>
          <cell r="C129" t="str">
            <v>Development impacts</v>
          </cell>
        </row>
        <row r="130">
          <cell r="B130" t="str">
            <v>Schedule_D8</v>
          </cell>
          <cell r="C130" t="str">
            <v>Fish habitat and passage issues</v>
          </cell>
        </row>
        <row r="131">
          <cell r="B131" t="str">
            <v>Schedule_D9 NEW</v>
          </cell>
          <cell r="C131" t="str">
            <v>Disposal of surplus material</v>
          </cell>
        </row>
        <row r="132">
          <cell r="B132" t="str">
            <v>Schedule_E1</v>
          </cell>
          <cell r="C132" t="str">
            <v>NEPA DCE vs. EA</v>
          </cell>
        </row>
        <row r="133">
          <cell r="B133" t="str">
            <v>Schedule_E10</v>
          </cell>
          <cell r="C133" t="str">
            <v>Unknown cultural resources discovered during construction</v>
          </cell>
        </row>
        <row r="134">
          <cell r="B134" t="str">
            <v>Schedule_E2</v>
          </cell>
          <cell r="C134" t="str">
            <v>Reduction in storm water pond size</v>
          </cell>
        </row>
        <row r="135">
          <cell r="B135" t="str">
            <v>Schedule_E6</v>
          </cell>
          <cell r="C135" t="str">
            <v>Uncertainty in the environmental permitting process</v>
          </cell>
        </row>
        <row r="136">
          <cell r="B136" t="str">
            <v>Schedule_P1</v>
          </cell>
          <cell r="C136" t="str">
            <v>Rest area improvements design coordination challenges</v>
          </cell>
        </row>
        <row r="137">
          <cell r="B137" t="str">
            <v>Schedule_P4</v>
          </cell>
          <cell r="C137" t="str">
            <v xml:space="preserve"> Agreements</v>
          </cell>
        </row>
        <row r="138">
          <cell r="B138" t="str">
            <v>Schedule_P5</v>
          </cell>
          <cell r="C138" t="str">
            <v>Functional units not available, overloaded</v>
          </cell>
        </row>
        <row r="139">
          <cell r="B139" t="str">
            <v>Schedule_P6</v>
          </cell>
          <cell r="C139" t="str">
            <v>Consultant or contractor delays</v>
          </cell>
        </row>
        <row r="140">
          <cell r="B140" t="str">
            <v>Schedule_R2</v>
          </cell>
          <cell r="C140" t="str">
            <v>Limited access requirements not yet considered</v>
          </cell>
        </row>
        <row r="141">
          <cell r="B141" t="str">
            <v>Schedule_R3</v>
          </cell>
          <cell r="C141" t="str">
            <v>Utility relocation</v>
          </cell>
        </row>
        <row r="142">
          <cell r="B142" t="str">
            <v>Schedule_R5</v>
          </cell>
          <cell r="C142" t="str">
            <v>Objections to right of way appraisal takes more time and/or money</v>
          </cell>
        </row>
        <row r="143">
          <cell r="B143" t="str">
            <v>Schedule_R6</v>
          </cell>
          <cell r="C143" t="str">
            <v>Mitigation utilizing WDFW parcel</v>
          </cell>
        </row>
        <row r="144">
          <cell r="B144" t="str">
            <v>Schedule_X1</v>
          </cell>
          <cell r="C144" t="str">
            <v>Landowners unwilling to sell</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mpact Matrix - FL"/>
      <sheetName val="Reporting Table0s - FL"/>
      <sheetName val="Results 20 Y"/>
      <sheetName val="General Data"/>
      <sheetName val="Inputs"/>
      <sheetName val="S&amp;L - 1"/>
      <sheetName val="Calc - 1"/>
      <sheetName val="S&amp;L- 2"/>
      <sheetName val="Calc - 2"/>
      <sheetName val="S&amp;L - 3"/>
      <sheetName val="Calc - 3"/>
      <sheetName val="S&amp;L - 4"/>
      <sheetName val="Calc - 4"/>
      <sheetName val="S&amp;L - 5"/>
      <sheetName val="Calc - 5"/>
      <sheetName val="S&amp;L - 6"/>
      <sheetName val="Calc - 6"/>
      <sheetName val="S&amp;L- 9"/>
      <sheetName val="Calc - 9"/>
      <sheetName val="S&amp;L- 10"/>
      <sheetName val="Calc - 10"/>
      <sheetName val="Capital Cost Schedule"/>
      <sheetName val="Funding Sheet"/>
      <sheetName val="Ex Train Xings"/>
      <sheetName val="Future Train Xings"/>
      <sheetName val="Veh Counts"/>
      <sheetName val="Ex Delay Calc"/>
      <sheetName val="Future Delay Calc"/>
      <sheetName val="EB2"/>
      <sheetName val="WB2"/>
      <sheetName val="Accident Current+Current"/>
      <sheetName val="Accident Future+Current"/>
      <sheetName val="Grade Crossing Fatalities"/>
      <sheetName val="Grade Crossing Injuries"/>
      <sheetName val="Intersection Injuries"/>
      <sheetName val="Oregon Economic Indicators"/>
      <sheetName val="Emissions"/>
      <sheetName val="Fuel Use Table"/>
      <sheetName val="ACCIDENT COSTS"/>
      <sheetName val="EMISSION COSTS"/>
      <sheetName val="VALUE OF TIME"/>
      <sheetName val="FUEL COSTS"/>
      <sheetName val="OTHER VEHICLE COSTS"/>
      <sheetName val="PRICES and ECI"/>
      <sheetName val="Title"/>
      <sheetName val="Time Series"/>
      <sheetName val="Pie Chart"/>
      <sheetName val="Graph Data"/>
      <sheetName val="BCA Result Summary"/>
      <sheetName val="Results"/>
      <sheetName val="Main tab"/>
      <sheetName val="General Inputs"/>
      <sheetName val="Accident Prediction - Input "/>
      <sheetName val="Inputs-1"/>
      <sheetName val="Accident Cost Benefit"/>
      <sheetName val="CPI and Discount Rate"/>
      <sheetName val="Sheet1"/>
      <sheetName val="Reporting Tables - FL"/>
    </sheetNames>
    <sheetDataSet>
      <sheetData sheetId="0"/>
      <sheetData sheetId="1"/>
      <sheetData sheetId="2"/>
      <sheetData sheetId="3"/>
      <sheetData sheetId="4"/>
      <sheetData sheetId="5">
        <row r="7">
          <cell r="E7">
            <v>2016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39">
          <cell r="AI39">
            <v>1.0529999999999999</v>
          </cell>
          <cell r="AQ39">
            <v>0.97</v>
          </cell>
        </row>
      </sheetData>
      <sheetData sheetId="38"/>
      <sheetData sheetId="39"/>
      <sheetData sheetId="40">
        <row r="95">
          <cell r="I95">
            <v>0.90718474000361116</v>
          </cell>
        </row>
      </sheetData>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General Inputs"/>
      <sheetName val="Project Data"/>
      <sheetName val="Results (P)"/>
      <sheetName val="Results (O)"/>
      <sheetName val="Results - Combined"/>
      <sheetName val="SUMMARY 2"/>
      <sheetName val="TRUCK CBA"/>
      <sheetName val="Reporting Tables"/>
      <sheetName val="Emissions Summary"/>
      <sheetName val="S&amp;L- TimeSaving-Toll Users (P)"/>
      <sheetName val="Time Savings - Toll Users (P) "/>
      <sheetName val="S&amp;L- TimeSaving-Toll Users (O)"/>
      <sheetName val="Time Savings - Toll Users (O)"/>
      <sheetName val="S&amp;L- Mon.Value.Incr.Rel. (P)"/>
      <sheetName val="Monetary Value Incr.Rel. (P)"/>
      <sheetName val="S&amp;L- Mon.Value.Incr.Rel. (O)"/>
      <sheetName val="Monetary Value Incr.Rel. (O)"/>
      <sheetName val="S&amp;L- Emissions Cost Savings(P) "/>
      <sheetName val="Emissions Cost Savings (P)"/>
      <sheetName val="S&amp;L- Emissions Cost Savings(O)"/>
      <sheetName val="Emissions Cost Savings (O)"/>
      <sheetName val="S&amp;L- Accident Cost Savings (P)"/>
      <sheetName val="Accident Cost Savings (P)"/>
      <sheetName val="S&amp;L- Accident Cost Savings (O)"/>
      <sheetName val="Accident Cost Savings (O)"/>
      <sheetName val="S&amp;L- Freight Logistics (P)"/>
      <sheetName val="Freight Logistics Benefits (P)"/>
      <sheetName val="S&amp;L- Freight Logistics (O)"/>
      <sheetName val="Freight Logistics Benefits (O)"/>
      <sheetName val="S&amp;L- Operating Cost Savings (P)"/>
      <sheetName val="Operating Cost Savings (P)"/>
      <sheetName val="S&amp;L- Operating Cost Savings (O)"/>
      <sheetName val="Operating Cost Savings (O)"/>
      <sheetName val="S&amp;L- Loss of Cons. Surp. (P)"/>
      <sheetName val="Loss of Consumer Surplus (P)"/>
      <sheetName val="S&amp;L- Loss of Cons. Surp. (O)"/>
      <sheetName val="Loss of Consumer Surplus (O)"/>
      <sheetName val="S&amp;L- TimeCosts-Impact Base (P)"/>
      <sheetName val="Time Costs -Impact to Base (P)"/>
      <sheetName val="S&amp;L- TimeCosts-Impact Base (O)"/>
      <sheetName val="Time Costs -Impact to Base (O)"/>
      <sheetName val="S&amp;L-Accident Cost -Divert (P)"/>
      <sheetName val="Accident Impacts-Diversion (P)"/>
      <sheetName val="S&amp;L-Accident Cost -Divert (O)"/>
      <sheetName val="Accident Impacts-Diversion (O)"/>
      <sheetName val="S&amp;L- Emissions Cost Impacts (P)"/>
      <sheetName val="Emissions Cost Impacts (P)"/>
      <sheetName val="S&amp;L- Emissions Cost Impacts (O)"/>
      <sheetName val="Emissions Cost Impacts (O)"/>
      <sheetName val="S&amp;L- Operating Cost Impacts (P)"/>
      <sheetName val="Operating Cost Impacts (P)"/>
      <sheetName val="S&amp;L- Operating Cost Impacts (O)"/>
      <sheetName val="Operating Cost Impacts (O)"/>
      <sheetName val="Accidents"/>
      <sheetName val="Adjacent Streets - VKT"/>
      <sheetName val="Auto Value of Time "/>
      <sheetName val="City Gardiner and DVP Costs"/>
      <sheetName val="CPI (2010-2016)"/>
      <sheetName val="Emissions"/>
      <sheetName val="Emissions Costs"/>
      <sheetName val="Fuel Costs"/>
      <sheetName val="Latest Back Office Costs "/>
      <sheetName val="Lists "/>
      <sheetName val="Population Projections"/>
      <sheetName val="Speed - Adjacent Roads"/>
      <sheetName val="Speed - Gardiner.DVP"/>
      <sheetName val="Tolling Maintenance"/>
      <sheetName val="Tolling and Lane Repl. Costs"/>
      <sheetName val="Traffic Data GDVP - All"/>
      <sheetName val="Traffic Data GDVP - Peak"/>
      <sheetName val="Traffic Data GDVP - Off Peak"/>
      <sheetName val="Transponder Costs"/>
      <sheetName val="Truck Cost of Driving"/>
      <sheetName val="Truck Value of Time"/>
      <sheetName val="Toronto Census Data "/>
      <sheetName val="Vehicle Operating Costs"/>
      <sheetName val="VKT - Option 1"/>
      <sheetName val="VKT - Option 2"/>
      <sheetName val="VKT - Option 3"/>
      <sheetName val="VKT - Option 4"/>
      <sheetName val="VKT - Option 5"/>
      <sheetName val="VKT - Option 6"/>
    </sheetNames>
    <sheetDataSet>
      <sheetData sheetId="0"/>
      <sheetData sheetId="1">
        <row r="3">
          <cell r="D3" t="str">
            <v>Value</v>
          </cell>
        </row>
        <row r="13">
          <cell r="D13">
            <v>1000000</v>
          </cell>
        </row>
      </sheetData>
      <sheetData sheetId="2">
        <row r="4">
          <cell r="F4">
            <v>2016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 Inputs"/>
      <sheetName val="S. Savings"/>
      <sheetName val="PRT_Prod"/>
      <sheetName val="PRT_Cost"/>
      <sheetName val="AGT_Prod"/>
      <sheetName val="AGT_Cost"/>
      <sheetName val="BRT_Prod"/>
      <sheetName val="BRT_Cost"/>
      <sheetName val="PRT_CF"/>
      <sheetName val="AGT_CF"/>
      <sheetName val="BRT_CF"/>
      <sheetName val="PRT_Fin"/>
      <sheetName val="AGT_Fin"/>
      <sheetName val="BRT_Fin"/>
      <sheetName val="Benefits"/>
      <sheetName val="Summary"/>
      <sheetName val="Rank"/>
      <sheetName val="Sensitivities"/>
      <sheetName val="IRR_7.5%"/>
      <sheetName val="IRR_14%"/>
      <sheetName val="NPV_7.5%"/>
      <sheetName val="NPV_14%"/>
      <sheetName val="Capital"/>
      <sheetName val="T Times"/>
      <sheetName val="Old Times"/>
      <sheetName val="07 SC"/>
      <sheetName val="H-C"/>
      <sheetName val="Vehicle Purchases"/>
      <sheetName val="Fleet"/>
      <sheetName val="Route"/>
      <sheetName val="Times"/>
      <sheetName val="Trips_old"/>
      <sheetName val="Discount Rate"/>
      <sheetName val="O&amp;M"/>
      <sheetName val="O&amp;M2"/>
      <sheetName val="PRT"/>
      <sheetName val="Productivity"/>
      <sheetName val="PRT_Productivity"/>
      <sheetName val="PRT_Old"/>
      <sheetName val="AGT"/>
      <sheetName val="BRT"/>
      <sheetName val="Salary"/>
      <sheetName val="INFLATION"/>
      <sheetName val="Parking"/>
      <sheetName val="Notes"/>
    </sheetNames>
    <sheetDataSet>
      <sheetData sheetId="0" refreshError="1">
        <row r="53">
          <cell r="C53">
            <v>1000000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Summary"/>
      <sheetName val="Annual Results"/>
      <sheetName val="Report"/>
      <sheetName val="Emissions Table"/>
      <sheetName val="Sensitivity"/>
      <sheetName val="Freight Inputs"/>
      <sheetName val="General Inputs"/>
      <sheetName val="Crossing Input"/>
      <sheetName val="Capital Cost"/>
      <sheetName val="Freight Demand"/>
      <sheetName val="Add Freight Demand"/>
      <sheetName val="Re-Routed Traffic"/>
      <sheetName val="Passenger Demand"/>
      <sheetName val="GC Demand"/>
      <sheetName val="GC Impacts"/>
      <sheetName val="Freight Time"/>
      <sheetName val="Passenger Time"/>
      <sheetName val="Freight Safety"/>
      <sheetName val="Freight Safety Add Op"/>
      <sheetName val="Freight Emission"/>
      <sheetName val="Freight Emission Add Op"/>
      <sheetName val="Pavement"/>
      <sheetName val="Pavement Add Op"/>
      <sheetName val="Vehicle Op Costs"/>
      <sheetName val="Vehicle Time"/>
      <sheetName val="Idling Emission"/>
      <sheetName val="O&amp;M Cost Reduction"/>
      <sheetName val="Residual Value"/>
      <sheetName val="Historical Demand"/>
      <sheetName val="Missed Opp"/>
      <sheetName val="Amtrak"/>
      <sheetName val="Freight Rail Delay Costs"/>
      <sheetName val="LocomotiveCost"/>
      <sheetName val="FrtCarCost"/>
      <sheetName val="CrewCost"/>
      <sheetName val="CWR Cost"/>
      <sheetName val="Jointed Rail Maintenance Cost"/>
      <sheetName val="Truck Emissions"/>
      <sheetName val="Vehicle Emissions"/>
      <sheetName val="Bus Emissions"/>
      <sheetName val="FreightRailEmissions"/>
      <sheetName val="Barge Emissions"/>
      <sheetName val="Barge Efficiency"/>
      <sheetName val="Emissions"/>
      <sheetName val="Miscellaneous"/>
      <sheetName val="Other Vehicle Costs"/>
      <sheetName val="Fuel Costs"/>
      <sheetName val="Prices and ECI"/>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D6">
            <v>60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_Summary"/>
      <sheetName val="Inputs"/>
      <sheetName val="Sheet1"/>
      <sheetName val="Belgrade_Jackrabbit"/>
      <sheetName val="Montana_Ave"/>
      <sheetName val="Billings_27th"/>
      <sheetName val="Billings_27th_2"/>
      <sheetName val="Helena_Benton"/>
      <sheetName val="Helena_Benton_2"/>
      <sheetName val="Bozeman_Rouse"/>
      <sheetName val="Bozeman_Griffin"/>
      <sheetName val="Billings_Moore"/>
      <sheetName val="Helena_Carter"/>
      <sheetName val="Huntley_Northern"/>
      <sheetName val="Laurel_S_72"/>
      <sheetName val="Emissions"/>
      <sheetName val="ACCIDENT COSTS"/>
      <sheetName val="VALUE OF TIME"/>
      <sheetName val="EMISSION COSTS"/>
      <sheetName val="FUEL COSTS"/>
      <sheetName val="OTHER VEHICLE COSTS"/>
      <sheetName val="MISCELLANEOUS"/>
      <sheetName val="CPI"/>
    </sheetNames>
    <sheetDataSet>
      <sheetData sheetId="0"/>
      <sheetData sheetId="1">
        <row r="11">
          <cell r="D11">
            <v>60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RISK Stats"/>
      <sheetName val="Flowcharts"/>
      <sheetName val="Risk Register"/>
      <sheetName val="Assumptions"/>
      <sheetName val="Variable Escalation"/>
      <sheetName val="Activities and Costs"/>
      <sheetName val="Schedule 1"/>
      <sheetName val="Matrix 1"/>
      <sheetName val="Summary Output 1"/>
      <sheetName val="Cost Summary"/>
      <sheetName val="Schedule Summary"/>
      <sheetName val="EV Tornado Calc"/>
      <sheetName val="EV Tornado Paste"/>
      <sheetName val="Chart Delay 1"/>
      <sheetName val="Chart Schedule 1"/>
      <sheetName val="Chart Cost 1"/>
      <sheetName val="Chart Components 1"/>
      <sheetName val="Chart Monthly Cashflow 1"/>
      <sheetName val="Lookup"/>
      <sheetName val="Distribution Options"/>
    </sheetNames>
    <sheetDataSet>
      <sheetData sheetId="0" refreshError="1"/>
      <sheetData sheetId="1" refreshError="1"/>
      <sheetData sheetId="2" refreshError="1"/>
      <sheetData sheetId="3" refreshError="1"/>
      <sheetData sheetId="4" refreshError="1">
        <row r="3">
          <cell r="F3" t="str">
            <v>Un-Mitigated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Correlations"/>
      <sheetName val="Notes"/>
      <sheetName val="Schedule Chart"/>
      <sheetName val="Schedule"/>
      <sheetName val="Event Risks"/>
      <sheetName val="Event Opportunities"/>
      <sheetName val="Risks Mitigation"/>
      <sheetName val="Cashflow"/>
      <sheetName val="Chart Cashflow"/>
      <sheetName val="Chart Cashflow_Details"/>
      <sheetName val="Cost - Budget"/>
      <sheetName val="Cost - Overall"/>
      <sheetName val="@RISK Stats"/>
      <sheetName val="Chart Cost"/>
      <sheetName val="Chart Schedule"/>
      <sheetName val="@RISK Tornado"/>
      <sheetName val="Chart Cost North 2"/>
      <sheetName val="Chart Cost Blair Lakes Spur"/>
      <sheetName val="Chart Cost South 1"/>
      <sheetName val="Budget - Backup 08-10-05"/>
      <sheetName val="Risk Table 08-08-05"/>
      <sheetName val="Distributions"/>
      <sheetName val="ALASKA DRAFT MODEL FINAL"/>
    </sheetNames>
    <sheetDataSet>
      <sheetData sheetId="0" refreshError="1">
        <row r="5">
          <cell r="C5">
            <v>1</v>
          </cell>
        </row>
        <row r="6">
          <cell r="C6">
            <v>0</v>
          </cell>
          <cell r="D6">
            <v>1</v>
          </cell>
        </row>
        <row r="7">
          <cell r="C7">
            <v>0</v>
          </cell>
          <cell r="D7">
            <v>0</v>
          </cell>
          <cell r="E7">
            <v>1</v>
          </cell>
        </row>
        <row r="8">
          <cell r="C8">
            <v>0</v>
          </cell>
          <cell r="D8">
            <v>0</v>
          </cell>
          <cell r="E8">
            <v>0</v>
          </cell>
          <cell r="F8">
            <v>1</v>
          </cell>
        </row>
        <row r="9">
          <cell r="C9">
            <v>0</v>
          </cell>
          <cell r="D9">
            <v>0</v>
          </cell>
          <cell r="E9">
            <v>0</v>
          </cell>
          <cell r="F9">
            <v>0</v>
          </cell>
          <cell r="G9">
            <v>1</v>
          </cell>
        </row>
        <row r="10">
          <cell r="C10">
            <v>0</v>
          </cell>
          <cell r="D10">
            <v>0</v>
          </cell>
          <cell r="E10">
            <v>0</v>
          </cell>
          <cell r="F10">
            <v>0</v>
          </cell>
          <cell r="G10">
            <v>0</v>
          </cell>
          <cell r="H10">
            <v>1</v>
          </cell>
        </row>
        <row r="11">
          <cell r="C11">
            <v>1</v>
          </cell>
          <cell r="D11">
            <v>0</v>
          </cell>
          <cell r="E11">
            <v>0</v>
          </cell>
          <cell r="F11">
            <v>0</v>
          </cell>
          <cell r="G11">
            <v>0</v>
          </cell>
          <cell r="H11">
            <v>0</v>
          </cell>
          <cell r="I11">
            <v>1</v>
          </cell>
        </row>
        <row r="12">
          <cell r="C12">
            <v>0</v>
          </cell>
          <cell r="D12">
            <v>1</v>
          </cell>
          <cell r="E12">
            <v>0</v>
          </cell>
          <cell r="F12">
            <v>0</v>
          </cell>
          <cell r="G12">
            <v>0</v>
          </cell>
          <cell r="H12">
            <v>0</v>
          </cell>
          <cell r="I12">
            <v>0</v>
          </cell>
          <cell r="J12">
            <v>1</v>
          </cell>
        </row>
        <row r="13">
          <cell r="C13">
            <v>0</v>
          </cell>
          <cell r="D13">
            <v>0</v>
          </cell>
          <cell r="E13">
            <v>1</v>
          </cell>
          <cell r="F13">
            <v>0</v>
          </cell>
          <cell r="G13">
            <v>0</v>
          </cell>
          <cell r="H13">
            <v>0</v>
          </cell>
          <cell r="I13">
            <v>0</v>
          </cell>
          <cell r="J13">
            <v>0</v>
          </cell>
          <cell r="K13">
            <v>1</v>
          </cell>
        </row>
        <row r="14">
          <cell r="C14">
            <v>0</v>
          </cell>
          <cell r="D14">
            <v>0</v>
          </cell>
          <cell r="E14">
            <v>0</v>
          </cell>
          <cell r="F14">
            <v>1</v>
          </cell>
          <cell r="G14">
            <v>0</v>
          </cell>
          <cell r="H14">
            <v>0</v>
          </cell>
          <cell r="I14">
            <v>0</v>
          </cell>
          <cell r="J14">
            <v>0</v>
          </cell>
          <cell r="K14">
            <v>0</v>
          </cell>
          <cell r="L14">
            <v>1</v>
          </cell>
        </row>
        <row r="15">
          <cell r="C15">
            <v>0</v>
          </cell>
          <cell r="D15">
            <v>0</v>
          </cell>
          <cell r="E15">
            <v>0</v>
          </cell>
          <cell r="F15">
            <v>0</v>
          </cell>
          <cell r="G15">
            <v>1</v>
          </cell>
          <cell r="H15">
            <v>0</v>
          </cell>
          <cell r="I15">
            <v>0</v>
          </cell>
          <cell r="J15">
            <v>0</v>
          </cell>
          <cell r="K15">
            <v>0</v>
          </cell>
          <cell r="L15">
            <v>0</v>
          </cell>
          <cell r="M15">
            <v>1</v>
          </cell>
        </row>
        <row r="16">
          <cell r="C16">
            <v>0</v>
          </cell>
          <cell r="D16">
            <v>0</v>
          </cell>
          <cell r="E16">
            <v>0</v>
          </cell>
          <cell r="F16">
            <v>0</v>
          </cell>
          <cell r="G16">
            <v>0</v>
          </cell>
          <cell r="H16">
            <v>1</v>
          </cell>
          <cell r="I16">
            <v>0</v>
          </cell>
          <cell r="J16">
            <v>0</v>
          </cell>
          <cell r="K16">
            <v>0</v>
          </cell>
          <cell r="L16">
            <v>0</v>
          </cell>
          <cell r="M16">
            <v>0</v>
          </cell>
          <cell r="N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A.Summary"/>
      <sheetName val="CVA.Financials"/>
      <sheetName val="CVA.Charts"/>
      <sheetName val="Inputs-Constant"/>
      <sheetName val="Inputs-CaseSpecific"/>
      <sheetName val="Calc-Diversion"/>
      <sheetName val="Calc-BCA"/>
      <sheetName val="Calc-B1"/>
      <sheetName val="Calc-B2"/>
      <sheetName val="Calc-B3"/>
      <sheetName val="Calc-B4"/>
      <sheetName val="Calc-B5"/>
      <sheetName val="Calc-B6"/>
      <sheetName val="Calc-Costs"/>
      <sheetName val="CVA.Assumptions"/>
      <sheetName val="CVA.DS"/>
      <sheetName val="Congestion Costs"/>
      <sheetName val="Accident Costs"/>
      <sheetName val="Emission Costs"/>
      <sheetName val="Rail Emission"/>
      <sheetName val="Truck Emission"/>
      <sheetName val="Inventory Costs"/>
      <sheetName val="CPI and Discount Rate"/>
    </sheetNames>
    <sheetDataSet>
      <sheetData sheetId="0"/>
      <sheetData sheetId="1"/>
      <sheetData sheetId="2">
        <row r="3">
          <cell r="C3" t="str">
            <v>Revenue</v>
          </cell>
        </row>
      </sheetData>
      <sheetData sheetId="3"/>
      <sheetData sheetId="4"/>
      <sheetData sheetId="5"/>
      <sheetData sheetId="6"/>
      <sheetData sheetId="7"/>
      <sheetData sheetId="8"/>
      <sheetData sheetId="9"/>
      <sheetData sheetId="10"/>
      <sheetData sheetId="11"/>
      <sheetData sheetId="12"/>
      <sheetData sheetId="13"/>
      <sheetData sheetId="14">
        <row r="3">
          <cell r="C3">
            <v>0.02</v>
          </cell>
        </row>
      </sheetData>
      <sheetData sheetId="15"/>
      <sheetData sheetId="16"/>
      <sheetData sheetId="17"/>
      <sheetData sheetId="18"/>
      <sheetData sheetId="19"/>
      <sheetData sheetId="20"/>
      <sheetData sheetId="21"/>
      <sheetData sheetId="2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Risk Table"/>
      <sheetName val="@RISK Correlations"/>
      <sheetName val="Paste"/>
      <sheetName val="Calc Risk"/>
      <sheetName val="Assumptions"/>
      <sheetName val="Econometrics"/>
      <sheetName val="Congestion"/>
      <sheetName val="Toll Diversion"/>
      <sheetName val="Explanatory"/>
      <sheetName val="Traffic Historic"/>
      <sheetName val="Literature"/>
      <sheetName val="Analysis"/>
      <sheetName val="Traffic"/>
      <sheetName val="Revenue"/>
      <sheetName val="Fin_Scheduled"/>
      <sheetName val="Fin_Early"/>
      <sheetName val="Output"/>
      <sheetName val="Scenarios"/>
      <sheetName val="Monthly"/>
      <sheetName val="GR_Various"/>
      <sheetName val="GR_Trans"/>
      <sheetName val="GR_Revenue"/>
      <sheetName val="GR_Revenue Lg"/>
      <sheetName val="Add' Tables"/>
      <sheetName val="GR_Revenue LgR"/>
      <sheetName val="Vollmer Fcst"/>
      <sheetName val="Pay Points"/>
      <sheetName val="Scheduled"/>
      <sheetName val="Early"/>
      <sheetName val="Screenline"/>
      <sheetName val="Toll Schedule"/>
      <sheetName val="Maps"/>
      <sheetName val="Sensitivity"/>
      <sheetName val="Greenway Revenue Model DRAFT 08"/>
    </sheetNames>
    <sheetDataSet>
      <sheetData sheetId="0" refreshError="1"/>
      <sheetData sheetId="1" refreshError="1"/>
      <sheetData sheetId="2" refreshError="1">
        <row r="1">
          <cell r="A1" t="str">
            <v>@RISK Correlation Sheet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66">
          <cell r="I166">
            <v>7826.6999999999989</v>
          </cell>
        </row>
        <row r="206">
          <cell r="AR206">
            <v>7870.9355849333633</v>
          </cell>
          <cell r="AS206">
            <v>11183.598805591471</v>
          </cell>
          <cell r="AT206">
            <v>14864.409256443503</v>
          </cell>
          <cell r="AU206">
            <v>17697.447851066187</v>
          </cell>
          <cell r="AV206">
            <v>17901.170445111929</v>
          </cell>
          <cell r="AW206">
            <v>19397.053321329931</v>
          </cell>
          <cell r="AX206">
            <v>19357.869915606425</v>
          </cell>
          <cell r="AY206">
            <v>22032.82520888621</v>
          </cell>
          <cell r="AZ206">
            <v>23844.563772033856</v>
          </cell>
          <cell r="BA206">
            <v>20720.956165725285</v>
          </cell>
          <cell r="BB206">
            <v>22205.988269083402</v>
          </cell>
          <cell r="BC206">
            <v>23844.908783535153</v>
          </cell>
          <cell r="BD206">
            <v>21699.325581023611</v>
          </cell>
          <cell r="BE206">
            <v>23434.18009263388</v>
          </cell>
          <cell r="BF206">
            <v>25773.215154928312</v>
          </cell>
          <cell r="BG206">
            <v>27033.06633816551</v>
          </cell>
          <cell r="BH206">
            <v>29693.75265001208</v>
          </cell>
          <cell r="BI206">
            <v>32567.277663573059</v>
          </cell>
          <cell r="BJ206">
            <v>28947.599678518971</v>
          </cell>
          <cell r="BK206">
            <v>31205.813121182502</v>
          </cell>
          <cell r="BL206">
            <v>33304.576297517153</v>
          </cell>
          <cell r="BM206">
            <v>35494.057922477317</v>
          </cell>
          <cell r="BN206">
            <v>37790.062312493712</v>
          </cell>
          <cell r="BO206">
            <v>32301.807748260893</v>
          </cell>
          <cell r="BP206">
            <v>34242.978558392926</v>
          </cell>
          <cell r="BQ206">
            <v>36278.754987847671</v>
          </cell>
          <cell r="BR206">
            <v>38423.726995023091</v>
          </cell>
          <cell r="BS206">
            <v>40617.510434530086</v>
          </cell>
          <cell r="BT206">
            <v>34660.042607384748</v>
          </cell>
          <cell r="BU206">
            <v>36386.241797150447</v>
          </cell>
          <cell r="BV206">
            <v>38125.964058972851</v>
          </cell>
          <cell r="BW206">
            <v>39826.843254064064</v>
          </cell>
          <cell r="BX206">
            <v>41569.043889167391</v>
          </cell>
          <cell r="BY206">
            <v>43343.667436415846</v>
          </cell>
        </row>
        <row r="207">
          <cell r="AR207">
            <v>17439.138967351013</v>
          </cell>
          <cell r="AS207">
            <v>18479.373921654704</v>
          </cell>
          <cell r="AT207">
            <v>19624.730384835617</v>
          </cell>
          <cell r="AU207">
            <v>21335.675393756683</v>
          </cell>
          <cell r="AV207">
            <v>22694.908407907315</v>
          </cell>
          <cell r="AW207">
            <v>23668.645412119848</v>
          </cell>
          <cell r="AX207">
            <v>25271.429344277327</v>
          </cell>
          <cell r="AY207">
            <v>25987.473000229067</v>
          </cell>
          <cell r="AZ207">
            <v>27101.069437092221</v>
          </cell>
          <cell r="BA207">
            <v>31378.120430325183</v>
          </cell>
          <cell r="BB207">
            <v>34244.962910029375</v>
          </cell>
          <cell r="BC207">
            <v>37313.651624381724</v>
          </cell>
          <cell r="BD207">
            <v>42212.497211124275</v>
          </cell>
          <cell r="BE207">
            <v>45876.673321816277</v>
          </cell>
          <cell r="BF207">
            <v>48187.619347007763</v>
          </cell>
          <cell r="BG207">
            <v>51156.24714549187</v>
          </cell>
          <cell r="BH207">
            <v>53745.073771194031</v>
          </cell>
          <cell r="BI207">
            <v>56469.635965654146</v>
          </cell>
          <cell r="BJ207">
            <v>62210.02463010147</v>
          </cell>
          <cell r="BK207">
            <v>65064.535996270111</v>
          </cell>
          <cell r="BL207">
            <v>68185.92831183254</v>
          </cell>
          <cell r="BM207">
            <v>71477.760892971142</v>
          </cell>
          <cell r="BN207">
            <v>74944.312099890638</v>
          </cell>
          <cell r="BO207">
            <v>81969.516418883708</v>
          </cell>
          <cell r="BP207">
            <v>85707.758326525538</v>
          </cell>
          <cell r="BQ207">
            <v>89625.156688786636</v>
          </cell>
          <cell r="BR207">
            <v>93726.105361665919</v>
          </cell>
          <cell r="BS207">
            <v>98047.557742514415</v>
          </cell>
          <cell r="BT207">
            <v>106105.69613852099</v>
          </cell>
          <cell r="BU207">
            <v>110691.23165152939</v>
          </cell>
          <cell r="BV207">
            <v>115505.88261272144</v>
          </cell>
          <cell r="BW207">
            <v>120582.41642486342</v>
          </cell>
          <cell r="BX207">
            <v>125897.42063384564</v>
          </cell>
          <cell r="BY207">
            <v>131466.02671322046</v>
          </cell>
        </row>
        <row r="208">
          <cell r="AR208">
            <v>11888.827884740356</v>
          </cell>
          <cell r="AS208">
            <v>11975.460446167874</v>
          </cell>
          <cell r="AT208">
            <v>12056.740694936478</v>
          </cell>
          <cell r="AU208">
            <v>12389.463380772406</v>
          </cell>
          <cell r="AV208">
            <v>12834.483460945938</v>
          </cell>
          <cell r="AW208">
            <v>13023.733495703595</v>
          </cell>
          <cell r="AX208">
            <v>13517.21611498361</v>
          </cell>
          <cell r="AY208">
            <v>13498.097237108592</v>
          </cell>
          <cell r="AZ208">
            <v>13654.360435609022</v>
          </cell>
          <cell r="BA208">
            <v>14664.630998158518</v>
          </cell>
          <cell r="BB208">
            <v>14839.069837038562</v>
          </cell>
          <cell r="BC208">
            <v>14981.431127851502</v>
          </cell>
          <cell r="BD208">
            <v>15689.538919135357</v>
          </cell>
          <cell r="BE208">
            <v>15766.806670636493</v>
          </cell>
          <cell r="BF208">
            <v>16397.236573219037</v>
          </cell>
          <cell r="BG208">
            <v>17230.419308691038</v>
          </cell>
          <cell r="BH208">
            <v>17913.109720033201</v>
          </cell>
          <cell r="BI208">
            <v>18618.721713906973</v>
          </cell>
          <cell r="BJ208">
            <v>20284.254112917366</v>
          </cell>
          <cell r="BK208">
            <v>21214.998542996869</v>
          </cell>
          <cell r="BL208">
            <v>22232.762404873571</v>
          </cell>
          <cell r="BM208">
            <v>23306.100166271699</v>
          </cell>
          <cell r="BN208">
            <v>24436.406832997745</v>
          </cell>
          <cell r="BO208">
            <v>26727.050992824497</v>
          </cell>
          <cell r="BP208">
            <v>27945.945363000857</v>
          </cell>
          <cell r="BQ208">
            <v>29223.255640791391</v>
          </cell>
          <cell r="BR208">
            <v>30560.414490660485</v>
          </cell>
          <cell r="BS208">
            <v>31969.470969117301</v>
          </cell>
          <cell r="BT208">
            <v>34596.914502109626</v>
          </cell>
          <cell r="BU208">
            <v>36092.078153671071</v>
          </cell>
          <cell r="BV208">
            <v>37661.947385238062</v>
          </cell>
          <cell r="BW208">
            <v>39317.206364326768</v>
          </cell>
          <cell r="BX208">
            <v>41050.22120602247</v>
          </cell>
          <cell r="BY208">
            <v>42865.925691600183</v>
          </cell>
        </row>
        <row r="209">
          <cell r="AR209">
            <v>20891.997562972127</v>
          </cell>
          <cell r="AS209">
            <v>22282.653551791816</v>
          </cell>
          <cell r="AT209">
            <v>23817.116615064813</v>
          </cell>
          <cell r="AU209">
            <v>26060.27887886281</v>
          </cell>
          <cell r="AV209">
            <v>28010.807622794393</v>
          </cell>
          <cell r="AW209">
            <v>29517.387738552643</v>
          </cell>
          <cell r="AX209">
            <v>31843.791396159413</v>
          </cell>
          <cell r="AY209">
            <v>33085.135886551056</v>
          </cell>
          <cell r="AZ209">
            <v>34858.845182955716</v>
          </cell>
          <cell r="BA209">
            <v>38508.886865079956</v>
          </cell>
          <cell r="BB209">
            <v>40142.343727912899</v>
          </cell>
          <cell r="BC209">
            <v>41819.061377915677</v>
          </cell>
          <cell r="BD209">
            <v>45273.478523344318</v>
          </cell>
          <cell r="BE209">
            <v>47125.604802330679</v>
          </cell>
          <cell r="BF209">
            <v>49374.759790600969</v>
          </cell>
          <cell r="BG209">
            <v>52281.778273435397</v>
          </cell>
          <cell r="BH209">
            <v>54783.457087098148</v>
          </cell>
          <cell r="BI209">
            <v>57406.501453145414</v>
          </cell>
          <cell r="BJ209">
            <v>63069.190159304941</v>
          </cell>
          <cell r="BK209">
            <v>65963.124396355153</v>
          </cell>
          <cell r="BL209">
            <v>69127.625402142337</v>
          </cell>
          <cell r="BM209">
            <v>72464.92057710627</v>
          </cell>
          <cell r="BN209">
            <v>75979.34736870708</v>
          </cell>
          <cell r="BO209">
            <v>83101.57485112724</v>
          </cell>
          <cell r="BP209">
            <v>86891.444588945393</v>
          </cell>
          <cell r="BQ209">
            <v>90862.945061871549</v>
          </cell>
          <cell r="BR209">
            <v>95020.530808240524</v>
          </cell>
          <cell r="BS209">
            <v>99401.665578604152</v>
          </cell>
          <cell r="BT209">
            <v>107571.09270629931</v>
          </cell>
          <cell r="BU209">
            <v>112219.95778828219</v>
          </cell>
          <cell r="BV209">
            <v>117101.10256884817</v>
          </cell>
          <cell r="BW209">
            <v>122247.7469923452</v>
          </cell>
          <cell r="BX209">
            <v>127636.15526170326</v>
          </cell>
          <cell r="BY209">
            <v>133281.66782709153</v>
          </cell>
        </row>
        <row r="264">
          <cell r="AR264">
            <v>5267.7913339720681</v>
          </cell>
          <cell r="AS264">
            <v>7444.3459817614039</v>
          </cell>
          <cell r="AT264">
            <v>9847.7776756039893</v>
          </cell>
          <cell r="AU264">
            <v>11660.140127999746</v>
          </cell>
          <cell r="AV264">
            <v>11644.49654281915</v>
          </cell>
          <cell r="AW264">
            <v>12535.463243207952</v>
          </cell>
          <cell r="AX264">
            <v>12424.688518288174</v>
          </cell>
          <cell r="AY264">
            <v>14115.379077673921</v>
          </cell>
          <cell r="AZ264">
            <v>15182.068968053518</v>
          </cell>
          <cell r="BA264">
            <v>13075.642672566082</v>
          </cell>
          <cell r="BB264">
            <v>13930.925218810584</v>
          </cell>
          <cell r="BC264">
            <v>14872.295788378895</v>
          </cell>
          <cell r="BD264">
            <v>13427.635169630195</v>
          </cell>
          <cell r="BE264">
            <v>14422.98490034118</v>
          </cell>
          <cell r="BF264">
            <v>15782.601898734611</v>
          </cell>
          <cell r="BG264">
            <v>16465.959239314099</v>
          </cell>
          <cell r="BH264">
            <v>18002.958881628401</v>
          </cell>
          <cell r="BI264">
            <v>19656.620085356215</v>
          </cell>
          <cell r="BJ264">
            <v>17424.88276826778</v>
          </cell>
          <cell r="BK264">
            <v>18835.871120689226</v>
          </cell>
          <cell r="BL264">
            <v>20205.14351335384</v>
          </cell>
          <cell r="BM264">
            <v>21651.154089593871</v>
          </cell>
          <cell r="BN264">
            <v>23177.479624550855</v>
          </cell>
          <cell r="BO264">
            <v>20063.214331059851</v>
          </cell>
          <cell r="BP264">
            <v>21374.772159190503</v>
          </cell>
          <cell r="BQ264">
            <v>22754.982570308104</v>
          </cell>
          <cell r="BR264">
            <v>24220.989063519635</v>
          </cell>
          <cell r="BS264">
            <v>25746.445959919809</v>
          </cell>
          <cell r="BT264">
            <v>22238.751933773245</v>
          </cell>
          <cell r="BU264">
            <v>23471.362197746956</v>
          </cell>
          <cell r="BV264">
            <v>24693.349757186043</v>
          </cell>
          <cell r="BW264">
            <v>25848.555669708709</v>
          </cell>
          <cell r="BX264">
            <v>27027.165216352794</v>
          </cell>
          <cell r="BY264">
            <v>28221.723061205113</v>
          </cell>
        </row>
        <row r="265">
          <cell r="AR265">
            <v>16072.206308869127</v>
          </cell>
          <cell r="AS265">
            <v>16330.642567440009</v>
          </cell>
          <cell r="AT265">
            <v>16611.032252646888</v>
          </cell>
          <cell r="AU265">
            <v>17278.575770727679</v>
          </cell>
          <cell r="AV265">
            <v>18171.30811856567</v>
          </cell>
          <cell r="AW265">
            <v>18706.250221203485</v>
          </cell>
          <cell r="AX265">
            <v>19690.119828187395</v>
          </cell>
          <cell r="AY265">
            <v>19964.325334958558</v>
          </cell>
          <cell r="AZ265">
            <v>20534.006894275473</v>
          </cell>
          <cell r="BA265">
            <v>23376.648025865812</v>
          </cell>
          <cell r="BB265">
            <v>25169.715117064239</v>
          </cell>
          <cell r="BC265">
            <v>27067.842096513323</v>
          </cell>
          <cell r="BD265">
            <v>30148.109278459884</v>
          </cell>
          <cell r="BE265">
            <v>32353.764117891566</v>
          </cell>
          <cell r="BF265">
            <v>33265.977583928121</v>
          </cell>
          <cell r="BG265">
            <v>34515.26434494018</v>
          </cell>
          <cell r="BH265">
            <v>35446.943421868113</v>
          </cell>
          <cell r="BI265">
            <v>36380.378787185691</v>
          </cell>
          <cell r="BJ265">
            <v>38911.792638160521</v>
          </cell>
          <cell r="BK265">
            <v>40634.908772916177</v>
          </cell>
          <cell r="BL265">
            <v>42490.871309518116</v>
          </cell>
          <cell r="BM265">
            <v>44438.45752923176</v>
          </cell>
          <cell r="BN265">
            <v>46482.566377543502</v>
          </cell>
          <cell r="BO265">
            <v>50512.279165820488</v>
          </cell>
          <cell r="BP265">
            <v>52727.797322957158</v>
          </cell>
          <cell r="BQ265">
            <v>55045.384946263999</v>
          </cell>
          <cell r="BR265">
            <v>57464.379756212002</v>
          </cell>
          <cell r="BS265">
            <v>60001.757216265018</v>
          </cell>
          <cell r="BT265">
            <v>64694.933702351191</v>
          </cell>
          <cell r="BU265">
            <v>67409.413195257759</v>
          </cell>
          <cell r="BV265">
            <v>70268.254312322271</v>
          </cell>
          <cell r="BW265">
            <v>73299.991428107664</v>
          </cell>
          <cell r="BX265">
            <v>76475.0751705695</v>
          </cell>
          <cell r="BY265">
            <v>79803.171353368845</v>
          </cell>
        </row>
        <row r="266">
          <cell r="AR266">
            <v>9664.5338509487374</v>
          </cell>
          <cell r="AS266">
            <v>9622.4055348637976</v>
          </cell>
          <cell r="AT266">
            <v>9573.0845125918877</v>
          </cell>
          <cell r="AU266">
            <v>9718.9943191940183</v>
          </cell>
          <cell r="AV266">
            <v>10369.191133246757</v>
          </cell>
          <cell r="AW266">
            <v>10832.572111876962</v>
          </cell>
          <cell r="AX266">
            <v>11575.127047664504</v>
          </cell>
          <cell r="AY266">
            <v>11918.369813387255</v>
          </cell>
          <cell r="AZ266">
            <v>12453.149231639387</v>
          </cell>
          <cell r="BA266">
            <v>13149.725289815811</v>
          </cell>
          <cell r="BB266">
            <v>13117.679002152421</v>
          </cell>
          <cell r="BC266">
            <v>13052.146024624688</v>
          </cell>
          <cell r="BD266">
            <v>13428.333315915042</v>
          </cell>
          <cell r="BE266">
            <v>13285.236239623331</v>
          </cell>
          <cell r="BF266">
            <v>13728.147627726952</v>
          </cell>
          <cell r="BG266">
            <v>14318.454798317074</v>
          </cell>
          <cell r="BH266">
            <v>14786.016201661683</v>
          </cell>
          <cell r="BI266">
            <v>15263.355985013186</v>
          </cell>
          <cell r="BJ266">
            <v>16425.072011869805</v>
          </cell>
          <cell r="BK266">
            <v>17152.41723755392</v>
          </cell>
          <cell r="BL266">
            <v>17935.838309887749</v>
          </cell>
          <cell r="BM266">
            <v>18757.9346909409</v>
          </cell>
          <cell r="BN266">
            <v>19620.774276508946</v>
          </cell>
          <cell r="BO266">
            <v>21321.757917897179</v>
          </cell>
          <cell r="BP266">
            <v>22256.951153864611</v>
          </cell>
          <cell r="BQ266">
            <v>23235.228972124303</v>
          </cell>
          <cell r="BR266">
            <v>24256.311817605194</v>
          </cell>
          <cell r="BS266">
            <v>25327.365209830408</v>
          </cell>
          <cell r="BT266">
            <v>27308.403772232225</v>
          </cell>
          <cell r="BU266">
            <v>28454.213772823401</v>
          </cell>
          <cell r="BV266">
            <v>29660.96031505875</v>
          </cell>
          <cell r="BW266">
            <v>30940.688054946993</v>
          </cell>
          <cell r="BX266">
            <v>32280.92389549546</v>
          </cell>
          <cell r="BY266">
            <v>33685.747877089663</v>
          </cell>
        </row>
        <row r="267">
          <cell r="AR267">
            <v>8107.2685062102437</v>
          </cell>
          <cell r="AS267">
            <v>9457.1976029812286</v>
          </cell>
          <cell r="AT267">
            <v>10944.112511011104</v>
          </cell>
          <cell r="AU267">
            <v>12858.292322619027</v>
          </cell>
          <cell r="AV267">
            <v>14049.260430955017</v>
          </cell>
          <cell r="AW267">
            <v>15025.324060814584</v>
          </cell>
          <cell r="AX267">
            <v>16430.293212641456</v>
          </cell>
          <cell r="AY267">
            <v>17306.669256952115</v>
          </cell>
          <cell r="AZ267">
            <v>18493.051057511133</v>
          </cell>
          <cell r="BA267">
            <v>20842.828115901422</v>
          </cell>
          <cell r="BB267">
            <v>22228.49951282686</v>
          </cell>
          <cell r="BC267">
            <v>23688.889665069993</v>
          </cell>
          <cell r="BD267">
            <v>26157.583231049179</v>
          </cell>
          <cell r="BE267">
            <v>27840.875568865482</v>
          </cell>
          <cell r="BF267">
            <v>29965.9834903501</v>
          </cell>
          <cell r="BG267">
            <v>32557.363093163356</v>
          </cell>
          <cell r="BH267">
            <v>35025.887738875041</v>
          </cell>
          <cell r="BI267">
            <v>37673.548107921924</v>
          </cell>
          <cell r="BJ267">
            <v>42249.484387353979</v>
          </cell>
          <cell r="BK267">
            <v>44120.402258188893</v>
          </cell>
          <cell r="BL267">
            <v>46135.561542749267</v>
          </cell>
          <cell r="BM267">
            <v>48250.203608921314</v>
          </cell>
          <cell r="BN267">
            <v>50469.647613361849</v>
          </cell>
          <cell r="BO267">
            <v>54845.012406164089</v>
          </cell>
          <cell r="BP267">
            <v>57250.568497096989</v>
          </cell>
          <cell r="BQ267">
            <v>59766.949148529675</v>
          </cell>
          <cell r="BR267">
            <v>62393.435273349351</v>
          </cell>
          <cell r="BS267">
            <v>65148.45841967954</v>
          </cell>
          <cell r="BT267">
            <v>70244.196067128316</v>
          </cell>
          <cell r="BU267">
            <v>73191.512322172232</v>
          </cell>
          <cell r="BV267">
            <v>76295.572941134596</v>
          </cell>
          <cell r="BW267">
            <v>79587.359858561744</v>
          </cell>
          <cell r="BX267">
            <v>83034.789080162984</v>
          </cell>
          <cell r="BY267">
            <v>86648.355512897804</v>
          </cell>
        </row>
        <row r="322">
          <cell r="AR322">
            <v>6250.3731916194492</v>
          </cell>
          <cell r="AS322">
            <v>8838.9118415092817</v>
          </cell>
          <cell r="AT322">
            <v>11717.358059519484</v>
          </cell>
          <cell r="AU322">
            <v>14033.824387256882</v>
          </cell>
          <cell r="AV322">
            <v>13817.945222890721</v>
          </cell>
          <cell r="AW322">
            <v>14447.626729261736</v>
          </cell>
          <cell r="AX322">
            <v>13974.801654126299</v>
          </cell>
          <cell r="AY322">
            <v>15483.952559126945</v>
          </cell>
          <cell r="AZ322">
            <v>16316.061772875266</v>
          </cell>
          <cell r="BA322">
            <v>14090.583388409985</v>
          </cell>
          <cell r="BB322">
            <v>14917.981020613635</v>
          </cell>
          <cell r="BC322">
            <v>15818.084727314494</v>
          </cell>
          <cell r="BD322">
            <v>14253.445148707397</v>
          </cell>
          <cell r="BE322">
            <v>15197.877994507462</v>
          </cell>
          <cell r="BF322">
            <v>16538.102957041836</v>
          </cell>
          <cell r="BG322">
            <v>17178.155763369752</v>
          </cell>
          <cell r="BH322">
            <v>18670.034433905421</v>
          </cell>
          <cell r="BI322">
            <v>20258.732021467687</v>
          </cell>
          <cell r="BJ322">
            <v>18029.458409413164</v>
          </cell>
          <cell r="BK322">
            <v>19519.738242478768</v>
          </cell>
          <cell r="BL322">
            <v>21032.14051890788</v>
          </cell>
          <cell r="BM322">
            <v>22640.623559543321</v>
          </cell>
          <cell r="BN322">
            <v>24311.648170620221</v>
          </cell>
          <cell r="BO322">
            <v>21289.966160300803</v>
          </cell>
          <cell r="BP322">
            <v>22572.345975757285</v>
          </cell>
          <cell r="BQ322">
            <v>23856.466179935789</v>
          </cell>
          <cell r="BR322">
            <v>25176.601843486384</v>
          </cell>
          <cell r="BS322">
            <v>26479.555256922122</v>
          </cell>
          <cell r="BT322">
            <v>22613.903594005267</v>
          </cell>
          <cell r="BU322">
            <v>23694.171087027433</v>
          </cell>
          <cell r="BV322">
            <v>24779.026722325736</v>
          </cell>
          <cell r="BW322">
            <v>25829.656153110474</v>
          </cell>
          <cell r="BX322">
            <v>26898.009707922301</v>
          </cell>
          <cell r="BY322">
            <v>27976.686759136042</v>
          </cell>
        </row>
        <row r="323">
          <cell r="AR323">
            <v>18055.483043599223</v>
          </cell>
          <cell r="AS323">
            <v>18331.050816429964</v>
          </cell>
          <cell r="AT323">
            <v>18620.049197475149</v>
          </cell>
          <cell r="AU323">
            <v>19362.666988984805</v>
          </cell>
          <cell r="AV323">
            <v>20804.208472458198</v>
          </cell>
          <cell r="AW323">
            <v>21892.153157506451</v>
          </cell>
          <cell r="AX323">
            <v>23591.060460608463</v>
          </cell>
          <cell r="AY323">
            <v>24391.095249356131</v>
          </cell>
          <cell r="AZ323">
            <v>25601.087156606758</v>
          </cell>
          <cell r="BA323">
            <v>29185.195142387754</v>
          </cell>
          <cell r="BB323">
            <v>31448.880616932292</v>
          </cell>
          <cell r="BC323">
            <v>33847.803977807191</v>
          </cell>
          <cell r="BD323">
            <v>37734.066352305992</v>
          </cell>
          <cell r="BE323">
            <v>40515.38648273213</v>
          </cell>
          <cell r="BF323">
            <v>42103.250782728181</v>
          </cell>
          <cell r="BG323">
            <v>44175.317772204558</v>
          </cell>
          <cell r="BH323">
            <v>45908.116664861365</v>
          </cell>
          <cell r="BI323">
            <v>47711.679811934162</v>
          </cell>
          <cell r="BJ323">
            <v>51631.641636221349</v>
          </cell>
          <cell r="BK323">
            <v>53809.321842472287</v>
          </cell>
          <cell r="BL323">
            <v>56121.797987710677</v>
          </cell>
          <cell r="BM323">
            <v>58537.930898754144</v>
          </cell>
          <cell r="BN323">
            <v>61082.976462010731</v>
          </cell>
          <cell r="BO323">
            <v>66242.953445200168</v>
          </cell>
          <cell r="BP323">
            <v>69121.265503313407</v>
          </cell>
          <cell r="BQ323">
            <v>72163.1708016505</v>
          </cell>
          <cell r="BR323">
            <v>75358.521296565785</v>
          </cell>
          <cell r="BS323">
            <v>78743.113859328238</v>
          </cell>
          <cell r="BT323">
            <v>85009.682959280151</v>
          </cell>
          <cell r="BU323">
            <v>88619.531403450397</v>
          </cell>
          <cell r="BV323">
            <v>92407.468064598535</v>
          </cell>
          <cell r="BW323">
            <v>96401.54909576576</v>
          </cell>
          <cell r="BX323">
            <v>100582.87632640773</v>
          </cell>
          <cell r="BY323">
            <v>104963.83356759234</v>
          </cell>
        </row>
        <row r="324">
          <cell r="AR324">
            <v>12575.218788098377</v>
          </cell>
          <cell r="AS324">
            <v>12714.229083006388</v>
          </cell>
          <cell r="AT324">
            <v>12858.659918297821</v>
          </cell>
          <cell r="AU324">
            <v>13310.740944977413</v>
          </cell>
          <cell r="AV324">
            <v>14092.204257295169</v>
          </cell>
          <cell r="AW324">
            <v>14603.764867334423</v>
          </cell>
          <cell r="AX324">
            <v>15488.72186849215</v>
          </cell>
          <cell r="AY324">
            <v>15751.366121523726</v>
          </cell>
          <cell r="AZ324">
            <v>16250.758464286195</v>
          </cell>
          <cell r="BA324">
            <v>17331.912166156864</v>
          </cell>
          <cell r="BB324">
            <v>17471.381944437766</v>
          </cell>
          <cell r="BC324">
            <v>17587.155198087843</v>
          </cell>
          <cell r="BD324">
            <v>18330.765876007441</v>
          </cell>
          <cell r="BE324">
            <v>18391.603162776522</v>
          </cell>
          <cell r="BF324">
            <v>19003.063465060768</v>
          </cell>
          <cell r="BG324">
            <v>19820.295512603578</v>
          </cell>
          <cell r="BH324">
            <v>20471.603721022439</v>
          </cell>
          <cell r="BI324">
            <v>21140.90774148424</v>
          </cell>
          <cell r="BJ324">
            <v>22727.449903739122</v>
          </cell>
          <cell r="BK324">
            <v>23686.031041690225</v>
          </cell>
          <cell r="BL324">
            <v>24703.947266682517</v>
          </cell>
          <cell r="BM324">
            <v>25767.491596405951</v>
          </cell>
          <cell r="BN324">
            <v>26887.781281347314</v>
          </cell>
          <cell r="BO324">
            <v>29159.12332420062</v>
          </cell>
          <cell r="BP324">
            <v>30426.111764525642</v>
          </cell>
          <cell r="BQ324">
            <v>31765.111418400193</v>
          </cell>
          <cell r="BR324">
            <v>33171.65527400226</v>
          </cell>
          <cell r="BS324">
            <v>34661.500560284767</v>
          </cell>
          <cell r="BT324">
            <v>37419.94733389192</v>
          </cell>
          <cell r="BU324">
            <v>39008.94677444845</v>
          </cell>
          <cell r="BV324">
            <v>40676.337893083451</v>
          </cell>
          <cell r="BW324">
            <v>42434.470574335355</v>
          </cell>
          <cell r="BX324">
            <v>44275.026135886365</v>
          </cell>
          <cell r="BY324">
            <v>46203.455739790275</v>
          </cell>
        </row>
        <row r="325">
          <cell r="AR325">
            <v>3826.0249766847414</v>
          </cell>
          <cell r="AS325">
            <v>4528.3216255614452</v>
          </cell>
          <cell r="AT325">
            <v>5281.3292537854368</v>
          </cell>
          <cell r="AU325">
            <v>6231.2759438886396</v>
          </cell>
          <cell r="AV325">
            <v>7108.4877525170932</v>
          </cell>
          <cell r="AW325">
            <v>7924.820932251062</v>
          </cell>
          <cell r="AX325">
            <v>9029.7099068076714</v>
          </cell>
          <cell r="AY325">
            <v>9853.9816694805431</v>
          </cell>
          <cell r="AZ325">
            <v>10899.100462822811</v>
          </cell>
          <cell r="BA325">
            <v>12259.041923191595</v>
          </cell>
          <cell r="BB325">
            <v>13042.456623621696</v>
          </cell>
          <cell r="BC325">
            <v>13868.223477102259</v>
          </cell>
          <cell r="BD325">
            <v>15283.24061904569</v>
          </cell>
          <cell r="BE325">
            <v>16230.438862381654</v>
          </cell>
          <cell r="BF325">
            <v>17489.075752124456</v>
          </cell>
          <cell r="BG325">
            <v>19021.555197752867</v>
          </cell>
          <cell r="BH325">
            <v>20485.971565315536</v>
          </cell>
          <cell r="BI325">
            <v>22059.172094427129</v>
          </cell>
          <cell r="BJ325">
            <v>24727.779998034428</v>
          </cell>
          <cell r="BK325">
            <v>25770.729540984285</v>
          </cell>
          <cell r="BL325">
            <v>26878.236479714698</v>
          </cell>
          <cell r="BM325">
            <v>28035.387427794954</v>
          </cell>
          <cell r="BN325">
            <v>29254.27810759531</v>
          </cell>
          <cell r="BO325">
            <v>31725.529681082335</v>
          </cell>
          <cell r="BP325">
            <v>33104.030636759526</v>
          </cell>
          <cell r="BQ325">
            <v>34560.88078927077</v>
          </cell>
          <cell r="BR325">
            <v>36091.219967939163</v>
          </cell>
          <cell r="BS325">
            <v>37712.192255914211</v>
          </cell>
          <cell r="BT325">
            <v>40713.420517023442</v>
          </cell>
          <cell r="BU325">
            <v>42442.273896945175</v>
          </cell>
          <cell r="BV325">
            <v>44256.418507401431</v>
          </cell>
          <cell r="BW325">
            <v>46169.291193667879</v>
          </cell>
          <cell r="BX325">
            <v>48171.841114268711</v>
          </cell>
          <cell r="BY325">
            <v>50269.999208951704</v>
          </cell>
        </row>
        <row r="521">
          <cell r="G521">
            <v>1.6734453110866188</v>
          </cell>
          <cell r="H521">
            <v>0.96498895258752537</v>
          </cell>
          <cell r="I521">
            <v>0.97755613189831425</v>
          </cell>
          <cell r="J521">
            <v>1.0650915722080461</v>
          </cell>
          <cell r="K521">
            <v>1.1407091286508313</v>
          </cell>
          <cell r="L521">
            <v>1.366868292986456</v>
          </cell>
          <cell r="M521">
            <v>1.6339254156931491</v>
          </cell>
          <cell r="N521">
            <v>1.7160253551980531</v>
          </cell>
          <cell r="O521">
            <v>1.9503174769147653</v>
          </cell>
          <cell r="P521">
            <v>1.9539899588448606</v>
          </cell>
          <cell r="Q521">
            <v>1.9588899744230575</v>
          </cell>
          <cell r="R521">
            <v>2.297870193767205</v>
          </cell>
          <cell r="S521">
            <v>2.2969391111826436</v>
          </cell>
          <cell r="T521">
            <v>2.2960084911188376</v>
          </cell>
          <cell r="U521">
            <v>2.5614252523493883</v>
          </cell>
          <cell r="V521">
            <v>2.5604058386410089</v>
          </cell>
          <cell r="W521">
            <v>2.5741135898780199</v>
          </cell>
          <cell r="X521">
            <v>2.6652252976810824</v>
          </cell>
          <cell r="Y521">
            <v>2.678858858709066</v>
          </cell>
          <cell r="Z521">
            <v>2.69249280576582</v>
          </cell>
          <cell r="AA521">
            <v>3.0532957724273091</v>
          </cell>
          <cell r="AB521">
            <v>3.0532806153143088</v>
          </cell>
          <cell r="AC521">
            <v>3.0531355462808754</v>
          </cell>
          <cell r="AD521">
            <v>3.0529652294578806</v>
          </cell>
          <cell r="AE521">
            <v>3.0527816533287435</v>
          </cell>
          <cell r="AF521">
            <v>3.3994718875400629</v>
          </cell>
          <cell r="AG521">
            <v>3.3992841801553793</v>
          </cell>
          <cell r="AH521">
            <v>3.3991002857558299</v>
          </cell>
          <cell r="AI521">
            <v>3.3989121025180151</v>
          </cell>
          <cell r="AJ521">
            <v>3.3987119413275795</v>
          </cell>
          <cell r="AK521">
            <v>3.745472203162874</v>
          </cell>
          <cell r="AL521">
            <v>3.7452567153367506</v>
          </cell>
          <cell r="AM521">
            <v>3.7450982828667576</v>
          </cell>
          <cell r="AN521">
            <v>3.7450348073443522</v>
          </cell>
          <cell r="AO521">
            <v>3.7449735516536244</v>
          </cell>
          <cell r="AP521">
            <v>3.7449163845825768</v>
          </cell>
        </row>
        <row r="522">
          <cell r="G522">
            <v>1.6734453110866188</v>
          </cell>
          <cell r="H522">
            <v>0.96498895258752537</v>
          </cell>
          <cell r="I522">
            <v>0.97755613189831425</v>
          </cell>
          <cell r="J522">
            <v>1.0650915722080461</v>
          </cell>
          <cell r="K522">
            <v>1.1407091286508313</v>
          </cell>
          <cell r="L522">
            <v>1.366868292986456</v>
          </cell>
          <cell r="M522">
            <v>1.6339254156931491</v>
          </cell>
          <cell r="N522">
            <v>1.7160253551980531</v>
          </cell>
          <cell r="O522">
            <v>1.9503174769147653</v>
          </cell>
          <cell r="P522">
            <v>1.9539275159602896</v>
          </cell>
          <cell r="Q522">
            <v>1.9582317251330448</v>
          </cell>
          <cell r="R522">
            <v>2.3017735001660609</v>
          </cell>
          <cell r="S522">
            <v>2.3055255763317426</v>
          </cell>
          <cell r="T522">
            <v>2.3092768352155613</v>
          </cell>
          <cell r="U522">
            <v>2.5815912886010541</v>
          </cell>
          <cell r="V522">
            <v>2.5857798403990628</v>
          </cell>
          <cell r="W522">
            <v>2.5899829128228826</v>
          </cell>
          <cell r="X522">
            <v>2.6717965845134666</v>
          </cell>
          <cell r="Y522">
            <v>2.6769175195537183</v>
          </cell>
          <cell r="Z522">
            <v>2.6830025483777087</v>
          </cell>
          <cell r="AA522">
            <v>3.0322092174446977</v>
          </cell>
          <cell r="AB522">
            <v>3.0322380368989572</v>
          </cell>
          <cell r="AC522">
            <v>3.0322655687818507</v>
          </cell>
          <cell r="AD522">
            <v>3.0322919426553017</v>
          </cell>
          <cell r="AE522">
            <v>3.0328536452698414</v>
          </cell>
          <cell r="AF522">
            <v>3.3778806764521461</v>
          </cell>
          <cell r="AG522">
            <v>3.3778695775295158</v>
          </cell>
          <cell r="AH522">
            <v>3.377856465613045</v>
          </cell>
          <cell r="AI522">
            <v>3.377889347489329</v>
          </cell>
          <cell r="AJ522">
            <v>3.3782008861018529</v>
          </cell>
          <cell r="AK522">
            <v>3.7232113396805464</v>
          </cell>
          <cell r="AL522">
            <v>3.7231684781340877</v>
          </cell>
          <cell r="AM522">
            <v>3.723123596906754</v>
          </cell>
          <cell r="AN522">
            <v>3.7230767003585483</v>
          </cell>
          <cell r="AO522">
            <v>3.723081817670864</v>
          </cell>
          <cell r="AP522">
            <v>3.7233177623255846</v>
          </cell>
        </row>
      </sheetData>
      <sheetData sheetId="13" refreshError="1"/>
      <sheetData sheetId="14" refreshError="1"/>
      <sheetData sheetId="15" refreshError="1">
        <row r="72">
          <cell r="L72">
            <v>531.64999997615814</v>
          </cell>
          <cell r="Q72">
            <v>0.56874999999999998</v>
          </cell>
        </row>
        <row r="73">
          <cell r="Q73">
            <v>0.56874999999999998</v>
          </cell>
        </row>
      </sheetData>
      <sheetData sheetId="16" refreshError="1">
        <row r="72">
          <cell r="W72">
            <v>0</v>
          </cell>
        </row>
        <row r="74">
          <cell r="W74">
            <v>52702997.853217803</v>
          </cell>
          <cell r="AB74">
            <v>1.0121919217247899</v>
          </cell>
        </row>
        <row r="75">
          <cell r="W75">
            <v>52702997.853217803</v>
          </cell>
          <cell r="AB75">
            <v>1.0121919217247899</v>
          </cell>
        </row>
        <row r="79">
          <cell r="W79">
            <v>67001848.200774282</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5">
          <cell r="A15">
            <v>38214</v>
          </cell>
        </row>
        <row r="71">
          <cell r="Q71">
            <v>0.56874999999999998</v>
          </cell>
        </row>
      </sheetData>
      <sheetData sheetId="29" refreshError="1">
        <row r="74">
          <cell r="X74">
            <v>52702997.853217803</v>
          </cell>
          <cell r="AC74">
            <v>1.0121919217247899</v>
          </cell>
        </row>
      </sheetData>
      <sheetData sheetId="30" refreshError="1"/>
      <sheetData sheetId="31" refreshError="1"/>
      <sheetData sheetId="32" refreshError="1"/>
      <sheetData sheetId="33" refreshError="1"/>
      <sheetData sheetId="3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Results"/>
      <sheetName val="R.Tables 1"/>
      <sheetName val="R.Tables 2"/>
      <sheetName val="S.Analysis"/>
      <sheetName val="General Inputs"/>
      <sheetName val="Em.Inputs"/>
      <sheetName val="Capital Cost"/>
      <sheetName val="Rates"/>
      <sheetName val="Distances"/>
      <sheetName val="Volume"/>
      <sheetName val="R.Transportation Costs"/>
      <sheetName val="Emissions"/>
      <sheetName val="Safety"/>
      <sheetName val="Maintenance"/>
      <sheetName val="Rail.Acc"/>
      <sheetName val="Marine.Acc"/>
      <sheetName val="Rail Emissions"/>
      <sheetName val="Marine Emissions"/>
      <sheetName val="GHG"/>
      <sheetName val="Canada CPI Data"/>
      <sheetName val="NBT Volume Data"/>
      <sheetName val="Costs &amp; Schedule"/>
      <sheetName val="US GDP Deflators"/>
    </sheetNames>
    <sheetDataSet>
      <sheetData sheetId="0"/>
      <sheetData sheetId="1"/>
      <sheetData sheetId="2"/>
      <sheetData sheetId="3"/>
      <sheetData sheetId="4"/>
      <sheetData sheetId="5">
        <row r="21">
          <cell r="D21">
            <v>2024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G CONTRACT"/>
      <sheetName val="HVAC"/>
      <sheetName val="PLUMBING"/>
      <sheetName val="ELECTRICAL"/>
    </sheetNames>
    <sheetDataSet>
      <sheetData sheetId="0" refreshError="1">
        <row r="1">
          <cell r="E1" t="str">
            <v xml:space="preserve"> </v>
          </cell>
        </row>
        <row r="2">
          <cell r="A2" t="str">
            <v>PRELIMINARY CONSTRUCTION COST ESTIMATE</v>
          </cell>
        </row>
        <row r="4">
          <cell r="A4" t="str">
            <v>CAPITAL PROJECT</v>
          </cell>
          <cell r="E4" t="str">
            <v>PLANT NAME: SPRING CREEK</v>
          </cell>
        </row>
        <row r="5">
          <cell r="A5" t="str">
            <v>WP-225</v>
          </cell>
          <cell r="E5" t="str">
            <v>PROJECT NAME: AWPCP UPGRADE</v>
          </cell>
        </row>
        <row r="6">
          <cell r="A6" t="str">
            <v>J.C. ESTIMATING, INC./JCE CO.</v>
          </cell>
          <cell r="E6" t="str">
            <v>PRELIMINARY DESIGN</v>
          </cell>
        </row>
        <row r="8">
          <cell r="A8" t="str">
            <v>ITEM</v>
          </cell>
        </row>
        <row r="9">
          <cell r="A9" t="str">
            <v>ITEM</v>
          </cell>
          <cell r="B9" t="str">
            <v>DESCRIPTION</v>
          </cell>
          <cell r="D9" t="str">
            <v>UNIT</v>
          </cell>
          <cell r="E9" t="str">
            <v>QTY</v>
          </cell>
          <cell r="F9" t="str">
            <v>UNIT</v>
          </cell>
          <cell r="G9" t="str">
            <v>AMOUNT</v>
          </cell>
        </row>
        <row r="10">
          <cell r="A10" t="str">
            <v xml:space="preserve"># </v>
          </cell>
          <cell r="B10" t="str">
            <v xml:space="preserve"> </v>
          </cell>
          <cell r="F10" t="str">
            <v>COST $</v>
          </cell>
          <cell r="G10" t="str">
            <v>$</v>
          </cell>
        </row>
      </sheetData>
      <sheetData sheetId="1" refreshError="1"/>
      <sheetData sheetId="2" refreshError="1"/>
      <sheetData sheetId="3" refreshError="1"/>
      <sheetData sheetId="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th RSPS"/>
      <sheetName val="North RSPS"/>
      <sheetName val="P5 Alkalinity Facility"/>
      <sheetName val="P5 Methanol Facility"/>
      <sheetName val="P5 Centrate Facility"/>
      <sheetName val="P5 PlantWide"/>
      <sheetName val="Battery E RSPS"/>
      <sheetName val="mastermotorlist"/>
      <sheetName val="Attachment No. 3"/>
      <sheetName val="#REF"/>
      <sheetName val="MA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Module1"/>
      <sheetName val="Example Details"/>
      <sheetName val="Notes"/>
      <sheetName val="Overview"/>
      <sheetName val="Project Defn"/>
      <sheetName val="Alt 1"/>
      <sheetName val="Traffic Alt1"/>
      <sheetName val="Alt 2"/>
      <sheetName val="Traffic Alt2"/>
      <sheetName val="Alt 3"/>
      <sheetName val="Traffic Alt3"/>
      <sheetName val="Project Costs Alt 1"/>
      <sheetName val="Project Costs Alt 2"/>
      <sheetName val="Project Costs Alt 3"/>
      <sheetName val="Results"/>
      <sheetName val="Summary"/>
      <sheetName val="Alt1 Invest"/>
      <sheetName val="Alt1 Other"/>
      <sheetName val="Alt2 Invest"/>
      <sheetName val="Alt2 Other"/>
      <sheetName val="Alt3 Invest"/>
      <sheetName val="Alt3 Other"/>
      <sheetName val="Parameters"/>
      <sheetName val="RehabCosts"/>
      <sheetName val="Maintenance"/>
      <sheetName val="RUC Alt1"/>
      <sheetName val="RUC Alt2"/>
      <sheetName val="RUC Alt3"/>
      <sheetName val="Collision Rates"/>
      <sheetName val="Emissions"/>
      <sheetName val="FuelConsump"/>
    </sheetNames>
    <sheetDataSet>
      <sheetData sheetId="0" refreshError="1"/>
      <sheetData sheetId="1" refreshError="1"/>
      <sheetData sheetId="2" refreshError="1"/>
      <sheetData sheetId="3" refreshError="1"/>
      <sheetData sheetId="4" refreshError="1"/>
      <sheetData sheetId="5">
        <row r="1">
          <cell r="A1" t="str">
            <v>Alberta Transportation</v>
          </cell>
        </row>
      </sheetData>
      <sheetData sheetId="6">
        <row r="10">
          <cell r="D10" t="str">
            <v>Increasing Curve Radius</v>
          </cell>
        </row>
      </sheetData>
      <sheetData sheetId="7">
        <row r="18">
          <cell r="D18" t="str">
            <v>No Change to Curve</v>
          </cell>
        </row>
      </sheetData>
      <sheetData sheetId="8">
        <row r="1896">
          <cell r="DA1896">
            <v>1.6631672523215097</v>
          </cell>
        </row>
      </sheetData>
      <sheetData sheetId="9">
        <row r="18">
          <cell r="D18" t="str">
            <v>Flatter Curve</v>
          </cell>
        </row>
      </sheetData>
      <sheetData sheetId="10">
        <row r="1896">
          <cell r="DA1896">
            <v>1.202437135101329</v>
          </cell>
        </row>
      </sheetData>
      <sheetData sheetId="11">
        <row r="18">
          <cell r="D18" t="str">
            <v>Flattest Curve</v>
          </cell>
        </row>
      </sheetData>
      <sheetData sheetId="12">
        <row r="1896">
          <cell r="DA1896">
            <v>0.95732826457912845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0">
          <cell r="D10">
            <v>2016</v>
          </cell>
        </row>
      </sheetData>
      <sheetData sheetId="25" refreshError="1"/>
      <sheetData sheetId="26"/>
      <sheetData sheetId="27" refreshError="1"/>
      <sheetData sheetId="28" refreshError="1"/>
      <sheetData sheetId="29" refreshError="1"/>
      <sheetData sheetId="30">
        <row r="4">
          <cell r="D4" t="str">
            <v>2 Lane (gravel)</v>
          </cell>
        </row>
      </sheetData>
      <sheetData sheetId="31" refreshError="1"/>
      <sheetData sheetId="3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Instructions"/>
      <sheetName val="Route Comparisons"/>
      <sheetName val="Scenario Summary"/>
      <sheetName val="Scenario Summary 2"/>
      <sheetName val="Scenarios"/>
      <sheetName val="Income Statement"/>
      <sheetName val="Income Statement by Segment"/>
      <sheetName val="Infrastructure Income"/>
      <sheetName val="Operating Co Income"/>
      <sheetName val="Intermodal Income"/>
      <sheetName val="Minerals Income"/>
      <sheetName val="Coal Income"/>
      <sheetName val="Pipe Income"/>
      <sheetName val="Indus Prod Income"/>
      <sheetName val="Income Check"/>
      <sheetName val="Summary Report"/>
      <sheetName val="Revenue"/>
      <sheetName val="Capital Expenses"/>
      <sheetName val="Fuel Statistics Summary"/>
      <sheetName val="Manpower"/>
      <sheetName val="MoW"/>
      <sheetName val="Locomotives"/>
      <sheetName val="Car Repair"/>
      <sheetName val="Crews"/>
      <sheetName val="Fuel"/>
      <sheetName val="Car Hire"/>
      <sheetName val="Calculations-Segments"/>
      <sheetName val="Routes"/>
      <sheetName val="Mgt Strategies"/>
      <sheetName val="Segments"/>
      <sheetName val="Volume Detail - High"/>
      <sheetName val="Traffic Forecast"/>
      <sheetName val="TrafficFlows"/>
      <sheetName val="Factors - Cars"/>
      <sheetName val="Factors - MOW"/>
      <sheetName val="Factors - Labor"/>
      <sheetName val="Factors - Locomotives"/>
      <sheetName val="Factors - Gen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38">
          <cell r="B38" t="str">
            <v>Minerals</v>
          </cell>
        </row>
        <row r="39">
          <cell r="B39" t="str">
            <v>Coal</v>
          </cell>
        </row>
        <row r="41">
          <cell r="B41" t="str">
            <v>Industrial Products</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CBA"/>
      <sheetName val="assumptions"/>
      <sheetName val="Chart1"/>
      <sheetName val="Tables"/>
      <sheetName val="CBA_Summary"/>
      <sheetName val="Sensitivity"/>
      <sheetName val="Econ_Dev"/>
      <sheetName val="RiskSerializationData"/>
      <sheetName val="Cost"/>
      <sheetName val="VALUE OF TIME"/>
      <sheetName val="EMISSION COSTS"/>
      <sheetName val="ACCIDENT COSTS"/>
      <sheetName val="FUEL COSTS"/>
      <sheetName val="OTHER VEHICLE COSTS"/>
      <sheetName val="MISCELLANEOUS"/>
      <sheetName val="PRICES and ECI"/>
      <sheetName val="TONS"/>
      <sheetName val="Speed"/>
      <sheetName val="Traffic"/>
      <sheetName val="VOC_lookup"/>
      <sheetName val="Emission_Lookup"/>
      <sheetName val="Risk_Results"/>
      <sheetName val="Ridership"/>
      <sheetName val="Alternatives"/>
      <sheetName val="Low Income"/>
    </sheetNames>
    <sheetDataSet>
      <sheetData sheetId="0"/>
      <sheetData sheetId="1"/>
      <sheetData sheetId="2"/>
      <sheetData sheetId="3" refreshError="1"/>
      <sheetData sheetId="4"/>
      <sheetData sheetId="5"/>
      <sheetData sheetId="6">
        <row r="1">
          <cell r="B1" t="str">
            <v>BASELINE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Model Inputs "/>
      <sheetName val="Tables "/>
      <sheetName val="Dashboard"/>
      <sheetName val="Revenues - Open Tolling System"/>
      <sheetName val="Revenues -Closed Tolling System"/>
      <sheetName val="Open Tolling System Costs"/>
      <sheetName val="Closed Tolling System Costs"/>
      <sheetName val="Gardiner Costs"/>
      <sheetName val="DVP Costs"/>
      <sheetName val="Status 7 Project Summary"/>
      <sheetName val="Status 7 Projects Costs"/>
      <sheetName val="Traffic Stats"/>
      <sheetName val="City Gardiner and DVP Costs"/>
      <sheetName val="AM - Traffic Data"/>
      <sheetName val="MD - Traffic Data "/>
      <sheetName val="PM - Traffic Data"/>
      <sheetName val="Evening - Traffic Data"/>
      <sheetName val="AM Traffic Data - Gardiner"/>
      <sheetName val="MD Traffic Data - Gardiner"/>
      <sheetName val="PM Traffic Data - Gardiner"/>
      <sheetName val="Evening Traffic Data - Gardiner"/>
      <sheetName val="AM Traffic Data  - DVP"/>
      <sheetName val="MD Traffic Data - DVP"/>
      <sheetName val="PM Traffic Data - DVP"/>
      <sheetName val="Evening Traffic Data - DVP"/>
      <sheetName val="Lists"/>
      <sheetName val="Toronto Census Data "/>
      <sheetName val="Population Projections"/>
    </sheetNames>
    <sheetDataSet>
      <sheetData sheetId="0"/>
      <sheetData sheetId="1" refreshError="1"/>
      <sheetData sheetId="2">
        <row r="5">
          <cell r="B5">
            <v>1</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SerializationData"/>
      <sheetName val="Title"/>
      <sheetName val="rsklibSimData"/>
      <sheetName val="Input Sources"/>
      <sheetName val="InputsNEW"/>
      <sheetName val="Annualization"/>
      <sheetName val="Calculations"/>
      <sheetName val="Cashflow"/>
      <sheetName val="Financials"/>
      <sheetName val="Summary"/>
      <sheetName val="SROI NPV"/>
      <sheetName val="FROI NPV"/>
      <sheetName val="Graph Data NPV"/>
      <sheetName val="@RISK Sum"/>
      <sheetName val="Emissions Reduced"/>
      <sheetName val="GHG Social Cost"/>
      <sheetName val="CAC Social Cost"/>
      <sheetName val="Water"/>
      <sheetName val="Electricity Conversion Factors"/>
      <sheetName val="Natural Gas Emiss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7">
          <cell r="B7" t="str">
            <v>Alabama</v>
          </cell>
        </row>
        <row r="8">
          <cell r="B8" t="str">
            <v>Arizona</v>
          </cell>
        </row>
        <row r="9">
          <cell r="B9" t="str">
            <v>Arkansas</v>
          </cell>
        </row>
        <row r="10">
          <cell r="B10" t="str">
            <v>California</v>
          </cell>
        </row>
        <row r="11">
          <cell r="B11" t="str">
            <v>Colorado</v>
          </cell>
        </row>
        <row r="12">
          <cell r="B12" t="str">
            <v>Connecticut</v>
          </cell>
        </row>
        <row r="13">
          <cell r="B13" t="str">
            <v>Delaware</v>
          </cell>
        </row>
        <row r="14">
          <cell r="B14" t="str">
            <v>Florida</v>
          </cell>
        </row>
        <row r="15">
          <cell r="B15" t="str">
            <v>Georgia</v>
          </cell>
        </row>
        <row r="16">
          <cell r="B16" t="str">
            <v>Idaho</v>
          </cell>
        </row>
        <row r="17">
          <cell r="B17" t="str">
            <v>Illinois</v>
          </cell>
        </row>
        <row r="18">
          <cell r="B18" t="str">
            <v>Indiana</v>
          </cell>
        </row>
        <row r="19">
          <cell r="B19" t="str">
            <v>Iowa</v>
          </cell>
        </row>
        <row r="20">
          <cell r="B20" t="str">
            <v>Kansas</v>
          </cell>
        </row>
        <row r="21">
          <cell r="B21" t="str">
            <v>Kentucky</v>
          </cell>
        </row>
        <row r="22">
          <cell r="B22" t="str">
            <v>Louisiana</v>
          </cell>
        </row>
        <row r="23">
          <cell r="B23" t="str">
            <v>Maine</v>
          </cell>
        </row>
        <row r="24">
          <cell r="B24" t="str">
            <v>Maryland</v>
          </cell>
        </row>
        <row r="25">
          <cell r="B25" t="str">
            <v>Massachusetts</v>
          </cell>
        </row>
        <row r="26">
          <cell r="B26" t="str">
            <v>Michigan</v>
          </cell>
        </row>
        <row r="27">
          <cell r="B27" t="str">
            <v>Minnesota</v>
          </cell>
        </row>
        <row r="28">
          <cell r="B28" t="str">
            <v>Mississippi</v>
          </cell>
        </row>
        <row r="29">
          <cell r="B29" t="str">
            <v>Missouri</v>
          </cell>
        </row>
        <row r="30">
          <cell r="B30" t="str">
            <v>Montana</v>
          </cell>
        </row>
        <row r="31">
          <cell r="B31" t="str">
            <v>Nebraska</v>
          </cell>
        </row>
        <row r="32">
          <cell r="B32" t="str">
            <v>Nevada</v>
          </cell>
        </row>
        <row r="33">
          <cell r="B33" t="str">
            <v>New Hampshire</v>
          </cell>
        </row>
        <row r="34">
          <cell r="B34" t="str">
            <v>New Jersey</v>
          </cell>
        </row>
        <row r="35">
          <cell r="B35" t="str">
            <v>New Mexico</v>
          </cell>
        </row>
        <row r="36">
          <cell r="B36" t="str">
            <v>New York</v>
          </cell>
        </row>
        <row r="37">
          <cell r="B37" t="str">
            <v>North Carolina</v>
          </cell>
        </row>
        <row r="38">
          <cell r="B38" t="str">
            <v>North Dakota</v>
          </cell>
        </row>
        <row r="39">
          <cell r="B39" t="str">
            <v>Ohio</v>
          </cell>
        </row>
        <row r="40">
          <cell r="B40" t="str">
            <v>Oklahoma</v>
          </cell>
        </row>
        <row r="41">
          <cell r="B41" t="str">
            <v>Oregon</v>
          </cell>
        </row>
        <row r="42">
          <cell r="B42" t="str">
            <v>Pennsylvania</v>
          </cell>
        </row>
        <row r="43">
          <cell r="B43" t="str">
            <v>Rhode Island</v>
          </cell>
        </row>
        <row r="44">
          <cell r="B44" t="str">
            <v>South Carolina</v>
          </cell>
        </row>
        <row r="45">
          <cell r="B45" t="str">
            <v>South Dakota</v>
          </cell>
        </row>
        <row r="46">
          <cell r="B46" t="str">
            <v>Tennessee</v>
          </cell>
        </row>
        <row r="47">
          <cell r="B47" t="str">
            <v>Texas</v>
          </cell>
        </row>
        <row r="48">
          <cell r="B48" t="str">
            <v>Utah</v>
          </cell>
        </row>
        <row r="49">
          <cell r="B49" t="str">
            <v>Vermont</v>
          </cell>
        </row>
        <row r="50">
          <cell r="B50" t="str">
            <v>Virginia</v>
          </cell>
        </row>
        <row r="51">
          <cell r="B51" t="str">
            <v>Washington</v>
          </cell>
        </row>
        <row r="52">
          <cell r="B52" t="str">
            <v>West Virginia</v>
          </cell>
        </row>
        <row r="53">
          <cell r="B53" t="str">
            <v>Wisconsin</v>
          </cell>
        </row>
        <row r="54">
          <cell r="B54" t="str">
            <v>Wyoming</v>
          </cell>
        </row>
        <row r="55">
          <cell r="B55" t="str">
            <v>US Weighted Average</v>
          </cell>
        </row>
      </sheetData>
      <sheetData sheetId="18"/>
      <sheetData sheetId="1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Module1"/>
      <sheetName val="Example Details"/>
      <sheetName val="Notes"/>
      <sheetName val="Overview"/>
      <sheetName val="Project Defn"/>
      <sheetName val="Alt 1"/>
      <sheetName val="Traffic Alt1"/>
      <sheetName val="Alt 2"/>
      <sheetName val="Traffic Alt2"/>
      <sheetName val="Alt 3"/>
      <sheetName val="Traffic Alt3"/>
      <sheetName val="Project Costs Alt 1"/>
      <sheetName val="Project Costs Alt 2"/>
      <sheetName val="Project Costs Alt 3"/>
      <sheetName val="Results"/>
      <sheetName val="Summary"/>
      <sheetName val="Alt1 Invest"/>
      <sheetName val="Alt1 Other"/>
      <sheetName val="Alt2 Invest"/>
      <sheetName val="Alt2 Other"/>
      <sheetName val="Alt3 Invest"/>
      <sheetName val="Alt3 Other"/>
      <sheetName val="Parameters"/>
      <sheetName val="Collision Rates"/>
      <sheetName val="RehabCosts"/>
      <sheetName val="Maintenance"/>
      <sheetName val="RUC Alt1"/>
      <sheetName val="RUC Alt2"/>
      <sheetName val="RUC Alt3"/>
      <sheetName val="Emissions"/>
      <sheetName val="FuelConsu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ke-Off"/>
      <sheetName val="Look Up Table"/>
      <sheetName val="Sheet3"/>
    </sheetNames>
    <sheetDataSet>
      <sheetData sheetId="0" refreshError="1"/>
      <sheetData sheetId="1" refreshError="1">
        <row r="9">
          <cell r="A9" t="str">
            <v>Additional lane</v>
          </cell>
        </row>
        <row r="10">
          <cell r="A10" t="str">
            <v>Barrier</v>
          </cell>
        </row>
        <row r="11">
          <cell r="A11" t="str">
            <v>Demo, street</v>
          </cell>
        </row>
        <row r="12">
          <cell r="A12" t="str">
            <v>Demo, mainline</v>
          </cell>
        </row>
        <row r="13">
          <cell r="A13" t="str">
            <v>Demo, ramp</v>
          </cell>
        </row>
        <row r="14">
          <cell r="A14" t="str">
            <v>Embankment</v>
          </cell>
        </row>
        <row r="15">
          <cell r="A15" t="str">
            <v>Excavation</v>
          </cell>
        </row>
        <row r="16">
          <cell r="A16" t="str">
            <v>Landscaping</v>
          </cell>
        </row>
        <row r="17">
          <cell r="A17" t="str">
            <v>Mainline, I-5</v>
          </cell>
        </row>
        <row r="18">
          <cell r="A18" t="str">
            <v>Mainline, SR 14</v>
          </cell>
        </row>
        <row r="19">
          <cell r="A19" t="str">
            <v>Ramp, 1-lane</v>
          </cell>
        </row>
        <row r="20">
          <cell r="A20" t="str">
            <v>Ramp, 2-lane</v>
          </cell>
        </row>
        <row r="21">
          <cell r="A21" t="str">
            <v>Street, 2-lane</v>
          </cell>
        </row>
        <row r="22">
          <cell r="A22" t="str">
            <v>Street, 2-lane &amp; CTL</v>
          </cell>
        </row>
        <row r="23">
          <cell r="A23" t="str">
            <v>Street, 4-lane &amp; CTL</v>
          </cell>
        </row>
        <row r="24">
          <cell r="A24" t="str">
            <v>Street, Marine Drive</v>
          </cell>
        </row>
        <row r="25">
          <cell r="A25" t="str">
            <v>Stripping</v>
          </cell>
        </row>
      </sheetData>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Kirsh, Sam" id="{4CB4F250-23EC-45B5-99CA-0AA354EECD21}" userId="S::SKIRSH@hdrinc.com::ee7edae4-09a8-4502-810b-680fff25496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9" dT="2023-07-25T14:46:11.32" personId="{4CB4F250-23EC-45B5-99CA-0AA354EECD21}" id="{D8C1AD40-12AB-42DD-934E-C925499A7B33}">
    <text>Calculated based on long-term U.S. CPI growth, White House Deflation Tables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A0223-04D6-4452-8AE9-7B1063F78386}">
  <sheetPr codeName="Sheet1">
    <tabColor theme="8" tint="0.79998168889431442"/>
  </sheetPr>
  <dimension ref="B1:L54"/>
  <sheetViews>
    <sheetView showGridLines="0" tabSelected="1" zoomScaleNormal="100" workbookViewId="0"/>
  </sheetViews>
  <sheetFormatPr defaultColWidth="8.7265625" defaultRowHeight="14" x14ac:dyDescent="0.3"/>
  <cols>
    <col min="1" max="1" width="1.54296875" style="4" customWidth="1"/>
    <col min="2" max="2" width="35.08984375" style="4" customWidth="1"/>
    <col min="3" max="10" width="8.7265625" style="4"/>
    <col min="11" max="11" width="91.453125" style="4" customWidth="1"/>
    <col min="12" max="12" width="9.81640625" style="4" customWidth="1"/>
    <col min="13" max="16384" width="8.7265625" style="4"/>
  </cols>
  <sheetData>
    <row r="1" spans="2:12" ht="2.15" customHeight="1" x14ac:dyDescent="0.3"/>
    <row r="2" spans="2:12" ht="20" x14ac:dyDescent="0.3">
      <c r="B2" s="7" t="s">
        <v>219</v>
      </c>
      <c r="C2" s="8"/>
      <c r="D2" s="8"/>
      <c r="E2" s="8"/>
      <c r="F2" s="8"/>
      <c r="G2" s="8"/>
      <c r="H2" s="8"/>
      <c r="I2" s="8"/>
      <c r="J2" s="8"/>
      <c r="K2" s="8"/>
      <c r="L2" s="8"/>
    </row>
    <row r="3" spans="2:12" ht="2.15" customHeight="1" x14ac:dyDescent="0.3"/>
    <row r="4" spans="2:12" x14ac:dyDescent="0.3">
      <c r="B4" s="13" t="s">
        <v>223</v>
      </c>
      <c r="C4" s="13"/>
      <c r="D4" s="13"/>
      <c r="E4" s="13"/>
      <c r="F4" s="13"/>
      <c r="G4" s="13"/>
      <c r="H4" s="13"/>
      <c r="I4" s="13"/>
      <c r="J4" s="13"/>
      <c r="K4" s="13"/>
      <c r="L4" s="13"/>
    </row>
    <row r="5" spans="2:12" x14ac:dyDescent="0.3">
      <c r="B5" s="9" t="s">
        <v>224</v>
      </c>
      <c r="C5" s="9"/>
      <c r="D5" s="9"/>
      <c r="E5" s="9"/>
      <c r="F5" s="9"/>
      <c r="G5" s="9"/>
      <c r="H5" s="9"/>
      <c r="I5" s="9"/>
      <c r="J5" s="9"/>
      <c r="K5" s="9"/>
      <c r="L5" s="9"/>
    </row>
    <row r="6" spans="2:12" ht="2.15" customHeight="1" x14ac:dyDescent="0.3"/>
    <row r="7" spans="2:12" x14ac:dyDescent="0.3">
      <c r="B7" s="124" t="s">
        <v>232</v>
      </c>
      <c r="C7" s="146" t="s">
        <v>195</v>
      </c>
      <c r="D7" s="125"/>
      <c r="E7" s="125"/>
      <c r="F7" s="125"/>
      <c r="G7" s="125"/>
      <c r="H7" s="125"/>
      <c r="I7" s="125"/>
      <c r="J7" s="125"/>
      <c r="K7" s="125"/>
      <c r="L7" s="125"/>
    </row>
    <row r="8" spans="2:12" x14ac:dyDescent="0.3">
      <c r="B8" s="4" t="s">
        <v>4</v>
      </c>
      <c r="C8" s="104" t="s">
        <v>196</v>
      </c>
      <c r="L8" s="145"/>
    </row>
    <row r="9" spans="2:12" x14ac:dyDescent="0.3">
      <c r="B9" s="4" t="s">
        <v>5</v>
      </c>
      <c r="C9" s="104" t="s">
        <v>206</v>
      </c>
    </row>
    <row r="10" spans="2:12" x14ac:dyDescent="0.3">
      <c r="B10" s="4" t="s">
        <v>6</v>
      </c>
      <c r="C10" s="104" t="s">
        <v>197</v>
      </c>
    </row>
    <row r="11" spans="2:12" x14ac:dyDescent="0.3">
      <c r="B11" s="4" t="s">
        <v>8</v>
      </c>
      <c r="C11" s="104" t="s">
        <v>207</v>
      </c>
    </row>
    <row r="12" spans="2:12" x14ac:dyDescent="0.3">
      <c r="B12" s="4" t="s">
        <v>9</v>
      </c>
      <c r="C12" s="104" t="s">
        <v>208</v>
      </c>
    </row>
    <row r="13" spans="2:12" x14ac:dyDescent="0.3">
      <c r="B13" s="4" t="s">
        <v>160</v>
      </c>
      <c r="C13" s="104" t="s">
        <v>209</v>
      </c>
    </row>
    <row r="14" spans="2:12" x14ac:dyDescent="0.3">
      <c r="B14" s="4" t="s">
        <v>179</v>
      </c>
      <c r="C14" s="104" t="s">
        <v>210</v>
      </c>
    </row>
    <row r="15" spans="2:12" x14ac:dyDescent="0.3">
      <c r="B15" s="4" t="s">
        <v>11</v>
      </c>
      <c r="C15" s="104" t="s">
        <v>250</v>
      </c>
    </row>
    <row r="16" spans="2:12" x14ac:dyDescent="0.3">
      <c r="B16" s="4" t="s">
        <v>162</v>
      </c>
      <c r="C16" s="104" t="s">
        <v>211</v>
      </c>
    </row>
    <row r="17" spans="2:3" x14ac:dyDescent="0.3">
      <c r="B17" s="4" t="s">
        <v>178</v>
      </c>
      <c r="C17" s="104" t="s">
        <v>198</v>
      </c>
    </row>
    <row r="18" spans="2:3" x14ac:dyDescent="0.3">
      <c r="B18" s="4" t="s">
        <v>161</v>
      </c>
      <c r="C18" s="104" t="s">
        <v>212</v>
      </c>
    </row>
    <row r="19" spans="2:3" x14ac:dyDescent="0.3">
      <c r="B19" s="4" t="s">
        <v>158</v>
      </c>
      <c r="C19" s="104" t="s">
        <v>213</v>
      </c>
    </row>
    <row r="20" spans="2:3" x14ac:dyDescent="0.3">
      <c r="B20" s="4" t="s">
        <v>184</v>
      </c>
      <c r="C20" s="104" t="s">
        <v>214</v>
      </c>
    </row>
    <row r="21" spans="2:3" x14ac:dyDescent="0.3">
      <c r="B21" s="4" t="s">
        <v>12</v>
      </c>
      <c r="C21" s="104" t="s">
        <v>216</v>
      </c>
    </row>
    <row r="22" spans="2:3" x14ac:dyDescent="0.3">
      <c r="B22" s="4" t="s">
        <v>302</v>
      </c>
      <c r="C22" s="104" t="s">
        <v>304</v>
      </c>
    </row>
    <row r="23" spans="2:3" x14ac:dyDescent="0.3">
      <c r="B23" s="4" t="s">
        <v>303</v>
      </c>
      <c r="C23" s="104" t="s">
        <v>305</v>
      </c>
    </row>
    <row r="24" spans="2:3" x14ac:dyDescent="0.3">
      <c r="B24" s="4" t="s">
        <v>16</v>
      </c>
      <c r="C24" s="104" t="s">
        <v>199</v>
      </c>
    </row>
    <row r="25" spans="2:3" x14ac:dyDescent="0.3">
      <c r="B25" s="4" t="s">
        <v>18</v>
      </c>
      <c r="C25" s="104" t="s">
        <v>200</v>
      </c>
    </row>
    <row r="26" spans="2:3" x14ac:dyDescent="0.3">
      <c r="B26" s="4" t="s">
        <v>19</v>
      </c>
      <c r="C26" s="104" t="s">
        <v>201</v>
      </c>
    </row>
    <row r="27" spans="2:3" x14ac:dyDescent="0.3">
      <c r="B27" s="4" t="s">
        <v>20</v>
      </c>
      <c r="C27" s="104" t="s">
        <v>220</v>
      </c>
    </row>
    <row r="28" spans="2:3" x14ac:dyDescent="0.3">
      <c r="B28" s="104" t="s">
        <v>234</v>
      </c>
      <c r="C28" s="104" t="s">
        <v>237</v>
      </c>
    </row>
    <row r="29" spans="2:3" x14ac:dyDescent="0.3">
      <c r="B29" s="104" t="s">
        <v>235</v>
      </c>
      <c r="C29" s="104" t="s">
        <v>236</v>
      </c>
    </row>
    <row r="30" spans="2:3" x14ac:dyDescent="0.3">
      <c r="B30" s="4" t="s">
        <v>159</v>
      </c>
      <c r="C30" s="104" t="s">
        <v>284</v>
      </c>
    </row>
    <row r="31" spans="2:3" x14ac:dyDescent="0.3">
      <c r="B31" s="4" t="s">
        <v>22</v>
      </c>
      <c r="C31" s="104" t="s">
        <v>230</v>
      </c>
    </row>
    <row r="32" spans="2:3" x14ac:dyDescent="0.3">
      <c r="B32" s="4" t="s">
        <v>24</v>
      </c>
      <c r="C32" s="104" t="s">
        <v>231</v>
      </c>
    </row>
    <row r="33" spans="2:3" x14ac:dyDescent="0.3">
      <c r="B33" s="4" t="s">
        <v>25</v>
      </c>
      <c r="C33" s="104" t="s">
        <v>222</v>
      </c>
    </row>
    <row r="34" spans="2:3" x14ac:dyDescent="0.3">
      <c r="B34" s="4" t="s">
        <v>152</v>
      </c>
      <c r="C34" s="104" t="s">
        <v>229</v>
      </c>
    </row>
    <row r="35" spans="2:3" x14ac:dyDescent="0.3">
      <c r="B35" s="4" t="s">
        <v>27</v>
      </c>
      <c r="C35" s="104" t="s">
        <v>238</v>
      </c>
    </row>
    <row r="36" spans="2:3" x14ac:dyDescent="0.3">
      <c r="B36" s="4" t="s">
        <v>153</v>
      </c>
      <c r="C36" s="104" t="s">
        <v>221</v>
      </c>
    </row>
    <row r="37" spans="2:3" x14ac:dyDescent="0.3">
      <c r="B37" s="150" t="s">
        <v>21</v>
      </c>
      <c r="C37" s="104" t="s">
        <v>225</v>
      </c>
    </row>
    <row r="38" spans="2:3" x14ac:dyDescent="0.3">
      <c r="B38" s="150" t="s">
        <v>23</v>
      </c>
      <c r="C38" s="104" t="s">
        <v>277</v>
      </c>
    </row>
    <row r="39" spans="2:3" x14ac:dyDescent="0.3">
      <c r="B39" s="150" t="s">
        <v>276</v>
      </c>
      <c r="C39" s="104" t="s">
        <v>306</v>
      </c>
    </row>
    <row r="40" spans="2:3" x14ac:dyDescent="0.3">
      <c r="B40" s="150" t="s">
        <v>251</v>
      </c>
      <c r="C40" s="104" t="s">
        <v>226</v>
      </c>
    </row>
    <row r="41" spans="2:3" x14ac:dyDescent="0.3">
      <c r="B41" s="150" t="s">
        <v>26</v>
      </c>
      <c r="C41" s="104" t="s">
        <v>227</v>
      </c>
    </row>
    <row r="42" spans="2:3" x14ac:dyDescent="0.3">
      <c r="B42" s="4" t="s">
        <v>29</v>
      </c>
      <c r="C42" s="104" t="s">
        <v>228</v>
      </c>
    </row>
    <row r="43" spans="2:3" x14ac:dyDescent="0.3">
      <c r="B43" s="4" t="s">
        <v>254</v>
      </c>
      <c r="C43" s="104" t="s">
        <v>294</v>
      </c>
    </row>
    <row r="44" spans="2:3" x14ac:dyDescent="0.3">
      <c r="B44" s="4" t="s">
        <v>255</v>
      </c>
      <c r="C44" s="104" t="s">
        <v>295</v>
      </c>
    </row>
    <row r="45" spans="2:3" x14ac:dyDescent="0.3">
      <c r="B45" s="4" t="s">
        <v>256</v>
      </c>
      <c r="C45" s="104" t="s">
        <v>298</v>
      </c>
    </row>
    <row r="46" spans="2:3" x14ac:dyDescent="0.3">
      <c r="B46" s="4" t="s">
        <v>257</v>
      </c>
      <c r="C46" s="104" t="s">
        <v>299</v>
      </c>
    </row>
    <row r="47" spans="2:3" x14ac:dyDescent="0.3">
      <c r="B47" s="4" t="s">
        <v>258</v>
      </c>
      <c r="C47" s="104" t="s">
        <v>300</v>
      </c>
    </row>
    <row r="48" spans="2:3" x14ac:dyDescent="0.3">
      <c r="B48" s="4" t="s">
        <v>261</v>
      </c>
      <c r="C48" s="104" t="s">
        <v>296</v>
      </c>
    </row>
    <row r="49" spans="2:12" x14ac:dyDescent="0.3">
      <c r="B49" s="4" t="s">
        <v>259</v>
      </c>
      <c r="C49" s="104" t="s">
        <v>297</v>
      </c>
    </row>
    <row r="50" spans="2:12" x14ac:dyDescent="0.3">
      <c r="B50" s="181" t="s">
        <v>260</v>
      </c>
      <c r="C50" s="104" t="s">
        <v>301</v>
      </c>
    </row>
    <row r="51" spans="2:12" x14ac:dyDescent="0.3">
      <c r="B51" s="4" t="s">
        <v>278</v>
      </c>
      <c r="C51" s="104" t="s">
        <v>290</v>
      </c>
    </row>
    <row r="52" spans="2:12" x14ac:dyDescent="0.3">
      <c r="B52" s="4" t="s">
        <v>282</v>
      </c>
      <c r="C52" s="104" t="s">
        <v>291</v>
      </c>
    </row>
    <row r="53" spans="2:12" x14ac:dyDescent="0.3">
      <c r="B53" s="4" t="s">
        <v>279</v>
      </c>
      <c r="C53" s="104" t="s">
        <v>293</v>
      </c>
    </row>
    <row r="54" spans="2:12" x14ac:dyDescent="0.3">
      <c r="B54" s="9" t="s">
        <v>283</v>
      </c>
      <c r="C54" s="148" t="s">
        <v>292</v>
      </c>
      <c r="D54" s="9"/>
      <c r="E54" s="9"/>
      <c r="F54" s="9"/>
      <c r="G54" s="9"/>
      <c r="H54" s="9"/>
      <c r="I54" s="9"/>
      <c r="J54" s="9"/>
      <c r="K54" s="9"/>
      <c r="L54" s="9"/>
    </row>
  </sheetData>
  <sheetProtection algorithmName="SHA-512" hashValue="tZMlDD7YgW4HoeyROMV8bs5wYQxnoR0RGmTANoiAfA1Ia1t4BJD+H6g9nfsSm7Wk3+fPq1D0hTQlE2Fu676fqg==" saltValue="GddnxfZzuZrEi+SQ2RQ0kA=="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94C11-DAB9-4495-8481-EFF112E7F588}">
  <sheetPr codeName="Sheet2">
    <tabColor theme="8" tint="0.39997558519241921"/>
  </sheetPr>
  <dimension ref="A1:O79"/>
  <sheetViews>
    <sheetView showGridLines="0" zoomScaleNormal="100" workbookViewId="0"/>
  </sheetViews>
  <sheetFormatPr defaultColWidth="8.7265625" defaultRowHeight="14" x14ac:dyDescent="0.3"/>
  <cols>
    <col min="1" max="1" width="1.54296875" style="4" customWidth="1"/>
    <col min="2" max="2" width="38.54296875" style="4" customWidth="1"/>
    <col min="3" max="3" width="17.453125" style="4" bestFit="1" customWidth="1"/>
    <col min="4" max="4" width="39.36328125" style="4" bestFit="1" customWidth="1"/>
    <col min="5" max="6" width="14.54296875" style="4" customWidth="1"/>
    <col min="7" max="7" width="22.453125" style="4" customWidth="1"/>
    <col min="8" max="9" width="25.54296875" style="4" customWidth="1"/>
    <col min="10" max="10" width="14.54296875" style="4" customWidth="1"/>
    <col min="11" max="11" width="21" style="4" customWidth="1"/>
    <col min="12" max="12" width="30.54296875" style="4" customWidth="1"/>
    <col min="13" max="13" width="15.54296875" style="4" customWidth="1"/>
    <col min="14" max="16384" width="8.7265625" style="4"/>
  </cols>
  <sheetData>
    <row r="1" spans="1:15" ht="4" customHeight="1" x14ac:dyDescent="0.3"/>
    <row r="2" spans="1:15" ht="20" x14ac:dyDescent="0.3">
      <c r="A2" s="5"/>
      <c r="B2" s="7" t="s">
        <v>265</v>
      </c>
      <c r="C2" s="8"/>
      <c r="D2" s="8"/>
      <c r="E2" s="8"/>
      <c r="F2" s="8"/>
      <c r="G2" s="8"/>
      <c r="H2" s="8"/>
      <c r="I2" s="8"/>
      <c r="J2" s="5"/>
      <c r="K2" s="5"/>
      <c r="L2" s="5"/>
      <c r="M2" s="5"/>
      <c r="N2" s="5"/>
      <c r="O2" s="5"/>
    </row>
    <row r="3" spans="1:15" ht="4" customHeight="1" x14ac:dyDescent="0.3"/>
    <row r="4" spans="1:15" x14ac:dyDescent="0.3">
      <c r="B4" s="124" t="s">
        <v>217</v>
      </c>
      <c r="C4" s="125"/>
      <c r="D4" s="126" t="s">
        <v>2</v>
      </c>
      <c r="E4" s="23" t="s">
        <v>266</v>
      </c>
      <c r="F4" s="23" t="s">
        <v>3</v>
      </c>
      <c r="G4" s="138" t="s">
        <v>218</v>
      </c>
      <c r="H4" s="139"/>
      <c r="I4" s="139"/>
    </row>
    <row r="5" spans="1:15" x14ac:dyDescent="0.3">
      <c r="B5" s="4" t="s">
        <v>4</v>
      </c>
      <c r="C5" s="60">
        <v>2023</v>
      </c>
      <c r="D5" s="150" t="s">
        <v>274</v>
      </c>
      <c r="E5" s="157">
        <v>0</v>
      </c>
      <c r="F5" s="130">
        <f>E5*$C$16*$E$8</f>
        <v>0</v>
      </c>
      <c r="K5" s="6"/>
      <c r="L5" s="6"/>
    </row>
    <row r="6" spans="1:15" x14ac:dyDescent="0.3">
      <c r="B6" s="4" t="s">
        <v>5</v>
      </c>
      <c r="C6" s="179">
        <v>2023</v>
      </c>
      <c r="D6" s="4" t="s">
        <v>275</v>
      </c>
      <c r="E6" s="157">
        <v>0</v>
      </c>
      <c r="F6" s="130">
        <f>E6*$E$12*$E$13*$E$8</f>
        <v>0</v>
      </c>
      <c r="L6" s="147"/>
    </row>
    <row r="7" spans="1:15" ht="14.5" x14ac:dyDescent="0.35">
      <c r="B7" s="4" t="s">
        <v>6</v>
      </c>
      <c r="C7" s="127">
        <v>2023</v>
      </c>
      <c r="D7" s="152" t="s">
        <v>7</v>
      </c>
      <c r="E7" s="158">
        <f>SUM(E5:E6)</f>
        <v>0</v>
      </c>
      <c r="F7" s="158">
        <f>SUM(F5:F6)</f>
        <v>0</v>
      </c>
      <c r="L7" s="17"/>
    </row>
    <row r="8" spans="1:15" x14ac:dyDescent="0.3">
      <c r="B8" s="4" t="s">
        <v>8</v>
      </c>
      <c r="C8" s="60">
        <f>C7+1</f>
        <v>2024</v>
      </c>
      <c r="D8" s="153" t="s">
        <v>202</v>
      </c>
      <c r="E8" s="129">
        <f>(1+$C$9)^($C$7-$C$6)</f>
        <v>1</v>
      </c>
      <c r="F8" s="130"/>
      <c r="L8" s="6"/>
    </row>
    <row r="9" spans="1:15" x14ac:dyDescent="0.3">
      <c r="B9" s="9" t="s">
        <v>9</v>
      </c>
      <c r="C9" s="151">
        <v>0.02</v>
      </c>
    </row>
    <row r="10" spans="1:15" ht="14.15" customHeight="1" x14ac:dyDescent="0.3"/>
    <row r="11" spans="1:15" x14ac:dyDescent="0.3">
      <c r="B11" s="124" t="s">
        <v>252</v>
      </c>
      <c r="C11" s="161"/>
      <c r="D11" s="124" t="s">
        <v>253</v>
      </c>
      <c r="E11" s="169"/>
    </row>
    <row r="12" spans="1:15" x14ac:dyDescent="0.3">
      <c r="B12" s="4" t="s">
        <v>160</v>
      </c>
      <c r="C12" s="162" t="s">
        <v>164</v>
      </c>
      <c r="D12" s="4" t="s">
        <v>254</v>
      </c>
      <c r="E12" s="183">
        <v>0</v>
      </c>
      <c r="H12" s="4" t="str">
        <f>"PV ("&amp;$C$5&amp;"$)"</f>
        <v>PV (2023$)</v>
      </c>
    </row>
    <row r="13" spans="1:15" x14ac:dyDescent="0.3">
      <c r="B13" s="4" t="s">
        <v>179</v>
      </c>
      <c r="C13" s="163" t="s">
        <v>182</v>
      </c>
      <c r="D13" s="4" t="s">
        <v>255</v>
      </c>
      <c r="E13" s="182">
        <v>0</v>
      </c>
    </row>
    <row r="14" spans="1:15" x14ac:dyDescent="0.3">
      <c r="B14" s="4" t="s">
        <v>11</v>
      </c>
      <c r="C14" s="164">
        <f>INDEX(Lookup!$Z$37:$Z$58, MATCH(Lookup!$AC$27, Lookup!$Y$37:$Y$58))</f>
        <v>0.18759999999999999</v>
      </c>
      <c r="D14" s="4" t="s">
        <v>256</v>
      </c>
      <c r="E14" s="182">
        <v>0</v>
      </c>
    </row>
    <row r="15" spans="1:15" x14ac:dyDescent="0.3">
      <c r="B15" s="4" t="s">
        <v>162</v>
      </c>
      <c r="C15" s="165"/>
      <c r="D15" s="4" t="s">
        <v>257</v>
      </c>
      <c r="E15" s="184">
        <v>0</v>
      </c>
    </row>
    <row r="16" spans="1:15" ht="14.5" customHeight="1" x14ac:dyDescent="0.3">
      <c r="B16" s="4" t="s">
        <v>178</v>
      </c>
      <c r="C16" s="166"/>
      <c r="D16" s="4" t="s">
        <v>258</v>
      </c>
      <c r="E16" s="184">
        <v>0</v>
      </c>
    </row>
    <row r="17" spans="2:12" ht="14.5" customHeight="1" x14ac:dyDescent="0.3">
      <c r="B17" s="4" t="s">
        <v>267</v>
      </c>
      <c r="C17" s="79">
        <v>1.25</v>
      </c>
      <c r="D17" s="4" t="s">
        <v>261</v>
      </c>
      <c r="E17" s="184">
        <v>0</v>
      </c>
      <c r="L17" s="6"/>
    </row>
    <row r="18" spans="2:12" ht="14.5" customHeight="1" x14ac:dyDescent="0.3">
      <c r="B18" s="4" t="s">
        <v>268</v>
      </c>
      <c r="C18" s="175"/>
      <c r="D18" s="4" t="s">
        <v>259</v>
      </c>
      <c r="E18" s="184">
        <v>0</v>
      </c>
    </row>
    <row r="19" spans="2:12" ht="14.5" customHeight="1" x14ac:dyDescent="0.3">
      <c r="B19" s="4" t="s">
        <v>161</v>
      </c>
      <c r="C19" s="176">
        <f>C16/IF(ISBLANK($C$18),$C$17,$C$18)</f>
        <v>0</v>
      </c>
      <c r="D19" s="170" t="s">
        <v>260</v>
      </c>
      <c r="E19" s="185">
        <v>0</v>
      </c>
    </row>
    <row r="20" spans="2:12" ht="14.5" customHeight="1" x14ac:dyDescent="0.3">
      <c r="B20" s="4" t="s">
        <v>158</v>
      </c>
      <c r="C20" s="167">
        <v>5.0000000000000001E-3</v>
      </c>
      <c r="E20" s="107"/>
    </row>
    <row r="21" spans="2:12" x14ac:dyDescent="0.3">
      <c r="B21" s="4" t="s">
        <v>184</v>
      </c>
      <c r="C21" s="163" t="s">
        <v>190</v>
      </c>
      <c r="D21" s="156"/>
      <c r="E21" s="107"/>
    </row>
    <row r="22" spans="2:12" x14ac:dyDescent="0.3">
      <c r="B22" s="9" t="s">
        <v>12</v>
      </c>
      <c r="C22" s="168">
        <f>_xlfn.XLOOKUP($C$21, Lookup!$AE$24:$AE$33, Lookup!$AF$24:$AF$33)</f>
        <v>1.0840000000000001</v>
      </c>
      <c r="G22" s="143" t="s">
        <v>203</v>
      </c>
      <c r="H22" s="144" t="s">
        <v>33</v>
      </c>
      <c r="I22" s="144" t="s">
        <v>34</v>
      </c>
      <c r="J22" s="98"/>
    </row>
    <row r="23" spans="2:12" x14ac:dyDescent="0.3">
      <c r="G23" s="140" t="s">
        <v>156</v>
      </c>
      <c r="H23" s="137">
        <f>'Credit Amounts'!D13+NPV(Calculator!$C$25, 'Credit Amounts'!E$13:AL$13)</f>
        <v>0</v>
      </c>
      <c r="I23" s="137">
        <f>'Credit Amounts'!D14+NPV(Calculator!$C$25, 'Credit Amounts'!E$14:AL$14)</f>
        <v>0</v>
      </c>
      <c r="J23" s="91"/>
    </row>
    <row r="24" spans="2:12" ht="14.5" x14ac:dyDescent="0.35">
      <c r="B24" s="126" t="s">
        <v>13</v>
      </c>
      <c r="C24" s="125"/>
      <c r="D24" s="126" t="s">
        <v>14</v>
      </c>
      <c r="E24" s="23"/>
      <c r="G24" s="141" t="s">
        <v>157</v>
      </c>
      <c r="H24" s="142">
        <f>IFERROR(H23/('Credit Amounts'!$D$5+NPV(Calculator!$C$25,'Credit Amounts'!$E$5:$AL$5)),0)</f>
        <v>0</v>
      </c>
      <c r="I24" s="142">
        <f>IFERROR(I23/('Credit Amounts'!$D$5+NPV(Calculator!$C$25,'Credit Amounts'!$E$5:$AL$5)),0)</f>
        <v>0</v>
      </c>
      <c r="J24" s="92"/>
      <c r="L24" s="17"/>
    </row>
    <row r="25" spans="2:12" x14ac:dyDescent="0.3">
      <c r="B25" s="4" t="s">
        <v>248</v>
      </c>
      <c r="C25" s="160">
        <v>0.08</v>
      </c>
      <c r="D25" s="150" t="s">
        <v>281</v>
      </c>
      <c r="E25" s="123" t="s">
        <v>17</v>
      </c>
      <c r="F25" s="92"/>
      <c r="G25" s="92"/>
      <c r="H25" s="92"/>
      <c r="I25" s="92"/>
      <c r="J25" s="92"/>
    </row>
    <row r="26" spans="2:12" x14ac:dyDescent="0.3">
      <c r="B26" s="4" t="s">
        <v>242</v>
      </c>
      <c r="C26" s="157">
        <v>0</v>
      </c>
      <c r="D26" s="150" t="s">
        <v>18</v>
      </c>
      <c r="E26" s="123" t="s">
        <v>17</v>
      </c>
      <c r="F26" s="92"/>
      <c r="G26" s="92"/>
      <c r="H26" s="92"/>
      <c r="I26" s="92"/>
      <c r="J26" s="92"/>
    </row>
    <row r="27" spans="2:12" x14ac:dyDescent="0.3">
      <c r="B27" s="4" t="s">
        <v>243</v>
      </c>
      <c r="C27" s="157">
        <v>0</v>
      </c>
      <c r="D27" s="150" t="s">
        <v>19</v>
      </c>
      <c r="E27" s="123" t="s">
        <v>17</v>
      </c>
      <c r="F27" s="92"/>
      <c r="G27" s="92"/>
      <c r="H27" s="92"/>
      <c r="I27" s="92"/>
      <c r="J27" s="92"/>
    </row>
    <row r="28" spans="2:12" ht="14.5" x14ac:dyDescent="0.35">
      <c r="B28" s="4" t="s">
        <v>244</v>
      </c>
      <c r="C28" s="157">
        <v>0</v>
      </c>
      <c r="D28" s="150" t="s">
        <v>20</v>
      </c>
      <c r="E28" s="123" t="s">
        <v>28</v>
      </c>
      <c r="F28" s="93"/>
      <c r="G28" s="94"/>
      <c r="H28" s="94"/>
      <c r="I28" s="94"/>
      <c r="J28" s="94"/>
      <c r="K28" s="17"/>
    </row>
    <row r="29" spans="2:12" ht="14.5" x14ac:dyDescent="0.35">
      <c r="B29" s="4" t="s">
        <v>245</v>
      </c>
      <c r="C29" s="157">
        <v>0</v>
      </c>
      <c r="D29" s="154" t="s">
        <v>272</v>
      </c>
      <c r="E29" s="106">
        <f xml:space="preserve"> Lookup!C9</f>
        <v>0.49999999999999994</v>
      </c>
      <c r="F29" s="95"/>
      <c r="G29" s="95"/>
      <c r="H29" s="95"/>
      <c r="I29" s="95"/>
      <c r="J29" s="95"/>
      <c r="K29" s="17"/>
    </row>
    <row r="30" spans="2:12" ht="14.5" x14ac:dyDescent="0.35">
      <c r="B30" s="4" t="s">
        <v>246</v>
      </c>
      <c r="C30" s="159">
        <f>F7-SUM(C26:C29)</f>
        <v>0</v>
      </c>
      <c r="D30" s="156" t="s">
        <v>273</v>
      </c>
      <c r="E30" s="107">
        <f xml:space="preserve"> Lookup!D9</f>
        <v>0.49999999999999994</v>
      </c>
      <c r="F30" s="96"/>
      <c r="G30" s="96"/>
      <c r="H30" s="96"/>
      <c r="I30" s="96"/>
      <c r="J30" s="96"/>
      <c r="K30" s="17"/>
      <c r="L30" s="6"/>
    </row>
    <row r="31" spans="2:12" x14ac:dyDescent="0.3">
      <c r="B31" s="9" t="s">
        <v>247</v>
      </c>
      <c r="C31" s="134" cm="1">
        <f t="array" ref="C31">IF(AND(C28 = 0, C29=0),0,F7-SUM(C28,C29,INDEX('Credit Amounts'!$D$11:$AL$11,1,MATCH(TRUE,'Credit Amounts'!$D$11:$AL$11&lt;&gt;0,))))</f>
        <v>0</v>
      </c>
      <c r="D31" s="155" t="s">
        <v>183</v>
      </c>
      <c r="E31" s="135">
        <f>SUMIFS(Lookup!$C$20:$AM$20, Lookup!$C$12:$AM$12, Calculator!$C$8)/100</f>
        <v>3.6000000000000004E-2</v>
      </c>
    </row>
    <row r="33" spans="2:13" x14ac:dyDescent="0.3">
      <c r="B33" s="126" t="s">
        <v>204</v>
      </c>
      <c r="C33" s="23"/>
      <c r="D33" s="126" t="s">
        <v>280</v>
      </c>
      <c r="E33" s="169"/>
      <c r="F33" s="97"/>
      <c r="G33" s="97"/>
      <c r="H33" s="97"/>
      <c r="I33" s="97"/>
      <c r="J33" s="97"/>
    </row>
    <row r="34" spans="2:13" x14ac:dyDescent="0.3">
      <c r="B34" s="149" t="s">
        <v>21</v>
      </c>
      <c r="C34" s="60">
        <v>1.8909</v>
      </c>
      <c r="D34" s="4" t="s">
        <v>278</v>
      </c>
      <c r="E34" s="177" t="s">
        <v>269</v>
      </c>
    </row>
    <row r="35" spans="2:13" ht="14.5" customHeight="1" x14ac:dyDescent="0.3">
      <c r="B35" s="150" t="s">
        <v>23</v>
      </c>
      <c r="C35" s="26">
        <v>0.9</v>
      </c>
      <c r="D35" s="4" t="s">
        <v>282</v>
      </c>
      <c r="E35" s="177" t="s">
        <v>269</v>
      </c>
      <c r="L35" s="6"/>
    </row>
    <row r="36" spans="2:13" ht="14.5" customHeight="1" x14ac:dyDescent="0.3">
      <c r="B36" s="150" t="s">
        <v>276</v>
      </c>
      <c r="C36" s="160"/>
      <c r="D36" s="4" t="s">
        <v>279</v>
      </c>
      <c r="E36" s="177" t="s">
        <v>269</v>
      </c>
      <c r="L36" s="6"/>
    </row>
    <row r="37" spans="2:13" x14ac:dyDescent="0.3">
      <c r="B37" s="150" t="s">
        <v>251</v>
      </c>
      <c r="C37" s="128">
        <v>0.15</v>
      </c>
      <c r="D37" s="9" t="s">
        <v>283</v>
      </c>
      <c r="E37" s="178" t="s">
        <v>269</v>
      </c>
      <c r="F37" s="22"/>
      <c r="G37" s="22"/>
      <c r="H37" s="22"/>
      <c r="I37" s="22"/>
      <c r="J37" s="22"/>
      <c r="K37" s="22"/>
      <c r="L37" s="22"/>
      <c r="M37" s="22"/>
    </row>
    <row r="38" spans="2:13" x14ac:dyDescent="0.3">
      <c r="B38" s="150" t="s">
        <v>233</v>
      </c>
      <c r="C38" s="131">
        <f>IFERROR(C26/F7,0)</f>
        <v>0</v>
      </c>
      <c r="E38" s="75"/>
    </row>
    <row r="39" spans="2:13" ht="14.5" x14ac:dyDescent="0.35">
      <c r="B39" s="132" t="s">
        <v>29</v>
      </c>
      <c r="C39" s="133">
        <v>10</v>
      </c>
      <c r="E39" s="17"/>
      <c r="L39" s="6"/>
    </row>
    <row r="40" spans="2:13" ht="14.5" x14ac:dyDescent="0.35">
      <c r="C40" s="76"/>
      <c r="D40" s="76"/>
      <c r="E40" s="17"/>
      <c r="G40" s="9"/>
      <c r="H40" s="9"/>
      <c r="I40" s="9"/>
      <c r="L40" s="6"/>
    </row>
    <row r="41" spans="2:13" x14ac:dyDescent="0.3">
      <c r="B41" s="6"/>
      <c r="C41" s="99"/>
      <c r="D41" s="76"/>
    </row>
    <row r="43" spans="2:13" x14ac:dyDescent="0.3">
      <c r="C43" s="20"/>
      <c r="D43" s="20"/>
      <c r="E43" s="20"/>
    </row>
    <row r="44" spans="2:13" x14ac:dyDescent="0.3">
      <c r="C44" s="20"/>
      <c r="D44" s="20"/>
      <c r="E44" s="20"/>
    </row>
    <row r="45" spans="2:13" x14ac:dyDescent="0.3">
      <c r="C45" s="20"/>
      <c r="D45" s="20"/>
      <c r="E45" s="20"/>
    </row>
    <row r="46" spans="2:13" x14ac:dyDescent="0.3">
      <c r="C46" s="20"/>
      <c r="D46" s="20"/>
      <c r="E46" s="20"/>
    </row>
    <row r="47" spans="2:13" x14ac:dyDescent="0.3">
      <c r="C47" s="20"/>
      <c r="D47" s="20"/>
      <c r="E47" s="20"/>
    </row>
    <row r="48" spans="2:13" x14ac:dyDescent="0.3">
      <c r="C48" s="20"/>
      <c r="D48" s="20"/>
      <c r="E48" s="20"/>
    </row>
    <row r="78" spans="11:11" x14ac:dyDescent="0.3">
      <c r="K78" s="47"/>
    </row>
    <row r="79" spans="11:11" x14ac:dyDescent="0.3">
      <c r="K79" s="47"/>
    </row>
  </sheetData>
  <sheetProtection algorithmName="SHA-512" hashValue="ywSTgtI57FoEvjdPb24LucwMFVzaYfEsHgsWxV7NUbWNCGR9C8veAujgUSevBCrWnyLdyh1gLy/jnUKgZXXYYA==" saltValue="56YgtRkW7Xwz/bNrqIjl8g==" spinCount="100000" sheet="1" objects="1" scenarios="1"/>
  <conditionalFormatting sqref="C14 E20:E21 E29:E30">
    <cfRule type="expression" dxfId="11" priority="13">
      <formula>#REF!="PTC"</formula>
    </cfRule>
    <cfRule type="expression" dxfId="10" priority="14">
      <formula>#REF!="ITC"</formula>
    </cfRule>
  </conditionalFormatting>
  <conditionalFormatting sqref="E34">
    <cfRule type="expression" dxfId="9" priority="4">
      <formula>(OR($E$26="Yes",$C$19&lt;1000))*1</formula>
    </cfRule>
  </conditionalFormatting>
  <conditionalFormatting sqref="E35">
    <cfRule type="expression" dxfId="8" priority="2">
      <formula>(OR($E$25="Yes",$C$19&lt;1000))*1</formula>
    </cfRule>
  </conditionalFormatting>
  <conditionalFormatting sqref="E36">
    <cfRule type="expression" dxfId="7" priority="3">
      <formula>(OR($E$26="Yes",$E$12&lt;1000))*1</formula>
    </cfRule>
  </conditionalFormatting>
  <conditionalFormatting sqref="E37">
    <cfRule type="expression" dxfId="6" priority="1">
      <formula>(OR($E$25="Yes",$E$12&lt;1000))*1</formula>
    </cfRule>
  </conditionalFormatting>
  <conditionalFormatting sqref="F28">
    <cfRule type="expression" dxfId="5" priority="15">
      <formula>#REF!="PTC"</formula>
    </cfRule>
    <cfRule type="expression" dxfId="4" priority="16">
      <formula>#REF!="ITC"</formula>
    </cfRule>
  </conditionalFormatting>
  <conditionalFormatting sqref="G28:J28">
    <cfRule type="expression" dxfId="3" priority="17">
      <formula>#REF!="PTC"</formula>
    </cfRule>
    <cfRule type="expression" dxfId="2" priority="18">
      <formula>#REF!="ITC"</formula>
    </cfRule>
  </conditionalFormatting>
  <conditionalFormatting sqref="H23:H24">
    <cfRule type="expression" dxfId="1" priority="8">
      <formula>IF($H$23&gt;$I$23,TRUE,FALSE)</formula>
    </cfRule>
  </conditionalFormatting>
  <conditionalFormatting sqref="I23:I24">
    <cfRule type="expression" dxfId="0" priority="7">
      <formula>IF($I$23&gt;$H$23,TRUE,FALSE)</formula>
    </cfRule>
  </conditionalFormatting>
  <dataValidations count="9">
    <dataValidation type="list" allowBlank="1" showInputMessage="1" showErrorMessage="1" sqref="E25:E27 E37 E34:E36" xr:uid="{FC70C717-1361-4265-9E2B-A490C579BCC8}">
      <formula1>"Yes, No"</formula1>
    </dataValidation>
    <dataValidation type="list" allowBlank="1" showInputMessage="1" showErrorMessage="1" sqref="E28" xr:uid="{DBA92C1E-82AD-43D6-9457-D7302AF926BE}">
      <formula1>"1 or 2, 3 or 4, None"</formula1>
    </dataValidation>
    <dataValidation type="list" allowBlank="1" showInputMessage="1" showErrorMessage="1" sqref="C13" xr:uid="{50201875-EC27-4BBD-B7A7-82A98FA67D3F}">
      <formula1>"Solar - Fixed Axis,Solar - Tracking"</formula1>
    </dataValidation>
    <dataValidation type="whole" allowBlank="1" showInputMessage="1" showErrorMessage="1" errorTitle="Project Dates Error" error="The Cost Estimate Year and the Construction Year must be a year, entered in the format of YYYY" sqref="C6:C7" xr:uid="{6BED8DAD-5F82-4EA4-A698-45B97BDC0B8C}">
      <formula1>0</formula1>
      <formula2>3000</formula2>
    </dataValidation>
    <dataValidation type="decimal" allowBlank="1" showInputMessage="1" showErrorMessage="1" sqref="C15 C20" xr:uid="{630E4D8D-02E7-4C91-B905-057D56516008}">
      <formula1>0</formula1>
      <formula2>1</formula2>
    </dataValidation>
    <dataValidation type="decimal" allowBlank="1" showInputMessage="1" showErrorMessage="1" errorTitle="Funding Amount Entry Error" error="Funding amounts must be greater than 0" sqref="C26:C30" xr:uid="{676306BF-2264-405E-9BE7-D470ACF1EA80}">
      <formula1>0</formula1>
      <formula2>10000000000000000</formula2>
    </dataValidation>
    <dataValidation type="whole" allowBlank="1" showInputMessage="1" showErrorMessage="1" errorTitle="Nameplate Capacity Error" error="Nameplate capacity (in kW) must be a number greater than 0_x000a_" sqref="C16" xr:uid="{F680FCE3-DF16-432F-A3E9-A5877E9BFBDA}">
      <formula1>0</formula1>
      <formula2>100000</formula2>
    </dataValidation>
    <dataValidation type="decimal" allowBlank="1" showInputMessage="1" showErrorMessage="1" errorTitle="Nameplate Capacity Error" error="Nameplate capacity (in kW) must be a number greater than 0_x000a_" sqref="C19" xr:uid="{26C7CFB5-CE67-493F-85A0-83496833C636}">
      <formula1>0</formula1>
      <formula2>100000</formula2>
    </dataValidation>
    <dataValidation type="decimal" allowBlank="1" showInputMessage="1" showErrorMessage="1" errorTitle="Capital Cost Error" error="Capital costs must be a number greater than 0" sqref="E5:E6" xr:uid="{A86FED9A-3D3F-495B-997A-6EEC74C3DCB2}">
      <formula1>0</formula1>
      <formula2>10000000000000000</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4CF332C-30FB-4BD9-9026-1B01C4A8A28A}">
          <x14:formula1>
            <xm:f>Lookup!$Y$24:$Y$34</xm:f>
          </x14:formula1>
          <xm:sqref>C12</xm:sqref>
        </x14:dataValidation>
        <x14:dataValidation type="list" allowBlank="1" showInputMessage="1" showErrorMessage="1" xr:uid="{AC12E37B-0F1B-4278-9227-F4EE3D547801}">
          <x14:formula1>
            <xm:f>Lookup!$AE$24:$AE$33</xm:f>
          </x14:formula1>
          <xm:sqref>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4F036-DA90-4596-8C50-93AE70DE94FD}">
  <sheetPr codeName="Sheet3">
    <tabColor rgb="FF002060"/>
  </sheetPr>
  <dimension ref="B1:AL21"/>
  <sheetViews>
    <sheetView showGridLines="0" zoomScaleNormal="100" workbookViewId="0"/>
  </sheetViews>
  <sheetFormatPr defaultColWidth="8.7265625" defaultRowHeight="14" x14ac:dyDescent="0.3"/>
  <cols>
    <col min="1" max="1" width="1.54296875" style="4" customWidth="1"/>
    <col min="2" max="2" width="45.453125" style="4" bestFit="1" customWidth="1"/>
    <col min="3" max="3" width="8.7265625" style="4"/>
    <col min="4" max="5" width="13.54296875" style="4" customWidth="1"/>
    <col min="6" max="18" width="13.81640625" style="4" bestFit="1" customWidth="1"/>
    <col min="19" max="38" width="13.1796875" style="4" bestFit="1" customWidth="1"/>
    <col min="39" max="16384" width="8.7265625" style="4"/>
  </cols>
  <sheetData>
    <row r="1" spans="2:38" ht="4" customHeight="1" x14ac:dyDescent="0.3"/>
    <row r="2" spans="2:38" ht="20" x14ac:dyDescent="0.3">
      <c r="B2" s="7" t="s">
        <v>215</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2:38" ht="8.15" customHeight="1" x14ac:dyDescent="0.3"/>
    <row r="4" spans="2:38" x14ac:dyDescent="0.3">
      <c r="B4" s="18"/>
      <c r="C4" s="14"/>
      <c r="D4" s="24">
        <f>Calculator!C$5</f>
        <v>2023</v>
      </c>
      <c r="E4" s="24">
        <f>D4+1</f>
        <v>2024</v>
      </c>
      <c r="F4" s="24">
        <f t="shared" ref="F4:O4" si="0">E4+1</f>
        <v>2025</v>
      </c>
      <c r="G4" s="24">
        <f t="shared" si="0"/>
        <v>2026</v>
      </c>
      <c r="H4" s="24">
        <f t="shared" si="0"/>
        <v>2027</v>
      </c>
      <c r="I4" s="24">
        <f t="shared" si="0"/>
        <v>2028</v>
      </c>
      <c r="J4" s="24">
        <f t="shared" si="0"/>
        <v>2029</v>
      </c>
      <c r="K4" s="24">
        <f t="shared" si="0"/>
        <v>2030</v>
      </c>
      <c r="L4" s="24">
        <f t="shared" si="0"/>
        <v>2031</v>
      </c>
      <c r="M4" s="24">
        <f t="shared" si="0"/>
        <v>2032</v>
      </c>
      <c r="N4" s="24">
        <f t="shared" si="0"/>
        <v>2033</v>
      </c>
      <c r="O4" s="24">
        <f t="shared" si="0"/>
        <v>2034</v>
      </c>
      <c r="P4" s="24">
        <f t="shared" ref="P4:AL4" si="1">O4+1</f>
        <v>2035</v>
      </c>
      <c r="Q4" s="24">
        <f t="shared" si="1"/>
        <v>2036</v>
      </c>
      <c r="R4" s="24">
        <f t="shared" si="1"/>
        <v>2037</v>
      </c>
      <c r="S4" s="24">
        <f t="shared" si="1"/>
        <v>2038</v>
      </c>
      <c r="T4" s="24">
        <f t="shared" si="1"/>
        <v>2039</v>
      </c>
      <c r="U4" s="24">
        <f t="shared" si="1"/>
        <v>2040</v>
      </c>
      <c r="V4" s="24">
        <f t="shared" si="1"/>
        <v>2041</v>
      </c>
      <c r="W4" s="24">
        <f t="shared" si="1"/>
        <v>2042</v>
      </c>
      <c r="X4" s="24">
        <f t="shared" si="1"/>
        <v>2043</v>
      </c>
      <c r="Y4" s="24">
        <f t="shared" si="1"/>
        <v>2044</v>
      </c>
      <c r="Z4" s="24">
        <f t="shared" si="1"/>
        <v>2045</v>
      </c>
      <c r="AA4" s="24">
        <f t="shared" si="1"/>
        <v>2046</v>
      </c>
      <c r="AB4" s="24">
        <f t="shared" si="1"/>
        <v>2047</v>
      </c>
      <c r="AC4" s="24">
        <f t="shared" si="1"/>
        <v>2048</v>
      </c>
      <c r="AD4" s="24">
        <f t="shared" si="1"/>
        <v>2049</v>
      </c>
      <c r="AE4" s="24">
        <f t="shared" si="1"/>
        <v>2050</v>
      </c>
      <c r="AF4" s="24">
        <f t="shared" si="1"/>
        <v>2051</v>
      </c>
      <c r="AG4" s="24">
        <f t="shared" si="1"/>
        <v>2052</v>
      </c>
      <c r="AH4" s="24">
        <f t="shared" si="1"/>
        <v>2053</v>
      </c>
      <c r="AI4" s="24">
        <f t="shared" si="1"/>
        <v>2054</v>
      </c>
      <c r="AJ4" s="24">
        <f t="shared" si="1"/>
        <v>2055</v>
      </c>
      <c r="AK4" s="24">
        <f t="shared" si="1"/>
        <v>2056</v>
      </c>
      <c r="AL4" s="24">
        <f t="shared" si="1"/>
        <v>2057</v>
      </c>
    </row>
    <row r="5" spans="2:38" x14ac:dyDescent="0.3">
      <c r="B5" s="19" t="s">
        <v>32</v>
      </c>
      <c r="C5" s="11"/>
      <c r="D5" s="70">
        <f t="shared" ref="D5:E5" si="2">SUM(D6,D8)</f>
        <v>0</v>
      </c>
      <c r="E5" s="70">
        <f t="shared" si="2"/>
        <v>0</v>
      </c>
      <c r="F5" s="70">
        <f>SUM(F6,F8)</f>
        <v>0</v>
      </c>
      <c r="G5" s="70">
        <f t="shared" ref="G5:AL5" si="3">SUM(G6,G8)</f>
        <v>0</v>
      </c>
      <c r="H5" s="70">
        <f t="shared" si="3"/>
        <v>0</v>
      </c>
      <c r="I5" s="70">
        <f t="shared" si="3"/>
        <v>0</v>
      </c>
      <c r="J5" s="70">
        <f t="shared" si="3"/>
        <v>0</v>
      </c>
      <c r="K5" s="70">
        <f t="shared" si="3"/>
        <v>0</v>
      </c>
      <c r="L5" s="70">
        <f t="shared" si="3"/>
        <v>0</v>
      </c>
      <c r="M5" s="70">
        <f t="shared" si="3"/>
        <v>0</v>
      </c>
      <c r="N5" s="70">
        <f t="shared" si="3"/>
        <v>0</v>
      </c>
      <c r="O5" s="70">
        <f t="shared" si="3"/>
        <v>0</v>
      </c>
      <c r="P5" s="70">
        <f t="shared" si="3"/>
        <v>0</v>
      </c>
      <c r="Q5" s="70">
        <f t="shared" si="3"/>
        <v>0</v>
      </c>
      <c r="R5" s="70">
        <f t="shared" si="3"/>
        <v>0</v>
      </c>
      <c r="S5" s="70">
        <f t="shared" si="3"/>
        <v>0</v>
      </c>
      <c r="T5" s="70">
        <f t="shared" si="3"/>
        <v>0</v>
      </c>
      <c r="U5" s="70">
        <f t="shared" si="3"/>
        <v>0</v>
      </c>
      <c r="V5" s="70">
        <f t="shared" si="3"/>
        <v>0</v>
      </c>
      <c r="W5" s="70">
        <f t="shared" si="3"/>
        <v>0</v>
      </c>
      <c r="X5" s="70">
        <f t="shared" si="3"/>
        <v>0</v>
      </c>
      <c r="Y5" s="70">
        <f t="shared" si="3"/>
        <v>0</v>
      </c>
      <c r="Z5" s="70">
        <f t="shared" si="3"/>
        <v>0</v>
      </c>
      <c r="AA5" s="70">
        <f t="shared" si="3"/>
        <v>0</v>
      </c>
      <c r="AB5" s="70">
        <f t="shared" si="3"/>
        <v>0</v>
      </c>
      <c r="AC5" s="70">
        <f t="shared" si="3"/>
        <v>0</v>
      </c>
      <c r="AD5" s="70">
        <f t="shared" si="3"/>
        <v>0</v>
      </c>
      <c r="AE5" s="70">
        <f t="shared" si="3"/>
        <v>0</v>
      </c>
      <c r="AF5" s="70">
        <f t="shared" si="3"/>
        <v>0</v>
      </c>
      <c r="AG5" s="70">
        <f t="shared" si="3"/>
        <v>0</v>
      </c>
      <c r="AH5" s="70">
        <f t="shared" si="3"/>
        <v>0</v>
      </c>
      <c r="AI5" s="70">
        <f t="shared" si="3"/>
        <v>0</v>
      </c>
      <c r="AJ5" s="70">
        <f t="shared" si="3"/>
        <v>0</v>
      </c>
      <c r="AK5" s="70">
        <f t="shared" si="3"/>
        <v>0</v>
      </c>
      <c r="AL5" s="70">
        <f t="shared" si="3"/>
        <v>0</v>
      </c>
    </row>
    <row r="6" spans="2:38" x14ac:dyDescent="0.3">
      <c r="B6" s="171" t="s">
        <v>262</v>
      </c>
      <c r="C6" s="172"/>
      <c r="D6" s="173">
        <f>AND(D$4&gt;=Calculator!$C$8,D$4&lt;Calculator!$C$8+Calculator!$C$39)*((IF(ISBLANK(Calculator!$C$15),Calculator!$C$14,Calculator!$C$15)*Calculator!$C$19*Lookup!$C$11-D7)*(1/Calculator!$C$22)*(1-Calculator!$C$20)^(D$4-Calculator!$C$8))</f>
        <v>0</v>
      </c>
      <c r="E6" s="173">
        <f>AND(E$4&gt;=Calculator!$C$8,E$4&lt;Calculator!$C$8+Calculator!$C$39)*((IF(ISBLANK(Calculator!$C$15),Calculator!$C$14,Calculator!$C$15)*Calculator!$C$19*Lookup!$C$11-E7)*(1/Calculator!$C$22)*(1-Calculator!$C$20)^(E$4-Calculator!$C$8))</f>
        <v>0</v>
      </c>
      <c r="F6" s="173">
        <f>AND(F$4&gt;=Calculator!$C$8,F$4&lt;Calculator!$C$8+Calculator!$C$39)*((IF(ISBLANK(Calculator!$C$15),Calculator!$C$14,Calculator!$C$15)*Calculator!$C$19*Lookup!$C$11*(1-Calculator!$C$20)^(F$4-Calculator!$C$8)-F7)*(1/Calculator!$C$22))</f>
        <v>0</v>
      </c>
      <c r="G6" s="173">
        <f>AND(G$4&gt;=Calculator!$C$8,G$4&lt;Calculator!$C$8+Calculator!$C$39)*((IF(ISBLANK(Calculator!$C$15),Calculator!$C$14,Calculator!$C$15)*Calculator!$C$19*Lookup!$C$11*(1-Calculator!$C$20)^(G$4-Calculator!$C$8)-G7)*(1/Calculator!$C$22))</f>
        <v>0</v>
      </c>
      <c r="H6" s="173">
        <f>AND(H$4&gt;=Calculator!$C$8,H$4&lt;Calculator!$C$8+Calculator!$C$39)*((IF(ISBLANK(Calculator!$C$15),Calculator!$C$14,Calculator!$C$15)*Calculator!$C$19*Lookup!$C$11*(1-Calculator!$C$20)^(H$4-Calculator!$C$8)-H7)*(1/Calculator!$C$22))</f>
        <v>0</v>
      </c>
      <c r="I6" s="173">
        <f>AND(I$4&gt;=Calculator!$C$8,I$4&lt;Calculator!$C$8+Calculator!$C$39)*((IF(ISBLANK(Calculator!$C$15),Calculator!$C$14,Calculator!$C$15)*Calculator!$C$19*Lookup!$C$11*(1-Calculator!$C$20)^(I$4-Calculator!$C$8)-I7)*(1/Calculator!$C$22))</f>
        <v>0</v>
      </c>
      <c r="J6" s="173">
        <f>AND(J$4&gt;=Calculator!$C$8,J$4&lt;Calculator!$C$8+Calculator!$C$39)*((IF(ISBLANK(Calculator!$C$15),Calculator!$C$14,Calculator!$C$15)*Calculator!$C$19*Lookup!$C$11*(1-Calculator!$C$20)^(J$4-Calculator!$C$8)-J7)*(1/Calculator!$C$22))</f>
        <v>0</v>
      </c>
      <c r="K6" s="173">
        <f>AND(K$4&gt;=Calculator!$C$8,K$4&lt;Calculator!$C$8+Calculator!$C$39)*((IF(ISBLANK(Calculator!$C$15),Calculator!$C$14,Calculator!$C$15)*Calculator!$C$19*Lookup!$C$11*(1-Calculator!$C$20)^(K$4-Calculator!$C$8)-K7)*(1/Calculator!$C$22))</f>
        <v>0</v>
      </c>
      <c r="L6" s="173">
        <f>AND(L$4&gt;=Calculator!$C$8,L$4&lt;Calculator!$C$8+Calculator!$C$39)*((IF(ISBLANK(Calculator!$C$15),Calculator!$C$14,Calculator!$C$15)*Calculator!$C$19*Lookup!$C$11*(1-Calculator!$C$20)^(L$4-Calculator!$C$8)-L7)*(1/Calculator!$C$22))</f>
        <v>0</v>
      </c>
      <c r="M6" s="173">
        <f>AND(M$4&gt;=Calculator!$C$8,M$4&lt;Calculator!$C$8+Calculator!$C$39)*((IF(ISBLANK(Calculator!$C$15),Calculator!$C$14,Calculator!$C$15)*Calculator!$C$19*Lookup!$C$11*(1-Calculator!$C$20)^(M$4-Calculator!$C$8)-M7)*(1/Calculator!$C$22))</f>
        <v>0</v>
      </c>
      <c r="N6" s="173">
        <f>AND(N$4&gt;=Calculator!$C$8,N$4&lt;Calculator!$C$8+Calculator!$C$39)*((IF(ISBLANK(Calculator!$C$15),Calculator!$C$14,Calculator!$C$15)*Calculator!$C$19*Lookup!$C$11*(1-Calculator!$C$20)^(N$4-Calculator!$C$8)-N7)*(1/Calculator!$C$22))</f>
        <v>0</v>
      </c>
      <c r="O6" s="173">
        <f>AND(O$4&gt;=Calculator!$C$8,O$4&lt;Calculator!$C$8+Calculator!$C$39)*((IF(ISBLANK(Calculator!$C$15),Calculator!$C$14,Calculator!$C$15)*Calculator!$C$19*Lookup!$C$11*(1-Calculator!$C$20)^(O$4-Calculator!$C$8)-O7)*(1/Calculator!$C$22))</f>
        <v>0</v>
      </c>
      <c r="P6" s="173">
        <f>AND(P$4&gt;=Calculator!$C$8,P$4&lt;Calculator!$C$8+Calculator!$C$39)*((IF(ISBLANK(Calculator!$C$15),Calculator!$C$14,Calculator!$C$15)*Calculator!$C$19*Lookup!$C$11*(1-Calculator!$C$20)^(P$4-Calculator!$C$8)-P7)*(1/Calculator!$C$22))</f>
        <v>0</v>
      </c>
      <c r="Q6" s="173">
        <f>AND(Q$4&gt;=Calculator!$C$8,Q$4&lt;Calculator!$C$8+Calculator!$C$39)*((IF(ISBLANK(Calculator!$C$15),Calculator!$C$14,Calculator!$C$15)*Calculator!$C$19*Lookup!$C$11*(1-Calculator!$C$20)^(Q$4-Calculator!$C$8)-Q7)*(1/Calculator!$C$22))</f>
        <v>0</v>
      </c>
      <c r="R6" s="173">
        <f>AND(R$4&gt;=Calculator!$C$8,R$4&lt;Calculator!$C$8+Calculator!$C$39)*((IF(ISBLANK(Calculator!$C$15),Calculator!$C$14,Calculator!$C$15)*Calculator!$C$19*Lookup!$C$11*(1-Calculator!$C$20)^(R$4-Calculator!$C$8)-R7)*(1/Calculator!$C$22))</f>
        <v>0</v>
      </c>
      <c r="S6" s="173">
        <f>AND(S$4&gt;=Calculator!$C$8,S$4&lt;Calculator!$C$8+Calculator!$C$39)*((IF(ISBLANK(Calculator!$C$15),Calculator!$C$14,Calculator!$C$15)*Calculator!$C$19*Lookup!$C$11*(1-Calculator!$C$20)^(S$4-Calculator!$C$8)-S7)*(1/Calculator!$C$22))</f>
        <v>0</v>
      </c>
      <c r="T6" s="173">
        <f>AND(T$4&gt;=Calculator!$C$8,T$4&lt;Calculator!$C$8+Calculator!$C$39)*((IF(ISBLANK(Calculator!$C$15),Calculator!$C$14,Calculator!$C$15)*Calculator!$C$19*Lookup!$C$11*(1-Calculator!$C$20)^(T$4-Calculator!$C$8)-T7)*(1/Calculator!$C$22))</f>
        <v>0</v>
      </c>
      <c r="U6" s="173">
        <f>AND(U$4&gt;=Calculator!$C$8,U$4&lt;Calculator!$C$8+Calculator!$C$39)*((IF(ISBLANK(Calculator!$C$15),Calculator!$C$14,Calculator!$C$15)*Calculator!$C$19*Lookup!$C$11*(1-Calculator!$C$20)^(U$4-Calculator!$C$8)-U7)*(1/Calculator!$C$22))</f>
        <v>0</v>
      </c>
      <c r="V6" s="173">
        <f>AND(V$4&gt;=Calculator!$C$8,V$4&lt;Calculator!$C$8+Calculator!$C$39)*((IF(ISBLANK(Calculator!$C$15),Calculator!$C$14,Calculator!$C$15)*Calculator!$C$19*Lookup!$C$11*(1-Calculator!$C$20)^(V$4-Calculator!$C$8)-V7)*(1/Calculator!$C$22))</f>
        <v>0</v>
      </c>
      <c r="W6" s="173">
        <f>AND(W$4&gt;=Calculator!$C$8,W$4&lt;Calculator!$C$8+Calculator!$C$39)*((IF(ISBLANK(Calculator!$C$15),Calculator!$C$14,Calculator!$C$15)*Calculator!$C$19*Lookup!$C$11*(1-Calculator!$C$20)^(W$4-Calculator!$C$8)-W7)*(1/Calculator!$C$22))</f>
        <v>0</v>
      </c>
      <c r="X6" s="173">
        <f>AND(X$4&gt;=Calculator!$C$8,X$4&lt;Calculator!$C$8+Calculator!$C$39)*((IF(ISBLANK(Calculator!$C$15),Calculator!$C$14,Calculator!$C$15)*Calculator!$C$19*Lookup!$C$11*(1-Calculator!$C$20)^(X$4-Calculator!$C$8)-X7)*(1/Calculator!$C$22))</f>
        <v>0</v>
      </c>
      <c r="Y6" s="173">
        <f>AND(Y$4&gt;=Calculator!$C$8,Y$4&lt;Calculator!$C$8+Calculator!$C$39)*((IF(ISBLANK(Calculator!$C$15),Calculator!$C$14,Calculator!$C$15)*Calculator!$C$19*Lookup!$C$11*(1-Calculator!$C$20)^(Y$4-Calculator!$C$8)-Y7)*(1/Calculator!$C$22))</f>
        <v>0</v>
      </c>
      <c r="Z6" s="173">
        <f>AND(Z$4&gt;=Calculator!$C$8,Z$4&lt;Calculator!$C$8+Calculator!$C$39)*((IF(ISBLANK(Calculator!$C$15),Calculator!$C$14,Calculator!$C$15)*Calculator!$C$19*Lookup!$C$11*(1-Calculator!$C$20)^(Z$4-Calculator!$C$8)-Z7)*(1/Calculator!$C$22))</f>
        <v>0</v>
      </c>
      <c r="AA6" s="173">
        <f>AND(AA$4&gt;=Calculator!$C$8,AA$4&lt;Calculator!$C$8+Calculator!$C$39)*((IF(ISBLANK(Calculator!$C$15),Calculator!$C$14,Calculator!$C$15)*Calculator!$C$19*Lookup!$C$11*(1-Calculator!$C$20)^(AA$4-Calculator!$C$8)-AA7)*(1/Calculator!$C$22))</f>
        <v>0</v>
      </c>
      <c r="AB6" s="173">
        <f>AND(AB$4&gt;=Calculator!$C$8,AB$4&lt;Calculator!$C$8+Calculator!$C$39)*((IF(ISBLANK(Calculator!$C$15),Calculator!$C$14,Calculator!$C$15)*Calculator!$C$19*Lookup!$C$11*(1-Calculator!$C$20)^(AB$4-Calculator!$C$8)-AB7)*(1/Calculator!$C$22))</f>
        <v>0</v>
      </c>
      <c r="AC6" s="173">
        <f>AND(AC$4&gt;=Calculator!$C$8,AC$4&lt;Calculator!$C$8+Calculator!$C$39)*((IF(ISBLANK(Calculator!$C$15),Calculator!$C$14,Calculator!$C$15)*Calculator!$C$19*Lookup!$C$11*(1-Calculator!$C$20)^(AC$4-Calculator!$C$8)-AC7)*(1/Calculator!$C$22))</f>
        <v>0</v>
      </c>
      <c r="AD6" s="173">
        <f>AND(AD$4&gt;=Calculator!$C$8,AD$4&lt;Calculator!$C$8+Calculator!$C$39)*((IF(ISBLANK(Calculator!$C$15),Calculator!$C$14,Calculator!$C$15)*Calculator!$C$19*Lookup!$C$11*(1-Calculator!$C$20)^(AD$4-Calculator!$C$8)-AD7)*(1/Calculator!$C$22))</f>
        <v>0</v>
      </c>
      <c r="AE6" s="173">
        <f>AND(AE$4&gt;=Calculator!$C$8,AE$4&lt;Calculator!$C$8+Calculator!$C$39)*((IF(ISBLANK(Calculator!$C$15),Calculator!$C$14,Calculator!$C$15)*Calculator!$C$19*Lookup!$C$11*(1-Calculator!$C$20)^(AE$4-Calculator!$C$8)-AE7)*(1/Calculator!$C$22))</f>
        <v>0</v>
      </c>
      <c r="AF6" s="173">
        <f>AND(AF$4&gt;=Calculator!$C$8,AF$4&lt;Calculator!$C$8+Calculator!$C$39)*((IF(ISBLANK(Calculator!$C$15),Calculator!$C$14,Calculator!$C$15)*Calculator!$C$19*Lookup!$C$11*(1-Calculator!$C$20)^(AF$4-Calculator!$C$8)-AF7)*(1/Calculator!$C$22))</f>
        <v>0</v>
      </c>
      <c r="AG6" s="173">
        <f>AND(AG$4&gt;=Calculator!$C$8,AG$4&lt;Calculator!$C$8+Calculator!$C$39)*((IF(ISBLANK(Calculator!$C$15),Calculator!$C$14,Calculator!$C$15)*Calculator!$C$19*Lookup!$C$11*(1-Calculator!$C$20)^(AG$4-Calculator!$C$8)-AG7)*(1/Calculator!$C$22))</f>
        <v>0</v>
      </c>
      <c r="AH6" s="173">
        <f>AND(AH$4&gt;=Calculator!$C$8,AH$4&lt;Calculator!$C$8+Calculator!$C$39)*((IF(ISBLANK(Calculator!$C$15),Calculator!$C$14,Calculator!$C$15)*Calculator!$C$19*Lookup!$C$11*(1-Calculator!$C$20)^(AH$4-Calculator!$C$8)-AH7)*(1/Calculator!$C$22))</f>
        <v>0</v>
      </c>
      <c r="AI6" s="173">
        <f>AND(AI$4&gt;=Calculator!$C$8,AI$4&lt;Calculator!$C$8+Calculator!$C$39)*((IF(ISBLANK(Calculator!$C$15),Calculator!$C$14,Calculator!$C$15)*Calculator!$C$19*Lookup!$C$11*(1-Calculator!$C$20)^(AI$4-Calculator!$C$8)-AI7)*(1/Calculator!$C$22))</f>
        <v>0</v>
      </c>
      <c r="AJ6" s="173">
        <f>AND(AJ$4&gt;=Calculator!$C$8,AJ$4&lt;Calculator!$C$8+Calculator!$C$39)*((IF(ISBLANK(Calculator!$C$15),Calculator!$C$14,Calculator!$C$15)*Calculator!$C$19*Lookup!$C$11*(1-Calculator!$C$20)^(AJ$4-Calculator!$C$8)-AJ7)*(1/Calculator!$C$22))</f>
        <v>0</v>
      </c>
      <c r="AK6" s="173">
        <f>AND(AK$4&gt;=Calculator!$C$8,AK$4&lt;Calculator!$C$8+Calculator!$C$39)*((IF(ISBLANK(Calculator!$C$15),Calculator!$C$14,Calculator!$C$15)*Calculator!$C$19*Lookup!$C$11*(1-Calculator!$C$20)^(AK$4-Calculator!$C$8)-AK7)*(1/Calculator!$C$22))</f>
        <v>0</v>
      </c>
      <c r="AL6" s="173">
        <f>AND(AL$4&gt;=Calculator!$C$8,AL$4&lt;Calculator!$C$8+Calculator!$C$39)*((IF(ISBLANK(Calculator!$C$15),Calculator!$C$14,Calculator!$C$15)*Calculator!$C$19*Lookup!$C$11*(1-Calculator!$C$20)^(AL$4-Calculator!$C$8)-AL7)*(1/Calculator!$C$22))</f>
        <v>0</v>
      </c>
    </row>
    <row r="7" spans="2:38" x14ac:dyDescent="0.3">
      <c r="B7" s="174" t="s">
        <v>263</v>
      </c>
      <c r="C7" s="172"/>
      <c r="D7" s="173">
        <f>IFERROR(AND(D$4&gt;=Calculator!$C$8,D$4&lt;Calculator!$C$8+Calculator!$C$39)*Calculator!$E$12*Calculator!$E$13*Calculator!$E$14*Calculator!$E$15*(1-Calculator!$E$17)^(D$4-Calculator!$C$8)/(Calculator!$E$16*(1-Calculator!$E$18)^(D$4-Calculator!$C$8))*Calculator!$E$19,0)</f>
        <v>0</v>
      </c>
      <c r="E7" s="173">
        <f>IFERROR(AND(E$4&gt;=Calculator!$C$8,E$4&lt;Calculator!$C$8+Calculator!$C$39)*Calculator!$E$12*Calculator!$E$13*Calculator!$E$14*Calculator!$E$15*(1-Calculator!$E$17)^(E$4-Calculator!$C$8)/(Calculator!$E$16*(1-Calculator!$E$18)^(E$4-Calculator!$C$8))*Calculator!$E$19,0)</f>
        <v>0</v>
      </c>
      <c r="F7" s="173">
        <f>IFERROR(AND(F$4&gt;=Calculator!$C$8,F$4&lt;Calculator!$C$8+Calculator!$C$39)*Calculator!$E$12*Calculator!$E$13*Calculator!$E$14*Calculator!$E$15*(1-Calculator!$E$17)^(F$4-Calculator!$C$8)/(Calculator!$E$16*(1-Calculator!$E$18)^(F$4-Calculator!$C$8))*Calculator!$E$19,0)</f>
        <v>0</v>
      </c>
      <c r="G7" s="173">
        <f>IFERROR(AND(G$4&gt;=Calculator!$C$8,G$4&lt;Calculator!$C$8+Calculator!$C$39)*Calculator!$E$12*Calculator!$E$13*Calculator!$E$14*Calculator!$E$15*(1-Calculator!$E$17)^(G$4-Calculator!$C$8)/(Calculator!$E$16*(1-Calculator!$E$18)^(G$4-Calculator!$C$8))*Calculator!$E$19,0)</f>
        <v>0</v>
      </c>
      <c r="H7" s="173">
        <f>IFERROR(AND(H$4&gt;=Calculator!$C$8,H$4&lt;Calculator!$C$8+Calculator!$C$39)*Calculator!$E$12*Calculator!$E$13*Calculator!$E$14*Calculator!$E$15*(1-Calculator!$E$17)^(H$4-Calculator!$C$8)/(Calculator!$E$16*(1-Calculator!$E$18)^(H$4-Calculator!$C$8))*Calculator!$E$19,0)</f>
        <v>0</v>
      </c>
      <c r="I7" s="173">
        <f>IFERROR(AND(I$4&gt;=Calculator!$C$8,I$4&lt;Calculator!$C$8+Calculator!$C$39)*Calculator!$E$12*Calculator!$E$13*Calculator!$E$14*Calculator!$E$15*(1-Calculator!$E$17)^(I$4-Calculator!$C$8)/(Calculator!$E$16*(1-Calculator!$E$18)^(I$4-Calculator!$C$8))*Calculator!$E$19,0)</f>
        <v>0</v>
      </c>
      <c r="J7" s="173">
        <f>IFERROR(AND(J$4&gt;=Calculator!$C$8,J$4&lt;Calculator!$C$8+Calculator!$C$39)*Calculator!$E$12*Calculator!$E$13*Calculator!$E$14*Calculator!$E$15*(1-Calculator!$E$17)^(J$4-Calculator!$C$8)/(Calculator!$E$16*(1-Calculator!$E$18)^(J$4-Calculator!$C$8))*Calculator!$E$19,0)</f>
        <v>0</v>
      </c>
      <c r="K7" s="173">
        <f>IFERROR(AND(K$4&gt;=Calculator!$C$8,K$4&lt;Calculator!$C$8+Calculator!$C$39)*Calculator!$E$12*Calculator!$E$13*Calculator!$E$14*Calculator!$E$15*(1-Calculator!$E$17)^(K$4-Calculator!$C$8)/(Calculator!$E$16*(1-Calculator!$E$18)^(K$4-Calculator!$C$8))*Calculator!$E$19,0)</f>
        <v>0</v>
      </c>
      <c r="L7" s="173">
        <f>IFERROR(AND(L$4&gt;=Calculator!$C$8,L$4&lt;Calculator!$C$8+Calculator!$C$39)*Calculator!$E$12*Calculator!$E$13*Calculator!$E$14*Calculator!$E$15*(1-Calculator!$E$17)^(L$4-Calculator!$C$8)/(Calculator!$E$16*(1-Calculator!$E$18)^(L$4-Calculator!$C$8))*Calculator!$E$19,0)</f>
        <v>0</v>
      </c>
      <c r="M7" s="173">
        <f>IFERROR(AND(M$4&gt;=Calculator!$C$8,M$4&lt;Calculator!$C$8+Calculator!$C$39)*Calculator!$E$12*Calculator!$E$13*Calculator!$E$14*Calculator!$E$15*(1-Calculator!$E$17)^(M$4-Calculator!$C$8)/(Calculator!$E$16*(1-Calculator!$E$18)^(M$4-Calculator!$C$8))*Calculator!$E$19,0)</f>
        <v>0</v>
      </c>
      <c r="N7" s="173">
        <f>IFERROR(AND(N$4&gt;=Calculator!$C$8,N$4&lt;Calculator!$C$8+Calculator!$C$39)*Calculator!$E$12*Calculator!$E$13*Calculator!$E$14*Calculator!$E$15*(1-Calculator!$E$17)^(N$4-Calculator!$C$8)/(Calculator!$E$16*(1-Calculator!$E$18)^(N$4-Calculator!$C$8))*Calculator!$E$19,0)</f>
        <v>0</v>
      </c>
      <c r="O7" s="173">
        <f>IFERROR(AND(O$4&gt;=Calculator!$C$8,O$4&lt;Calculator!$C$8+Calculator!$C$39)*Calculator!$E$12*Calculator!$E$13*Calculator!$E$14*Calculator!$E$15*(1-Calculator!$E$17)^(O$4-Calculator!$C$8)/(Calculator!$E$16*(1-Calculator!$E$18)^(O$4-Calculator!$C$8))*Calculator!$E$19,0)</f>
        <v>0</v>
      </c>
      <c r="P7" s="173">
        <f>IFERROR(AND(P$4&gt;=Calculator!$C$8,P$4&lt;Calculator!$C$8+Calculator!$C$39)*Calculator!$E$12*Calculator!$E$13*Calculator!$E$14*Calculator!$E$15*(1-Calculator!$E$17)^(P$4-Calculator!$C$8)/(Calculator!$E$16*(1-Calculator!$E$18)^(P$4-Calculator!$C$8))*Calculator!$E$19,0)</f>
        <v>0</v>
      </c>
      <c r="Q7" s="173">
        <f>IFERROR(AND(Q$4&gt;=Calculator!$C$8,Q$4&lt;Calculator!$C$8+Calculator!$C$39)*Calculator!$E$12*Calculator!$E$13*Calculator!$E$14*Calculator!$E$15*(1-Calculator!$E$17)^(Q$4-Calculator!$C$8)/(Calculator!$E$16*(1-Calculator!$E$18)^(Q$4-Calculator!$C$8))*Calculator!$E$19,0)</f>
        <v>0</v>
      </c>
      <c r="R7" s="173">
        <f>IFERROR(AND(R$4&gt;=Calculator!$C$8,R$4&lt;Calculator!$C$8+Calculator!$C$39)*Calculator!$E$12*Calculator!$E$13*Calculator!$E$14*Calculator!$E$15*(1-Calculator!$E$17)^(R$4-Calculator!$C$8)/(Calculator!$E$16*(1-Calculator!$E$18)^(R$4-Calculator!$C$8))*Calculator!$E$19,0)</f>
        <v>0</v>
      </c>
      <c r="S7" s="173">
        <f>IFERROR(AND(S$4&gt;=Calculator!$C$8,S$4&lt;Calculator!$C$8+Calculator!$C$39)*Calculator!$E$12*Calculator!$E$13*Calculator!$E$14*Calculator!$E$15*(1-Calculator!$E$17)^(S$4-Calculator!$C$8)/(Calculator!$E$16*(1-Calculator!$E$18)^(S$4-Calculator!$C$8))*Calculator!$E$19,0)</f>
        <v>0</v>
      </c>
      <c r="T7" s="173">
        <f>IFERROR(AND(T$4&gt;=Calculator!$C$8,T$4&lt;Calculator!$C$8+Calculator!$C$39)*Calculator!$E$12*Calculator!$E$13*Calculator!$E$14*Calculator!$E$15*(1-Calculator!$E$17)^(T$4-Calculator!$C$8)/(Calculator!$E$16*(1-Calculator!$E$18)^(T$4-Calculator!$C$8))*Calculator!$E$19,0)</f>
        <v>0</v>
      </c>
      <c r="U7" s="173">
        <f>IFERROR(AND(U$4&gt;=Calculator!$C$8,U$4&lt;Calculator!$C$8+Calculator!$C$39)*Calculator!$E$12*Calculator!$E$13*Calculator!$E$14*Calculator!$E$15*(1-Calculator!$E$17)^(U$4-Calculator!$C$8)/(Calculator!$E$16*(1-Calculator!$E$18)^(U$4-Calculator!$C$8))*Calculator!$E$19,0)</f>
        <v>0</v>
      </c>
      <c r="V7" s="173">
        <f>IFERROR(AND(V$4&gt;=Calculator!$C$8,V$4&lt;Calculator!$C$8+Calculator!$C$39)*Calculator!$E$12*Calculator!$E$13*Calculator!$E$14*Calculator!$E$15*(1-Calculator!$E$17)^(V$4-Calculator!$C$8)/(Calculator!$E$16*(1-Calculator!$E$18)^(V$4-Calculator!$C$8))*Calculator!$E$19,0)</f>
        <v>0</v>
      </c>
      <c r="W7" s="173">
        <f>IFERROR(AND(W$4&gt;=Calculator!$C$8,W$4&lt;Calculator!$C$8+Calculator!$C$39)*Calculator!$E$12*Calculator!$E$13*Calculator!$E$14*Calculator!$E$15*(1-Calculator!$E$17)^(W$4-Calculator!$C$8)/(Calculator!$E$16*(1-Calculator!$E$18)^(W$4-Calculator!$C$8))*Calculator!$E$19,0)</f>
        <v>0</v>
      </c>
      <c r="X7" s="173">
        <f>IFERROR(AND(X$4&gt;=Calculator!$C$8,X$4&lt;Calculator!$C$8+Calculator!$C$39)*Calculator!$E$12*Calculator!$E$13*Calculator!$E$14*Calculator!$E$15*(1-Calculator!$E$17)^(X$4-Calculator!$C$8)/(Calculator!$E$16*(1-Calculator!$E$18)^(X$4-Calculator!$C$8))*Calculator!$E$19,0)</f>
        <v>0</v>
      </c>
      <c r="Y7" s="173">
        <f>IFERROR(AND(Y$4&gt;=Calculator!$C$8,Y$4&lt;Calculator!$C$8+Calculator!$C$39)*Calculator!$E$12*Calculator!$E$13*Calculator!$E$14*Calculator!$E$15*(1-Calculator!$E$17)^(Y$4-Calculator!$C$8)/(Calculator!$E$16*(1-Calculator!$E$18)^(Y$4-Calculator!$C$8))*Calculator!$E$19,0)</f>
        <v>0</v>
      </c>
      <c r="Z7" s="173">
        <f>IFERROR(AND(Z$4&gt;=Calculator!$C$8,Z$4&lt;Calculator!$C$8+Calculator!$C$39)*Calculator!$E$12*Calculator!$E$13*Calculator!$E$14*Calculator!$E$15*(1-Calculator!$E$17)^(Z$4-Calculator!$C$8)/(Calculator!$E$16*(1-Calculator!$E$18)^(Z$4-Calculator!$C$8))*Calculator!$E$19,0)</f>
        <v>0</v>
      </c>
      <c r="AA7" s="173">
        <f>IFERROR(AND(AA$4&gt;=Calculator!$C$8,AA$4&lt;Calculator!$C$8+Calculator!$C$39)*Calculator!$E$12*Calculator!$E$13*Calculator!$E$14*Calculator!$E$15*(1-Calculator!$E$17)^(AA$4-Calculator!$C$8)/(Calculator!$E$16*(1-Calculator!$E$18)^(AA$4-Calculator!$C$8))*Calculator!$E$19,0)</f>
        <v>0</v>
      </c>
      <c r="AB7" s="173">
        <f>IFERROR(AND(AB$4&gt;=Calculator!$C$8,AB$4&lt;Calculator!$C$8+Calculator!$C$39)*Calculator!$E$12*Calculator!$E$13*Calculator!$E$14*Calculator!$E$15*(1-Calculator!$E$17)^(AB$4-Calculator!$C$8)/(Calculator!$E$16*(1-Calculator!$E$18)^(AB$4-Calculator!$C$8))*Calculator!$E$19,0)</f>
        <v>0</v>
      </c>
      <c r="AC7" s="173">
        <f>IFERROR(AND(AC$4&gt;=Calculator!$C$8,AC$4&lt;Calculator!$C$8+Calculator!$C$39)*Calculator!$E$12*Calculator!$E$13*Calculator!$E$14*Calculator!$E$15*(1-Calculator!$E$17)^(AC$4-Calculator!$C$8)/(Calculator!$E$16*(1-Calculator!$E$18)^(AC$4-Calculator!$C$8))*Calculator!$E$19,0)</f>
        <v>0</v>
      </c>
      <c r="AD7" s="173">
        <f>IFERROR(AND(AD$4&gt;=Calculator!$C$8,AD$4&lt;Calculator!$C$8+Calculator!$C$39)*Calculator!$E$12*Calculator!$E$13*Calculator!$E$14*Calculator!$E$15*(1-Calculator!$E$17)^(AD$4-Calculator!$C$8)/(Calculator!$E$16*(1-Calculator!$E$18)^(AD$4-Calculator!$C$8))*Calculator!$E$19,0)</f>
        <v>0</v>
      </c>
      <c r="AE7" s="173">
        <f>IFERROR(AND(AE$4&gt;=Calculator!$C$8,AE$4&lt;Calculator!$C$8+Calculator!$C$39)*Calculator!$E$12*Calculator!$E$13*Calculator!$E$14*Calculator!$E$15*(1-Calculator!$E$17)^(AE$4-Calculator!$C$8)/(Calculator!$E$16*(1-Calculator!$E$18)^(AE$4-Calculator!$C$8))*Calculator!$E$19,0)</f>
        <v>0</v>
      </c>
      <c r="AF7" s="173">
        <f>IFERROR(AND(AF$4&gt;=Calculator!$C$8,AF$4&lt;Calculator!$C$8+Calculator!$C$39)*Calculator!$E$12*Calculator!$E$13*Calculator!$E$14*Calculator!$E$15*(1-Calculator!$E$17)^(AF$4-Calculator!$C$8)/(Calculator!$E$16*(1-Calculator!$E$18)^(AF$4-Calculator!$C$8))*Calculator!$E$19,0)</f>
        <v>0</v>
      </c>
      <c r="AG7" s="173">
        <f>IFERROR(AND(AG$4&gt;=Calculator!$C$8,AG$4&lt;Calculator!$C$8+Calculator!$C$39)*Calculator!$E$12*Calculator!$E$13*Calculator!$E$14*Calculator!$E$15*(1-Calculator!$E$17)^(AG$4-Calculator!$C$8)/(Calculator!$E$16*(1-Calculator!$E$18)^(AG$4-Calculator!$C$8))*Calculator!$E$19,0)</f>
        <v>0</v>
      </c>
      <c r="AH7" s="173">
        <f>IFERROR(AND(AH$4&gt;=Calculator!$C$8,AH$4&lt;Calculator!$C$8+Calculator!$C$39)*Calculator!$E$12*Calculator!$E$13*Calculator!$E$14*Calculator!$E$15*(1-Calculator!$E$17)^(AH$4-Calculator!$C$8)/(Calculator!$E$16*(1-Calculator!$E$18)^(AH$4-Calculator!$C$8))*Calculator!$E$19,0)</f>
        <v>0</v>
      </c>
      <c r="AI7" s="173">
        <f>IFERROR(AND(AI$4&gt;=Calculator!$C$8,AI$4&lt;Calculator!$C$8+Calculator!$C$39)*Calculator!$E$12*Calculator!$E$13*Calculator!$E$14*Calculator!$E$15*(1-Calculator!$E$17)^(AI$4-Calculator!$C$8)/(Calculator!$E$16*(1-Calculator!$E$18)^(AI$4-Calculator!$C$8))*Calculator!$E$19,0)</f>
        <v>0</v>
      </c>
      <c r="AJ7" s="173">
        <f>IFERROR(AND(AJ$4&gt;=Calculator!$C$8,AJ$4&lt;Calculator!$C$8+Calculator!$C$39)*Calculator!$E$12*Calculator!$E$13*Calculator!$E$14*Calculator!$E$15*(1-Calculator!$E$17)^(AJ$4-Calculator!$C$8)/(Calculator!$E$16*(1-Calculator!$E$18)^(AJ$4-Calculator!$C$8))*Calculator!$E$19,0)</f>
        <v>0</v>
      </c>
      <c r="AK7" s="173">
        <f>IFERROR(AND(AK$4&gt;=Calculator!$C$8,AK$4&lt;Calculator!$C$8+Calculator!$C$39)*Calculator!$E$12*Calculator!$E$13*Calculator!$E$14*Calculator!$E$15*(1-Calculator!$E$17)^(AK$4-Calculator!$C$8)/(Calculator!$E$16*(1-Calculator!$E$18)^(AK$4-Calculator!$C$8))*Calculator!$E$19,0)</f>
        <v>0</v>
      </c>
      <c r="AL7" s="173">
        <f>IFERROR(AND(AL$4&gt;=Calculator!$C$8,AL$4&lt;Calculator!$C$8+Calculator!$C$39)*Calculator!$E$12*Calculator!$E$13*Calculator!$E$14*Calculator!$E$15*(1-Calculator!$E$17)^(AL$4-Calculator!$C$8)/(Calculator!$E$16*(1-Calculator!$E$18)^(AL$4-Calculator!$C$8))*Calculator!$E$19,0)</f>
        <v>0</v>
      </c>
    </row>
    <row r="8" spans="2:38" x14ac:dyDescent="0.3">
      <c r="B8" s="174" t="s">
        <v>264</v>
      </c>
      <c r="C8" s="172"/>
      <c r="D8" s="173">
        <f>AND(D$4&gt;=Calculator!$C$8,D$4&lt;Calculator!$C$8+Calculator!$C$39)*Calculator!$E$12*Calculator!$E$13*Calculator!$E$14*Calculator!$E$15*(1/Calculator!$C$22)</f>
        <v>0</v>
      </c>
      <c r="E8" s="173">
        <f>AND(E$4&gt;=Calculator!$C$8,E$4&lt;Calculator!$C$8+Calculator!$C$39)*Calculator!$E$12*Calculator!$E$13*Calculator!$E$14*Calculator!$E$15*(1/Calculator!$C$22)</f>
        <v>0</v>
      </c>
      <c r="F8" s="173">
        <f>AND(F$4&gt;=Calculator!$C$8,F$4&lt;Calculator!$C$8+Calculator!$C$39)*Calculator!$E$12*Calculator!$E$13*Calculator!$E$14*Calculator!$E$15*(1/Calculator!$C$22)</f>
        <v>0</v>
      </c>
      <c r="G8" s="173">
        <f>AND(G$4&gt;=Calculator!$C$8,G$4&lt;Calculator!$C$8+Calculator!$C$39)*Calculator!$E$12*Calculator!$E$13*Calculator!$E$14*Calculator!$E$15*(1/Calculator!$C$22)</f>
        <v>0</v>
      </c>
      <c r="H8" s="173">
        <f>AND(H$4&gt;=Calculator!$C$8,H$4&lt;Calculator!$C$8+Calculator!$C$39)*Calculator!$E$12*Calculator!$E$13*Calculator!$E$14*Calculator!$E$15*(1/Calculator!$C$22)</f>
        <v>0</v>
      </c>
      <c r="I8" s="173">
        <f>AND(I$4&gt;=Calculator!$C$8,I$4&lt;Calculator!$C$8+Calculator!$C$39)*Calculator!$E$12*Calculator!$E$13*Calculator!$E$14*Calculator!$E$15*(1/Calculator!$C$22)</f>
        <v>0</v>
      </c>
      <c r="J8" s="173">
        <f>AND(J$4&gt;=Calculator!$C$8,J$4&lt;Calculator!$C$8+Calculator!$C$39)*Calculator!$E$12*Calculator!$E$13*Calculator!$E$14*Calculator!$E$15*(1/Calculator!$C$22)</f>
        <v>0</v>
      </c>
      <c r="K8" s="173">
        <f>AND(K$4&gt;=Calculator!$C$8,K$4&lt;Calculator!$C$8+Calculator!$C$39)*Calculator!$E$12*Calculator!$E$13*Calculator!$E$14*Calculator!$E$15*(1/Calculator!$C$22)</f>
        <v>0</v>
      </c>
      <c r="L8" s="173">
        <f>AND(L$4&gt;=Calculator!$C$8,L$4&lt;Calculator!$C$8+Calculator!$C$39)*Calculator!$E$12*Calculator!$E$13*Calculator!$E$14*Calculator!$E$15*(1/Calculator!$C$22)</f>
        <v>0</v>
      </c>
      <c r="M8" s="173">
        <f>AND(M$4&gt;=Calculator!$C$8,M$4&lt;Calculator!$C$8+Calculator!$C$39)*Calculator!$E$12*Calculator!$E$13*Calculator!$E$14*Calculator!$E$15*(1/Calculator!$C$22)</f>
        <v>0</v>
      </c>
      <c r="N8" s="173">
        <f>AND(N$4&gt;=Calculator!$C$8,N$4&lt;Calculator!$C$8+Calculator!$C$39)*Calculator!$E$12*Calculator!$E$13*Calculator!$E$14*Calculator!$E$15*(1/Calculator!$C$22)</f>
        <v>0</v>
      </c>
      <c r="O8" s="173">
        <f>AND(O$4&gt;=Calculator!$C$8,O$4&lt;Calculator!$C$8+Calculator!$C$39)*Calculator!$E$12*Calculator!$E$13*Calculator!$E$14*Calculator!$E$15*(1/Calculator!$C$22)</f>
        <v>0</v>
      </c>
      <c r="P8" s="173">
        <f>AND(P$4&gt;=Calculator!$C$8,P$4&lt;Calculator!$C$8+Calculator!$C$39)*Calculator!$E$12*Calculator!$E$13*Calculator!$E$14*Calculator!$E$15*(1/Calculator!$C$22)</f>
        <v>0</v>
      </c>
      <c r="Q8" s="173">
        <f>AND(Q$4&gt;=Calculator!$C$8,Q$4&lt;Calculator!$C$8+Calculator!$C$39)*Calculator!$E$12*Calculator!$E$13*Calculator!$E$14*Calculator!$E$15*(1/Calculator!$C$22)</f>
        <v>0</v>
      </c>
      <c r="R8" s="173">
        <f>AND(R$4&gt;=Calculator!$C$8,R$4&lt;Calculator!$C$8+Calculator!$C$39)*Calculator!$E$12*Calculator!$E$13*Calculator!$E$14*Calculator!$E$15*(1/Calculator!$C$22)</f>
        <v>0</v>
      </c>
      <c r="S8" s="173">
        <f>AND(S$4&gt;=Calculator!$C$8,S$4&lt;Calculator!$C$8+Calculator!$C$39)*Calculator!$E$12*Calculator!$E$13*Calculator!$E$14*Calculator!$E$15*(1/Calculator!$C$22)</f>
        <v>0</v>
      </c>
      <c r="T8" s="173">
        <f>AND(T$4&gt;=Calculator!$C$8,T$4&lt;Calculator!$C$8+Calculator!$C$39)*Calculator!$E$12*Calculator!$E$13*Calculator!$E$14*Calculator!$E$15*(1/Calculator!$C$22)</f>
        <v>0</v>
      </c>
      <c r="U8" s="173">
        <f>AND(U$4&gt;=Calculator!$C$8,U$4&lt;Calculator!$C$8+Calculator!$C$39)*Calculator!$E$12*Calculator!$E$13*Calculator!$E$14*Calculator!$E$15*(1/Calculator!$C$22)</f>
        <v>0</v>
      </c>
      <c r="V8" s="173">
        <f>AND(V$4&gt;=Calculator!$C$8,V$4&lt;Calculator!$C$8+Calculator!$C$39)*Calculator!$E$12*Calculator!$E$13*Calculator!$E$14*Calculator!$E$15*(1/Calculator!$C$22)</f>
        <v>0</v>
      </c>
      <c r="W8" s="173">
        <f>AND(W$4&gt;=Calculator!$C$8,W$4&lt;Calculator!$C$8+Calculator!$C$39)*Calculator!$E$12*Calculator!$E$13*Calculator!$E$14*Calculator!$E$15*(1/Calculator!$C$22)</f>
        <v>0</v>
      </c>
      <c r="X8" s="173">
        <f>AND(X$4&gt;=Calculator!$C$8,X$4&lt;Calculator!$C$8+Calculator!$C$39)*Calculator!$E$12*Calculator!$E$13*Calculator!$E$14*Calculator!$E$15*(1/Calculator!$C$22)</f>
        <v>0</v>
      </c>
      <c r="Y8" s="173">
        <f>AND(Y$4&gt;=Calculator!$C$8,Y$4&lt;Calculator!$C$8+Calculator!$C$39)*Calculator!$E$12*Calculator!$E$13*Calculator!$E$14*Calculator!$E$15*(1/Calculator!$C$22)</f>
        <v>0</v>
      </c>
      <c r="Z8" s="173">
        <f>AND(Z$4&gt;=Calculator!$C$8,Z$4&lt;Calculator!$C$8+Calculator!$C$39)*Calculator!$E$12*Calculator!$E$13*Calculator!$E$14*Calculator!$E$15*(1/Calculator!$C$22)</f>
        <v>0</v>
      </c>
      <c r="AA8" s="173">
        <f>AND(AA$4&gt;=Calculator!$C$8,AA$4&lt;Calculator!$C$8+Calculator!$C$39)*Calculator!$E$12*Calculator!$E$13*Calculator!$E$14*Calculator!$E$15*(1/Calculator!$C$22)</f>
        <v>0</v>
      </c>
      <c r="AB8" s="173">
        <f>AND(AB$4&gt;=Calculator!$C$8,AB$4&lt;Calculator!$C$8+Calculator!$C$39)*Calculator!$E$12*Calculator!$E$13*Calculator!$E$14*Calculator!$E$15*(1/Calculator!$C$22)</f>
        <v>0</v>
      </c>
      <c r="AC8" s="173">
        <f>AND(AC$4&gt;=Calculator!$C$8,AC$4&lt;Calculator!$C$8+Calculator!$C$39)*Calculator!$E$12*Calculator!$E$13*Calculator!$E$14*Calculator!$E$15*(1/Calculator!$C$22)</f>
        <v>0</v>
      </c>
      <c r="AD8" s="173">
        <f>AND(AD$4&gt;=Calculator!$C$8,AD$4&lt;Calculator!$C$8+Calculator!$C$39)*Calculator!$E$12*Calculator!$E$13*Calculator!$E$14*Calculator!$E$15*(1/Calculator!$C$22)</f>
        <v>0</v>
      </c>
      <c r="AE8" s="173">
        <f>AND(AE$4&gt;=Calculator!$C$8,AE$4&lt;Calculator!$C$8+Calculator!$C$39)*Calculator!$E$12*Calculator!$E$13*Calculator!$E$14*Calculator!$E$15*(1/Calculator!$C$22)</f>
        <v>0</v>
      </c>
      <c r="AF8" s="173">
        <f>AND(AF$4&gt;=Calculator!$C$8,AF$4&lt;Calculator!$C$8+Calculator!$C$39)*Calculator!$E$12*Calculator!$E$13*Calculator!$E$14*Calculator!$E$15*(1/Calculator!$C$22)</f>
        <v>0</v>
      </c>
      <c r="AG8" s="173">
        <f>AND(AG$4&gt;=Calculator!$C$8,AG$4&lt;Calculator!$C$8+Calculator!$C$39)*Calculator!$E$12*Calculator!$E$13*Calculator!$E$14*Calculator!$E$15*(1/Calculator!$C$22)</f>
        <v>0</v>
      </c>
      <c r="AH8" s="173">
        <f>AND(AH$4&gt;=Calculator!$C$8,AH$4&lt;Calculator!$C$8+Calculator!$C$39)*Calculator!$E$12*Calculator!$E$13*Calculator!$E$14*Calculator!$E$15*(1/Calculator!$C$22)</f>
        <v>0</v>
      </c>
      <c r="AI8" s="173">
        <f>AND(AI$4&gt;=Calculator!$C$8,AI$4&lt;Calculator!$C$8+Calculator!$C$39)*Calculator!$E$12*Calculator!$E$13*Calculator!$E$14*Calculator!$E$15*(1/Calculator!$C$22)</f>
        <v>0</v>
      </c>
      <c r="AJ8" s="173">
        <f>AND(AJ$4&gt;=Calculator!$C$8,AJ$4&lt;Calculator!$C$8+Calculator!$C$39)*Calculator!$E$12*Calculator!$E$13*Calculator!$E$14*Calculator!$E$15*(1/Calculator!$C$22)</f>
        <v>0</v>
      </c>
      <c r="AK8" s="173">
        <f>AND(AK$4&gt;=Calculator!$C$8,AK$4&lt;Calculator!$C$8+Calculator!$C$39)*Calculator!$E$12*Calculator!$E$13*Calculator!$E$14*Calculator!$E$15*(1/Calculator!$C$22)</f>
        <v>0</v>
      </c>
      <c r="AL8" s="173">
        <f>AND(AL$4&gt;=Calculator!$C$8,AL$4&lt;Calculator!$C$8+Calculator!$C$39)*Calculator!$E$12*Calculator!$E$13*Calculator!$E$14*Calculator!$E$15*(1/Calculator!$C$22)</f>
        <v>0</v>
      </c>
    </row>
    <row r="10" spans="2:38" x14ac:dyDescent="0.3">
      <c r="B10" s="100" t="s">
        <v>1</v>
      </c>
      <c r="C10" s="100"/>
      <c r="D10" s="100">
        <f>D4</f>
        <v>2023</v>
      </c>
      <c r="E10" s="100">
        <f t="shared" ref="E10:AL10" si="4">E4</f>
        <v>2024</v>
      </c>
      <c r="F10" s="100">
        <f t="shared" si="4"/>
        <v>2025</v>
      </c>
      <c r="G10" s="100">
        <f t="shared" si="4"/>
        <v>2026</v>
      </c>
      <c r="H10" s="100">
        <f t="shared" si="4"/>
        <v>2027</v>
      </c>
      <c r="I10" s="100">
        <f t="shared" si="4"/>
        <v>2028</v>
      </c>
      <c r="J10" s="100">
        <f t="shared" si="4"/>
        <v>2029</v>
      </c>
      <c r="K10" s="100">
        <f t="shared" si="4"/>
        <v>2030</v>
      </c>
      <c r="L10" s="100">
        <f t="shared" si="4"/>
        <v>2031</v>
      </c>
      <c r="M10" s="100">
        <f t="shared" si="4"/>
        <v>2032</v>
      </c>
      <c r="N10" s="100">
        <f t="shared" si="4"/>
        <v>2033</v>
      </c>
      <c r="O10" s="100">
        <f t="shared" si="4"/>
        <v>2034</v>
      </c>
      <c r="P10" s="100">
        <f t="shared" si="4"/>
        <v>2035</v>
      </c>
      <c r="Q10" s="100">
        <f t="shared" si="4"/>
        <v>2036</v>
      </c>
      <c r="R10" s="100">
        <f t="shared" si="4"/>
        <v>2037</v>
      </c>
      <c r="S10" s="100">
        <f t="shared" si="4"/>
        <v>2038</v>
      </c>
      <c r="T10" s="100">
        <f t="shared" si="4"/>
        <v>2039</v>
      </c>
      <c r="U10" s="100">
        <f t="shared" si="4"/>
        <v>2040</v>
      </c>
      <c r="V10" s="100">
        <f t="shared" si="4"/>
        <v>2041</v>
      </c>
      <c r="W10" s="100">
        <f t="shared" si="4"/>
        <v>2042</v>
      </c>
      <c r="X10" s="100">
        <f t="shared" si="4"/>
        <v>2043</v>
      </c>
      <c r="Y10" s="100">
        <f t="shared" si="4"/>
        <v>2044</v>
      </c>
      <c r="Z10" s="100">
        <f t="shared" si="4"/>
        <v>2045</v>
      </c>
      <c r="AA10" s="100">
        <f t="shared" si="4"/>
        <v>2046</v>
      </c>
      <c r="AB10" s="100">
        <f t="shared" si="4"/>
        <v>2047</v>
      </c>
      <c r="AC10" s="100">
        <f t="shared" si="4"/>
        <v>2048</v>
      </c>
      <c r="AD10" s="100">
        <f t="shared" si="4"/>
        <v>2049</v>
      </c>
      <c r="AE10" s="100">
        <f t="shared" si="4"/>
        <v>2050</v>
      </c>
      <c r="AF10" s="100">
        <f t="shared" si="4"/>
        <v>2051</v>
      </c>
      <c r="AG10" s="100">
        <f t="shared" si="4"/>
        <v>2052</v>
      </c>
      <c r="AH10" s="100">
        <f t="shared" si="4"/>
        <v>2053</v>
      </c>
      <c r="AI10" s="100">
        <f t="shared" si="4"/>
        <v>2054</v>
      </c>
      <c r="AJ10" s="100">
        <f t="shared" si="4"/>
        <v>2055</v>
      </c>
      <c r="AK10" s="100">
        <f t="shared" si="4"/>
        <v>2056</v>
      </c>
      <c r="AL10" s="100">
        <f t="shared" si="4"/>
        <v>2057</v>
      </c>
    </row>
    <row r="11" spans="2:38" x14ac:dyDescent="0.3">
      <c r="B11" s="104" t="s">
        <v>33</v>
      </c>
      <c r="D11" s="20">
        <f>(D$4=Calculator!$C$8)*((IFERROR(Calculator!$E$29*Calculator!$F$5,0)+IFERROR(Calculator!$E$30*Calculator!$F$6,0))*IF(ISBLANK(Calculator!$C$36),Calculator!$C$35,Calculator!$C$36))</f>
        <v>0</v>
      </c>
      <c r="E11" s="20">
        <f>(E$4=Calculator!$C$8)*((IFERROR(Calculator!$E$29*Calculator!$F$5,0)+IFERROR(Calculator!$E$30*Calculator!$F$6,0))*IF(ISBLANK(Calculator!$C$36),Calculator!$C$35,Calculator!$C$36))</f>
        <v>0</v>
      </c>
      <c r="F11" s="20">
        <f>(F$4=Calculator!$C$8)*((IFERROR(Calculator!$E$29*Calculator!$F$5,0)+IFERROR(Calculator!$E$30*Calculator!$F$6,0))*IF(ISBLANK(Calculator!$C$36),Calculator!$C$35,Calculator!$C$36))</f>
        <v>0</v>
      </c>
      <c r="G11" s="20">
        <f>(G$4=Calculator!$C$8)*((IFERROR(Calculator!$E$29*Calculator!$F$5,0)+IFERROR(Calculator!$E$30*Calculator!$F$6,0))*IF(ISBLANK(Calculator!$C$36),Calculator!$C$35,Calculator!$C$36))</f>
        <v>0</v>
      </c>
      <c r="H11" s="20">
        <f>(H$4=Calculator!$C$8)*((IFERROR(Calculator!$E$29*Calculator!$F$5,0)+IFERROR(Calculator!$E$30*Calculator!$F$6,0))*IF(ISBLANK(Calculator!$C$36),Calculator!$C$35,Calculator!$C$36))</f>
        <v>0</v>
      </c>
      <c r="I11" s="20">
        <f>(I$4=Calculator!$C$8)*((IFERROR(Calculator!$E$29*Calculator!$F$5,0)+IFERROR(Calculator!$E$30*Calculator!$F$6,0))*IF(ISBLANK(Calculator!$C$36),Calculator!$C$35,Calculator!$C$36))</f>
        <v>0</v>
      </c>
      <c r="J11" s="20">
        <f>(J$4=Calculator!$C$8)*((IFERROR(Calculator!$E$29*Calculator!$F$5,0)+IFERROR(Calculator!$E$30*Calculator!$F$6,0))*IF(ISBLANK(Calculator!$C$36),Calculator!$C$35,Calculator!$C$36))</f>
        <v>0</v>
      </c>
      <c r="K11" s="20">
        <f>(K$4=Calculator!$C$8)*((IFERROR(Calculator!$E$29*Calculator!$F$5,0)+IFERROR(Calculator!$E$30*Calculator!$F$6,0))*IF(ISBLANK(Calculator!$C$36),Calculator!$C$35,Calculator!$C$36))</f>
        <v>0</v>
      </c>
      <c r="L11" s="20">
        <f>(L$4=Calculator!$C$8)*((IFERROR(Calculator!$E$29*Calculator!$F$5,0)+IFERROR(Calculator!$E$30*Calculator!$F$6,0))*IF(ISBLANK(Calculator!$C$36),Calculator!$C$35,Calculator!$C$36))</f>
        <v>0</v>
      </c>
      <c r="M11" s="20">
        <f>(M$4=Calculator!$C$8)*((IFERROR(Calculator!$E$29*Calculator!$F$5,0)+IFERROR(Calculator!$E$30*Calculator!$F$6,0))*IF(ISBLANK(Calculator!$C$36),Calculator!$C$35,Calculator!$C$36))</f>
        <v>0</v>
      </c>
      <c r="N11" s="20">
        <f>(N$4=Calculator!$C$8)*((IFERROR(Calculator!$E$29*Calculator!$F$5,0)+IFERROR(Calculator!$E$30*Calculator!$F$6,0))*IF(ISBLANK(Calculator!$C$36),Calculator!$C$35,Calculator!$C$36))</f>
        <v>0</v>
      </c>
      <c r="O11" s="20">
        <f>(O$4=Calculator!$C$8)*((IFERROR(Calculator!$E$29*Calculator!$F$5,0)+IFERROR(Calculator!$E$30*Calculator!$F$6,0))*IF(ISBLANK(Calculator!$C$36),Calculator!$C$35,Calculator!$C$36))</f>
        <v>0</v>
      </c>
      <c r="P11" s="20">
        <f>(P$4=Calculator!$C$8)*((IFERROR(Calculator!$E$29*Calculator!$F$5,0)+IFERROR(Calculator!$E$30*Calculator!$F$6,0))*IF(ISBLANK(Calculator!$C$36),Calculator!$C$35,Calculator!$C$36))</f>
        <v>0</v>
      </c>
      <c r="Q11" s="20">
        <f>(Q$4=Calculator!$C$8)*((IFERROR(Calculator!$E$29*Calculator!$F$5,0)+IFERROR(Calculator!$E$30*Calculator!$F$6,0))*IF(ISBLANK(Calculator!$C$36),Calculator!$C$35,Calculator!$C$36))</f>
        <v>0</v>
      </c>
      <c r="R11" s="20">
        <f>(R$4=Calculator!$C$8)*((IFERROR(Calculator!$E$29*Calculator!$F$5,0)+IFERROR(Calculator!$E$30*Calculator!$F$6,0))*IF(ISBLANK(Calculator!$C$36),Calculator!$C$35,Calculator!$C$36))</f>
        <v>0</v>
      </c>
      <c r="S11" s="20">
        <f>(S$4=Calculator!$C$8)*((IFERROR(Calculator!$E$29*Calculator!$F$5,0)+IFERROR(Calculator!$E$30*Calculator!$F$6,0))*IF(ISBLANK(Calculator!$C$36),Calculator!$C$35,Calculator!$C$36))</f>
        <v>0</v>
      </c>
      <c r="T11" s="20">
        <f>(T$4=Calculator!$C$8)*((IFERROR(Calculator!$E$29*Calculator!$F$5,0)+IFERROR(Calculator!$E$30*Calculator!$F$6,0))*IF(ISBLANK(Calculator!$C$36),Calculator!$C$35,Calculator!$C$36))</f>
        <v>0</v>
      </c>
      <c r="U11" s="20">
        <f>(U$4=Calculator!$C$8)*((IFERROR(Calculator!$E$29*Calculator!$F$5,0)+IFERROR(Calculator!$E$30*Calculator!$F$6,0))*IF(ISBLANK(Calculator!$C$36),Calculator!$C$35,Calculator!$C$36))</f>
        <v>0</v>
      </c>
      <c r="V11" s="20">
        <f>(V$4=Calculator!$C$8)*((IFERROR(Calculator!$E$29*Calculator!$F$5,0)+IFERROR(Calculator!$E$30*Calculator!$F$6,0))*IF(ISBLANK(Calculator!$C$36),Calculator!$C$35,Calculator!$C$36))</f>
        <v>0</v>
      </c>
      <c r="W11" s="20">
        <f>(W$4=Calculator!$C$8)*((IFERROR(Calculator!$E$29*Calculator!$F$5,0)+IFERROR(Calculator!$E$30*Calculator!$F$6,0))*IF(ISBLANK(Calculator!$C$36),Calculator!$C$35,Calculator!$C$36))</f>
        <v>0</v>
      </c>
      <c r="X11" s="20">
        <f>(X$4=Calculator!$C$8)*((IFERROR(Calculator!$E$29*Calculator!$F$5,0)+IFERROR(Calculator!$E$30*Calculator!$F$6,0))*IF(ISBLANK(Calculator!$C$36),Calculator!$C$35,Calculator!$C$36))</f>
        <v>0</v>
      </c>
      <c r="Y11" s="20">
        <f>(Y$4=Calculator!$C$8)*((IFERROR(Calculator!$E$29*Calculator!$F$5,0)+IFERROR(Calculator!$E$30*Calculator!$F$6,0))*IF(ISBLANK(Calculator!$C$36),Calculator!$C$35,Calculator!$C$36))</f>
        <v>0</v>
      </c>
      <c r="Z11" s="20">
        <f>(Z$4=Calculator!$C$8)*((IFERROR(Calculator!$E$29*Calculator!$F$5,0)+IFERROR(Calculator!$E$30*Calculator!$F$6,0))*IF(ISBLANK(Calculator!$C$36),Calculator!$C$35,Calculator!$C$36))</f>
        <v>0</v>
      </c>
      <c r="AA11" s="20">
        <f>(AA$4=Calculator!$C$8)*((IFERROR(Calculator!$E$29*Calculator!$F$5,0)+IFERROR(Calculator!$E$30*Calculator!$F$6,0))*IF(ISBLANK(Calculator!$C$36),Calculator!$C$35,Calculator!$C$36))</f>
        <v>0</v>
      </c>
      <c r="AB11" s="20">
        <f>(AB$4=Calculator!$C$8)*((IFERROR(Calculator!$E$29*Calculator!$F$5,0)+IFERROR(Calculator!$E$30*Calculator!$F$6,0))*IF(ISBLANK(Calculator!$C$36),Calculator!$C$35,Calculator!$C$36))</f>
        <v>0</v>
      </c>
      <c r="AC11" s="20">
        <f>(AC$4=Calculator!$C$8)*((IFERROR(Calculator!$E$29*Calculator!$F$5,0)+IFERROR(Calculator!$E$30*Calculator!$F$6,0))*IF(ISBLANK(Calculator!$C$36),Calculator!$C$35,Calculator!$C$36))</f>
        <v>0</v>
      </c>
      <c r="AD11" s="20">
        <f>(AD$4=Calculator!$C$8)*((IFERROR(Calculator!$E$29*Calculator!$F$5,0)+IFERROR(Calculator!$E$30*Calculator!$F$6,0))*IF(ISBLANK(Calculator!$C$36),Calculator!$C$35,Calculator!$C$36))</f>
        <v>0</v>
      </c>
      <c r="AE11" s="20">
        <f>(AE$4=Calculator!$C$8)*((IFERROR(Calculator!$E$29*Calculator!$F$5,0)+IFERROR(Calculator!$E$30*Calculator!$F$6,0))*IF(ISBLANK(Calculator!$C$36),Calculator!$C$35,Calculator!$C$36))</f>
        <v>0</v>
      </c>
      <c r="AF11" s="20">
        <f>(AF$4=Calculator!$C$8)*((IFERROR(Calculator!$E$29*Calculator!$F$5,0)+IFERROR(Calculator!$E$30*Calculator!$F$6,0))*IF(ISBLANK(Calculator!$C$36),Calculator!$C$35,Calculator!$C$36))</f>
        <v>0</v>
      </c>
      <c r="AG11" s="20">
        <f>(AG$4=Calculator!$C$8)*((IFERROR(Calculator!$E$29*Calculator!$F$5,0)+IFERROR(Calculator!$E$30*Calculator!$F$6,0))*IF(ISBLANK(Calculator!$C$36),Calculator!$C$35,Calculator!$C$36))</f>
        <v>0</v>
      </c>
      <c r="AH11" s="20">
        <f>(AH$4=Calculator!$C$8)*((IFERROR(Calculator!$E$29*Calculator!$F$5,0)+IFERROR(Calculator!$E$30*Calculator!$F$6,0))*IF(ISBLANK(Calculator!$C$36),Calculator!$C$35,Calculator!$C$36))</f>
        <v>0</v>
      </c>
      <c r="AI11" s="20">
        <f>(AI$4=Calculator!$C$8)*((IFERROR(Calculator!$E$29*Calculator!$F$5,0)+IFERROR(Calculator!$E$30*Calculator!$F$6,0))*IF(ISBLANK(Calculator!$C$36),Calculator!$C$35,Calculator!$C$36))</f>
        <v>0</v>
      </c>
      <c r="AJ11" s="20">
        <f>(AJ$4=Calculator!$C$8)*((IFERROR(Calculator!$E$29*Calculator!$F$5,0)+IFERROR(Calculator!$E$30*Calculator!$F$6,0))*IF(ISBLANK(Calculator!$C$36),Calculator!$C$35,Calculator!$C$36))</f>
        <v>0</v>
      </c>
      <c r="AK11" s="20">
        <f>(AK$4=Calculator!$C$8)*((IFERROR(Calculator!$E$29*Calculator!$F$5,0)+IFERROR(Calculator!$E$30*Calculator!$F$6,0))*IF(ISBLANK(Calculator!$C$36),Calculator!$C$35,Calculator!$C$36))</f>
        <v>0</v>
      </c>
      <c r="AL11" s="20">
        <f>(AL$4=Calculator!$C$8)*((IFERROR(Calculator!$E$29*Calculator!$F$5,0)+IFERROR(Calculator!$E$30*Calculator!$F$6,0))*IF(ISBLANK(Calculator!$C$36),Calculator!$C$35,Calculator!$C$36))</f>
        <v>0</v>
      </c>
    </row>
    <row r="12" spans="2:38" x14ac:dyDescent="0.3">
      <c r="B12" s="104" t="s">
        <v>154</v>
      </c>
      <c r="D12" s="20">
        <f>MIN(D11,-(Calculator!$C$31*AND(D$4=Calculator!$C$8,Calculator!$C$31&lt;0)))</f>
        <v>0</v>
      </c>
      <c r="E12" s="20">
        <f>MIN(E11,-(Calculator!$C$31*AND(E$4=Calculator!$C$8,Calculator!$C$31&lt;0)))</f>
        <v>0</v>
      </c>
      <c r="F12" s="20">
        <f>MIN(F11,-(Calculator!$C$31*AND(F$4=Calculator!$C$8,Calculator!$C$31&lt;0)))</f>
        <v>0</v>
      </c>
      <c r="G12" s="20">
        <f>MIN(G11,-(Calculator!$C$31*AND(G$4=Calculator!$C$8,Calculator!$C$31&lt;0)))</f>
        <v>0</v>
      </c>
      <c r="H12" s="20">
        <f>MIN(H11,-(Calculator!$C$31*AND(H$4=Calculator!$C$8,Calculator!$C$31&lt;0)))</f>
        <v>0</v>
      </c>
      <c r="I12" s="20">
        <f>MIN(I11,-(Calculator!$C$31*AND(I$4=Calculator!$C$8,Calculator!$C$31&lt;0)))</f>
        <v>0</v>
      </c>
      <c r="J12" s="20">
        <f>MIN(J11,-(Calculator!$C$31*AND(J$4=Calculator!$C$8,Calculator!$C$31&lt;0)))</f>
        <v>0</v>
      </c>
      <c r="K12" s="20">
        <f>MIN(K11,-(Calculator!$C$31*AND(K$4=Calculator!$C$8,Calculator!$C$31&lt;0)))</f>
        <v>0</v>
      </c>
      <c r="L12" s="20">
        <f>MIN(L11,-(Calculator!$C$31*AND(L$4=Calculator!$C$8,Calculator!$C$31&lt;0)))</f>
        <v>0</v>
      </c>
      <c r="M12" s="20">
        <f>MIN(M11,-(Calculator!$C$31*AND(M$4=Calculator!$C$8,Calculator!$C$31&lt;0)))</f>
        <v>0</v>
      </c>
      <c r="N12" s="20">
        <f>MIN(N11,-(Calculator!$C$31*AND(N$4=Calculator!$C$8,Calculator!$C$31&lt;0)))</f>
        <v>0</v>
      </c>
      <c r="O12" s="20">
        <f>MIN(O11,-(Calculator!$C$31*AND(O$4=Calculator!$C$8,Calculator!$C$31&lt;0)))</f>
        <v>0</v>
      </c>
      <c r="P12" s="20">
        <f>MIN(P11,-(Calculator!$C$31*AND(P$4=Calculator!$C$8,Calculator!$C$31&lt;0)))</f>
        <v>0</v>
      </c>
      <c r="Q12" s="20">
        <f>MIN(Q11,-(Calculator!$C$31*AND(Q$4=Calculator!$C$8,Calculator!$C$31&lt;0)))</f>
        <v>0</v>
      </c>
      <c r="R12" s="20">
        <f>MIN(R11,-(Calculator!$C$31*AND(R$4=Calculator!$C$8,Calculator!$C$31&lt;0)))</f>
        <v>0</v>
      </c>
      <c r="S12" s="20">
        <f>MIN(S11,-(Calculator!$C$31*AND(S$4=Calculator!$C$8,Calculator!$C$31&lt;0)))</f>
        <v>0</v>
      </c>
      <c r="T12" s="20">
        <f>MIN(T11,-(Calculator!$C$31*AND(T$4=Calculator!$C$8,Calculator!$C$31&lt;0)))</f>
        <v>0</v>
      </c>
      <c r="U12" s="20">
        <f>MIN(U11,-(Calculator!$C$31*AND(U$4=Calculator!$C$8,Calculator!$C$31&lt;0)))</f>
        <v>0</v>
      </c>
      <c r="V12" s="20">
        <f>MIN(V11,-(Calculator!$C$31*AND(V$4=Calculator!$C$8,Calculator!$C$31&lt;0)))</f>
        <v>0</v>
      </c>
      <c r="W12" s="20">
        <f>MIN(W11,-(Calculator!$C$31*AND(W$4=Calculator!$C$8,Calculator!$C$31&lt;0)))</f>
        <v>0</v>
      </c>
      <c r="X12" s="20">
        <f>MIN(X11,-(Calculator!$C$31*AND(X$4=Calculator!$C$8,Calculator!$C$31&lt;0)))</f>
        <v>0</v>
      </c>
      <c r="Y12" s="20">
        <f>MIN(Y11,-(Calculator!$C$31*AND(Y$4=Calculator!$C$8,Calculator!$C$31&lt;0)))</f>
        <v>0</v>
      </c>
      <c r="Z12" s="20">
        <f>MIN(Z11,-(Calculator!$C$31*AND(Z$4=Calculator!$C$8,Calculator!$C$31&lt;0)))</f>
        <v>0</v>
      </c>
      <c r="AA12" s="20">
        <f>MIN(AA11,-(Calculator!$C$31*AND(AA$4=Calculator!$C$8,Calculator!$C$31&lt;0)))</f>
        <v>0</v>
      </c>
      <c r="AB12" s="20">
        <f>MIN(AB11,-(Calculator!$C$31*AND(AB$4=Calculator!$C$8,Calculator!$C$31&lt;0)))</f>
        <v>0</v>
      </c>
      <c r="AC12" s="20">
        <f>MIN(AC11,-(Calculator!$C$31*AND(AC$4=Calculator!$C$8,Calculator!$C$31&lt;0)))</f>
        <v>0</v>
      </c>
      <c r="AD12" s="20">
        <f>MIN(AD11,-(Calculator!$C$31*AND(AD$4=Calculator!$C$8,Calculator!$C$31&lt;0)))</f>
        <v>0</v>
      </c>
      <c r="AE12" s="20">
        <f>MIN(AE11,-(Calculator!$C$31*AND(AE$4=Calculator!$C$8,Calculator!$C$31&lt;0)))</f>
        <v>0</v>
      </c>
      <c r="AF12" s="20">
        <f>MIN(AF11,-(Calculator!$C$31*AND(AF$4=Calculator!$C$8,Calculator!$C$31&lt;0)))</f>
        <v>0</v>
      </c>
      <c r="AG12" s="20">
        <f>MIN(AG11,-(Calculator!$C$31*AND(AG$4=Calculator!$C$8,Calculator!$C$31&lt;0)))</f>
        <v>0</v>
      </c>
      <c r="AH12" s="20">
        <f>MIN(AH11,-(Calculator!$C$31*AND(AH$4=Calculator!$C$8,Calculator!$C$31&lt;0)))</f>
        <v>0</v>
      </c>
      <c r="AI12" s="20">
        <f>MIN(AI11,-(Calculator!$C$31*AND(AI$4=Calculator!$C$8,Calculator!$C$31&lt;0)))</f>
        <v>0</v>
      </c>
      <c r="AJ12" s="20">
        <f>MIN(AJ11,-(Calculator!$C$31*AND(AJ$4=Calculator!$C$8,Calculator!$C$31&lt;0)))</f>
        <v>0</v>
      </c>
      <c r="AK12" s="20">
        <f>MIN(AK11,-(Calculator!$C$31*AND(AK$4=Calculator!$C$8,Calculator!$C$31&lt;0)))</f>
        <v>0</v>
      </c>
      <c r="AL12" s="20">
        <f>MIN(AL11,-(Calculator!$C$31*AND(AL$4=Calculator!$C$8,Calculator!$C$31&lt;0)))</f>
        <v>0</v>
      </c>
    </row>
    <row r="13" spans="2:38" x14ac:dyDescent="0.3">
      <c r="B13" s="12" t="s">
        <v>155</v>
      </c>
      <c r="C13" s="12"/>
      <c r="D13" s="105">
        <f>D11-D12</f>
        <v>0</v>
      </c>
      <c r="E13" s="105">
        <f t="shared" ref="E13:AL13" si="5">E11-E12</f>
        <v>0</v>
      </c>
      <c r="F13" s="105">
        <f t="shared" si="5"/>
        <v>0</v>
      </c>
      <c r="G13" s="105">
        <f t="shared" si="5"/>
        <v>0</v>
      </c>
      <c r="H13" s="105">
        <f t="shared" si="5"/>
        <v>0</v>
      </c>
      <c r="I13" s="105">
        <f t="shared" si="5"/>
        <v>0</v>
      </c>
      <c r="J13" s="105">
        <f t="shared" si="5"/>
        <v>0</v>
      </c>
      <c r="K13" s="105">
        <f t="shared" si="5"/>
        <v>0</v>
      </c>
      <c r="L13" s="105">
        <f t="shared" si="5"/>
        <v>0</v>
      </c>
      <c r="M13" s="105">
        <f t="shared" si="5"/>
        <v>0</v>
      </c>
      <c r="N13" s="105">
        <f t="shared" si="5"/>
        <v>0</v>
      </c>
      <c r="O13" s="105">
        <f t="shared" si="5"/>
        <v>0</v>
      </c>
      <c r="P13" s="105">
        <f t="shared" si="5"/>
        <v>0</v>
      </c>
      <c r="Q13" s="105">
        <f t="shared" si="5"/>
        <v>0</v>
      </c>
      <c r="R13" s="105">
        <f t="shared" si="5"/>
        <v>0</v>
      </c>
      <c r="S13" s="105">
        <f t="shared" si="5"/>
        <v>0</v>
      </c>
      <c r="T13" s="105">
        <f t="shared" si="5"/>
        <v>0</v>
      </c>
      <c r="U13" s="105">
        <f t="shared" si="5"/>
        <v>0</v>
      </c>
      <c r="V13" s="105">
        <f t="shared" si="5"/>
        <v>0</v>
      </c>
      <c r="W13" s="105">
        <f t="shared" si="5"/>
        <v>0</v>
      </c>
      <c r="X13" s="105">
        <f t="shared" si="5"/>
        <v>0</v>
      </c>
      <c r="Y13" s="105">
        <f t="shared" si="5"/>
        <v>0</v>
      </c>
      <c r="Z13" s="105">
        <f t="shared" si="5"/>
        <v>0</v>
      </c>
      <c r="AA13" s="105">
        <f t="shared" si="5"/>
        <v>0</v>
      </c>
      <c r="AB13" s="105">
        <f t="shared" si="5"/>
        <v>0</v>
      </c>
      <c r="AC13" s="105">
        <f t="shared" si="5"/>
        <v>0</v>
      </c>
      <c r="AD13" s="105">
        <f t="shared" si="5"/>
        <v>0</v>
      </c>
      <c r="AE13" s="105">
        <f t="shared" si="5"/>
        <v>0</v>
      </c>
      <c r="AF13" s="105">
        <f t="shared" si="5"/>
        <v>0</v>
      </c>
      <c r="AG13" s="105">
        <f t="shared" si="5"/>
        <v>0</v>
      </c>
      <c r="AH13" s="105">
        <f t="shared" si="5"/>
        <v>0</v>
      </c>
      <c r="AI13" s="105">
        <f t="shared" si="5"/>
        <v>0</v>
      </c>
      <c r="AJ13" s="105">
        <f t="shared" si="5"/>
        <v>0</v>
      </c>
      <c r="AK13" s="105">
        <f t="shared" si="5"/>
        <v>0</v>
      </c>
      <c r="AL13" s="105">
        <f t="shared" si="5"/>
        <v>0</v>
      </c>
    </row>
    <row r="14" spans="2:38" x14ac:dyDescent="0.3">
      <c r="B14" s="4" t="s">
        <v>34</v>
      </c>
      <c r="D14" s="20">
        <f>AND(D$4&gt;=Calculator!$C$8, D$4&lt;=Calculator!$C$8+Calculator!$C$39)*D$5*SUMIFS(Lookup!$C$20:$AM$20, Lookup!$C$12:$AM$12, D$4)/100</f>
        <v>0</v>
      </c>
      <c r="E14" s="20">
        <f>AND(E$4&gt;=Calculator!$C$8, E$4&lt;=Calculator!$C$8+Calculator!$C$39)*E$5*SUMIFS(Lookup!$C$20:$AM$20, Lookup!$C$12:$AM$12, E$4)/100</f>
        <v>0</v>
      </c>
      <c r="F14" s="20">
        <f>AND(F$4&gt;=Calculator!$C$8, F$4&lt;=Calculator!$C$8+Calculator!$C$39)*F$5*SUMIFS(Lookup!$C$20:$AM$20, Lookup!$C$12:$AM$12, F$4)/100</f>
        <v>0</v>
      </c>
      <c r="G14" s="20">
        <f>AND(G$4&gt;=Calculator!$C$8, G$4&lt;=Calculator!$C$8+Calculator!$C$39)*G$5*SUMIFS(Lookup!$C$20:$AM$20, Lookup!$C$12:$AM$12, G$4)/100</f>
        <v>0</v>
      </c>
      <c r="H14" s="20">
        <f>AND(H$4&gt;=Calculator!$C$8, H$4&lt;=Calculator!$C$8+Calculator!$C$39)*H$5*SUMIFS(Lookup!$C$20:$AM$20, Lookup!$C$12:$AM$12, H$4)/100</f>
        <v>0</v>
      </c>
      <c r="I14" s="20">
        <f>AND(I$4&gt;=Calculator!$C$8, I$4&lt;=Calculator!$C$8+Calculator!$C$39)*I$5*SUMIFS(Lookup!$C$20:$AM$20, Lookup!$C$12:$AM$12, I$4)/100</f>
        <v>0</v>
      </c>
      <c r="J14" s="20">
        <f>AND(J$4&gt;=Calculator!$C$8, J$4&lt;=Calculator!$C$8+Calculator!$C$39)*J$5*SUMIFS(Lookup!$C$20:$AM$20, Lookup!$C$12:$AM$12, J$4)/100</f>
        <v>0</v>
      </c>
      <c r="K14" s="20">
        <f>AND(K$4&gt;=Calculator!$C$8, K$4&lt;=Calculator!$C$8+Calculator!$C$39)*K$5*SUMIFS(Lookup!$C$20:$AM$20, Lookup!$C$12:$AM$12, K$4)/100</f>
        <v>0</v>
      </c>
      <c r="L14" s="20">
        <f>AND(L$4&gt;=Calculator!$C$8, L$4&lt;=Calculator!$C$8+Calculator!$C$39)*L$5*SUMIFS(Lookup!$C$20:$AM$20, Lookup!$C$12:$AM$12, L$4)/100</f>
        <v>0</v>
      </c>
      <c r="M14" s="20">
        <f>AND(M$4&gt;=Calculator!$C$8, M$4&lt;=Calculator!$C$8+Calculator!$C$39)*M$5*SUMIFS(Lookup!$C$20:$AM$20, Lookup!$C$12:$AM$12, M$4)/100</f>
        <v>0</v>
      </c>
      <c r="N14" s="20">
        <f>AND(N$4&gt;=Calculator!$C$8, N$4&lt;=Calculator!$C$8+Calculator!$C$39)*N$5*SUMIFS(Lookup!$C$20:$AM$20, Lookup!$C$12:$AM$12, N$4)/100</f>
        <v>0</v>
      </c>
      <c r="O14" s="20">
        <f>AND(O$4&gt;=Calculator!$C$8, O$4&lt;=Calculator!$C$8+Calculator!$C$39)*O$5*SUMIFS(Lookup!$C$20:$AM$20, Lookup!$C$12:$AM$12, O$4)/100</f>
        <v>0</v>
      </c>
      <c r="P14" s="20">
        <f>AND(P$4&gt;=Calculator!$C$8, P$4&lt;=Calculator!$C$8+Calculator!$C$39)*P$5*SUMIFS(Lookup!$C$20:$AM$20, Lookup!$C$12:$AM$12, P$4)/100</f>
        <v>0</v>
      </c>
      <c r="Q14" s="20">
        <f>AND(Q$4&gt;=Calculator!$C$8, Q$4&lt;=Calculator!$C$8+Calculator!$C$39)*Q$5*SUMIFS(Lookup!$C$20:$AM$20, Lookup!$C$12:$AM$12, Q$4)/100</f>
        <v>0</v>
      </c>
      <c r="R14" s="20">
        <f>AND(R$4&gt;=Calculator!$C$8, R$4&lt;=Calculator!$C$8+Calculator!$C$39)*R$5*SUMIFS(Lookup!$C$20:$AM$20, Lookup!$C$12:$AM$12, R$4)/100</f>
        <v>0</v>
      </c>
      <c r="S14" s="20">
        <f>AND(S$4&gt;=Calculator!$C$8, S$4&lt;=Calculator!$C$8+Calculator!$C$39)*S$5*SUMIFS(Lookup!$C$20:$AM$20, Lookup!$C$12:$AM$12, S$4)/100</f>
        <v>0</v>
      </c>
      <c r="T14" s="20">
        <f>AND(T$4&gt;=Calculator!$C$8, T$4&lt;=Calculator!$C$8+Calculator!$C$39)*T$5*SUMIFS(Lookup!$C$20:$AM$20, Lookup!$C$12:$AM$12, T$4)/100</f>
        <v>0</v>
      </c>
      <c r="U14" s="20">
        <f>AND(U$4&gt;=Calculator!$C$8, U$4&lt;=Calculator!$C$8+Calculator!$C$39)*U$5*SUMIFS(Lookup!$C$20:$AM$20, Lookup!$C$12:$AM$12, U$4)/100</f>
        <v>0</v>
      </c>
      <c r="V14" s="20">
        <f>AND(V$4&gt;=Calculator!$C$8, V$4&lt;=Calculator!$C$8+Calculator!$C$39)*V$5*SUMIFS(Lookup!$C$20:$AM$20, Lookup!$C$12:$AM$12, V$4)/100</f>
        <v>0</v>
      </c>
      <c r="W14" s="20">
        <f>AND(W$4&gt;=Calculator!$C$8, W$4&lt;=Calculator!$C$8+Calculator!$C$39)*W$5*SUMIFS(Lookup!$C$20:$AM$20, Lookup!$C$12:$AM$12, W$4)/100</f>
        <v>0</v>
      </c>
      <c r="X14" s="20">
        <f>AND(X$4&gt;=Calculator!$C$8, X$4&lt;=Calculator!$C$8+Calculator!$C$39)*X$5*SUMIFS(Lookup!$C$20:$AM$20, Lookup!$C$12:$AM$12, X$4)/100</f>
        <v>0</v>
      </c>
      <c r="Y14" s="20">
        <f>AND(Y$4&gt;=Calculator!$C$8, Y$4&lt;=Calculator!$C$8+Calculator!$C$39)*Y$5*SUMIFS(Lookup!$C$20:$AM$20, Lookup!$C$12:$AM$12, Y$4)/100</f>
        <v>0</v>
      </c>
      <c r="Z14" s="20">
        <f>AND(Z$4&gt;=Calculator!$C$8, Z$4&lt;=Calculator!$C$8+Calculator!$C$39)*Z$5*SUMIFS(Lookup!$C$20:$AM$20, Lookup!$C$12:$AM$12, Z$4)/100</f>
        <v>0</v>
      </c>
      <c r="AA14" s="20">
        <f>AND(AA$4&gt;=Calculator!$C$8, AA$4&lt;=Calculator!$C$8+Calculator!$C$39)*AA$5*SUMIFS(Lookup!$C$20:$AM$20, Lookup!$C$12:$AM$12, AA$4)/100</f>
        <v>0</v>
      </c>
      <c r="AB14" s="20">
        <f>AND(AB$4&gt;=Calculator!$C$8, AB$4&lt;=Calculator!$C$8+Calculator!$C$39)*AB$5*SUMIFS(Lookup!$C$20:$AM$20, Lookup!$C$12:$AM$12, AB$4)/100</f>
        <v>0</v>
      </c>
      <c r="AC14" s="20">
        <f>AND(AC$4&gt;=Calculator!$C$8, AC$4&lt;=Calculator!$C$8+Calculator!$C$39)*AC$5*SUMIFS(Lookup!$C$20:$AM$20, Lookup!$C$12:$AM$12, AC$4)/100</f>
        <v>0</v>
      </c>
      <c r="AD14" s="20">
        <f>AND(AD$4&gt;=Calculator!$C$8, AD$4&lt;=Calculator!$C$8+Calculator!$C$39)*AD$5*SUMIFS(Lookup!$C$20:$AM$20, Lookup!$C$12:$AM$12, AD$4)/100</f>
        <v>0</v>
      </c>
      <c r="AE14" s="20">
        <f>AND(AE$4&gt;=Calculator!$C$8, AE$4&lt;=Calculator!$C$8+Calculator!$C$39)*AE$5*SUMIFS(Lookup!$C$20:$AM$20, Lookup!$C$12:$AM$12, AE$4)/100</f>
        <v>0</v>
      </c>
      <c r="AF14" s="20">
        <f>AND(AF$4&gt;=Calculator!$C$8, AF$4&lt;=Calculator!$C$8+Calculator!$C$39)*AF$5*SUMIFS(Lookup!$C$20:$AM$20, Lookup!$C$12:$AM$12, AF$4)/100</f>
        <v>0</v>
      </c>
      <c r="AG14" s="20">
        <f>AND(AG$4&gt;=Calculator!$C$8, AG$4&lt;=Calculator!$C$8+Calculator!$C$39)*AG$5*SUMIFS(Lookup!$C$20:$AM$20, Lookup!$C$12:$AM$12, AG$4)/100</f>
        <v>0</v>
      </c>
      <c r="AH14" s="20">
        <f>AND(AH$4&gt;=Calculator!$C$8, AH$4&lt;=Calculator!$C$8+Calculator!$C$39)*AH$5*SUMIFS(Lookup!$C$20:$AM$20, Lookup!$C$12:$AM$12, AH$4)/100</f>
        <v>0</v>
      </c>
      <c r="AI14" s="20">
        <f>AND(AI$4&gt;=Calculator!$C$8, AI$4&lt;=Calculator!$C$8+Calculator!$C$39)*AI$5*SUMIFS(Lookup!$C$20:$AM$20, Lookup!$C$12:$AM$12, AI$4)/100</f>
        <v>0</v>
      </c>
      <c r="AJ14" s="20">
        <f>AND(AJ$4&gt;=Calculator!$C$8, AJ$4&lt;=Calculator!$C$8+Calculator!$C$39)*AJ$5*SUMIFS(Lookup!$C$20:$AM$20, Lookup!$C$12:$AM$12, AJ$4)/100</f>
        <v>0</v>
      </c>
      <c r="AK14" s="20">
        <f>AND(AK$4&gt;=Calculator!$C$8, AK$4&lt;=Calculator!$C$8+Calculator!$C$39)*AK$5*SUMIFS(Lookup!$C$20:$AM$20, Lookup!$C$12:$AM$12, AK$4)/100</f>
        <v>0</v>
      </c>
      <c r="AL14" s="20">
        <f>AND(AL$4&gt;=Calculator!$C$8, AL$4&lt;=Calculator!$C$8+Calculator!$C$39)*AL$5*SUMIFS(Lookup!$C$20:$AM$20, Lookup!$C$12:$AM$12, AL$4)/100</f>
        <v>0</v>
      </c>
    </row>
    <row r="17" spans="2:9" x14ac:dyDescent="0.3">
      <c r="D17" s="78"/>
    </row>
    <row r="18" spans="2:9" ht="14.5" x14ac:dyDescent="0.35">
      <c r="B18" s="17"/>
    </row>
    <row r="19" spans="2:9" x14ac:dyDescent="0.3">
      <c r="D19" s="90"/>
    </row>
    <row r="21" spans="2:9" x14ac:dyDescent="0.3">
      <c r="D21" s="27"/>
      <c r="E21" s="27"/>
      <c r="F21" s="27"/>
      <c r="G21" s="27"/>
      <c r="H21" s="27"/>
      <c r="I21" s="2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7AF1-3D15-4F4E-AF01-F253F2D4F451}">
  <sheetPr codeName="Sheet6">
    <tabColor theme="8" tint="0.79998168889431442"/>
  </sheetPr>
  <dimension ref="B1:AD101"/>
  <sheetViews>
    <sheetView showGridLines="0" zoomScaleNormal="100" workbookViewId="0"/>
  </sheetViews>
  <sheetFormatPr defaultRowHeight="14.5" x14ac:dyDescent="0.35"/>
  <cols>
    <col min="1" max="1" width="2.54296875" customWidth="1"/>
    <col min="2" max="4" width="20.54296875" customWidth="1"/>
    <col min="5" max="5" width="13.7265625" customWidth="1"/>
    <col min="6" max="6" width="13" customWidth="1"/>
    <col min="8" max="8" width="12.7265625" customWidth="1"/>
    <col min="37" max="39" width="5.54296875" bestFit="1" customWidth="1"/>
  </cols>
  <sheetData>
    <row r="1" spans="2:8" ht="4" customHeight="1" x14ac:dyDescent="0.35"/>
    <row r="2" spans="2:8" x14ac:dyDescent="0.35">
      <c r="B2" s="17"/>
      <c r="C2" s="15" t="s">
        <v>10</v>
      </c>
      <c r="D2" s="15" t="s">
        <v>31</v>
      </c>
    </row>
    <row r="3" spans="2:8" x14ac:dyDescent="0.35">
      <c r="B3" s="71" t="s">
        <v>35</v>
      </c>
      <c r="C3" s="74">
        <v>-0.25974059872860528</v>
      </c>
      <c r="D3" s="72">
        <v>-2039981.3919476997</v>
      </c>
    </row>
    <row r="4" spans="2:8" x14ac:dyDescent="0.35">
      <c r="B4" s="71" t="s">
        <v>15</v>
      </c>
      <c r="C4" s="74">
        <v>-0.17518572784795045</v>
      </c>
      <c r="D4" s="72">
        <v>-1655659.5469545578</v>
      </c>
    </row>
    <row r="5" spans="2:8" x14ac:dyDescent="0.35">
      <c r="B5" s="71" t="s">
        <v>30</v>
      </c>
      <c r="C5" s="74">
        <v>-0.1972280063855589</v>
      </c>
      <c r="D5" s="72">
        <v>-1863978.5084689215</v>
      </c>
    </row>
    <row r="7" spans="2:8" x14ac:dyDescent="0.35">
      <c r="C7" s="73">
        <v>-1</v>
      </c>
    </row>
    <row r="9" spans="2:8" x14ac:dyDescent="0.35">
      <c r="C9" t="s">
        <v>35</v>
      </c>
      <c r="E9" t="s">
        <v>15</v>
      </c>
      <c r="G9" t="s">
        <v>30</v>
      </c>
    </row>
    <row r="10" spans="2:8" x14ac:dyDescent="0.35">
      <c r="C10" s="83" t="s">
        <v>10</v>
      </c>
      <c r="D10" s="83" t="s">
        <v>31</v>
      </c>
      <c r="E10" s="83" t="s">
        <v>10</v>
      </c>
      <c r="F10" s="83" t="s">
        <v>31</v>
      </c>
      <c r="G10" s="83" t="s">
        <v>10</v>
      </c>
      <c r="H10" s="83" t="s">
        <v>31</v>
      </c>
    </row>
    <row r="11" spans="2:8" x14ac:dyDescent="0.35">
      <c r="B11" s="4" t="s">
        <v>0</v>
      </c>
      <c r="C11" s="76">
        <v>-5.9501612669855597E-2</v>
      </c>
      <c r="D11" s="101">
        <v>964270.86290395004</v>
      </c>
      <c r="E11" s="76">
        <v>-2.834598360975427E-2</v>
      </c>
      <c r="F11" s="101">
        <v>425341.81861866498</v>
      </c>
      <c r="G11" s="76">
        <v>-3.9526498396090466E-2</v>
      </c>
      <c r="H11" s="101">
        <v>640558.28078889998</v>
      </c>
    </row>
    <row r="12" spans="2:8" x14ac:dyDescent="0.35">
      <c r="B12" s="4" t="s">
        <v>36</v>
      </c>
      <c r="C12" s="76">
        <v>-9.2510377273055375E-2</v>
      </c>
      <c r="D12" s="101">
        <v>1499204.0941077201</v>
      </c>
      <c r="E12" s="76">
        <v>-9.4360584818516446E-2</v>
      </c>
      <c r="F12" s="101">
        <v>1415914.9777684</v>
      </c>
      <c r="G12" s="76">
        <v>-9.2510377273055375E-2</v>
      </c>
      <c r="H12" s="101">
        <v>1499204.0941077201</v>
      </c>
    </row>
    <row r="17" spans="2:20" x14ac:dyDescent="0.35">
      <c r="B17" t="s">
        <v>37</v>
      </c>
      <c r="C17" s="84" t="s">
        <v>15</v>
      </c>
      <c r="D17" s="83"/>
      <c r="G17" s="84" t="s">
        <v>30</v>
      </c>
    </row>
    <row r="18" spans="2:20" x14ac:dyDescent="0.35">
      <c r="B18" s="4" t="s">
        <v>38</v>
      </c>
      <c r="C18" s="102">
        <f>D11</f>
        <v>964270.86290395004</v>
      </c>
      <c r="D18" s="101">
        <f t="shared" ref="D18:D20" si="0">C18-C19</f>
        <v>0</v>
      </c>
      <c r="G18" s="102">
        <f>C18</f>
        <v>964270.86290395004</v>
      </c>
    </row>
    <row r="19" spans="2:20" x14ac:dyDescent="0.35">
      <c r="B19" s="3" t="s">
        <v>39</v>
      </c>
      <c r="C19" s="102">
        <f>D11</f>
        <v>964270.86290395004</v>
      </c>
      <c r="D19" s="101">
        <f t="shared" si="0"/>
        <v>60588.203855495085</v>
      </c>
      <c r="E19" s="82">
        <v>0.06</v>
      </c>
      <c r="F19" s="85">
        <f>E19*(1-MIN(Calculator!C$37,Calculator!C$38))</f>
        <v>0.06</v>
      </c>
      <c r="G19" s="102">
        <v>909736.20624923299</v>
      </c>
      <c r="H19" s="101">
        <f>G19-G18</f>
        <v>-54534.656654717051</v>
      </c>
    </row>
    <row r="20" spans="2:20" x14ac:dyDescent="0.35">
      <c r="B20" s="3" t="s">
        <v>40</v>
      </c>
      <c r="C20" s="102">
        <v>903682.65904845495</v>
      </c>
      <c r="D20" s="101">
        <f t="shared" si="0"/>
        <v>242352.81542197999</v>
      </c>
      <c r="E20" s="82">
        <v>0.24</v>
      </c>
      <c r="F20" s="85">
        <f>E20*(1-MIN(Calculator!C$37,Calculator!C$38))</f>
        <v>0.24</v>
      </c>
      <c r="G20" s="102">
        <v>909736.20624923299</v>
      </c>
      <c r="H20" s="101">
        <f>G20-G19</f>
        <v>0</v>
      </c>
    </row>
    <row r="21" spans="2:20" x14ac:dyDescent="0.35">
      <c r="B21" s="3" t="s">
        <v>41</v>
      </c>
      <c r="C21" s="102">
        <v>661329.84362647496</v>
      </c>
      <c r="D21" s="101">
        <f>C21-C22</f>
        <v>100980.33975915797</v>
      </c>
      <c r="E21" s="82">
        <v>0.1</v>
      </c>
      <c r="F21" s="85">
        <f>E21*(1-MIN(Calculator!C$37,Calculator!C$38))</f>
        <v>0.1</v>
      </c>
      <c r="G21" s="102">
        <v>691597.57963036397</v>
      </c>
      <c r="H21" s="101">
        <f>G21-G20</f>
        <v>-218138.62661886902</v>
      </c>
    </row>
    <row r="22" spans="2:20" x14ac:dyDescent="0.35">
      <c r="B22" s="3" t="s">
        <v>42</v>
      </c>
      <c r="C22" s="102">
        <v>560349.50386731699</v>
      </c>
      <c r="D22" s="101">
        <f>C22-C23</f>
        <v>100980.33975915902</v>
      </c>
      <c r="E22" s="82">
        <v>0.1</v>
      </c>
      <c r="F22" s="85">
        <f>E22*(1-MIN(Calculator!C$37,Calculator!C$38))</f>
        <v>0.1</v>
      </c>
      <c r="G22" s="102">
        <v>665089.39154008694</v>
      </c>
      <c r="H22" s="101">
        <f>G22-G21</f>
        <v>-26508.188090277021</v>
      </c>
    </row>
    <row r="23" spans="2:20" x14ac:dyDescent="0.35">
      <c r="B23" s="3" t="s">
        <v>43</v>
      </c>
      <c r="C23" s="102">
        <v>459369.16410815797</v>
      </c>
      <c r="G23" s="102">
        <v>640558.28078889998</v>
      </c>
      <c r="H23" s="101">
        <f>G23-G22</f>
        <v>-24531.110751186963</v>
      </c>
      <c r="T23" t="s">
        <v>44</v>
      </c>
    </row>
    <row r="24" spans="2:20" x14ac:dyDescent="0.35">
      <c r="B24" t="s">
        <v>45</v>
      </c>
      <c r="C24" s="102">
        <v>358388.824349</v>
      </c>
      <c r="D24" s="101">
        <f>C23-C24</f>
        <v>100980.33975915797</v>
      </c>
      <c r="F24" s="85">
        <f>1-SUM(F19:F22)</f>
        <v>0.5</v>
      </c>
    </row>
    <row r="27" spans="2:20" x14ac:dyDescent="0.35">
      <c r="B27" t="s">
        <v>46</v>
      </c>
      <c r="C27" s="84" t="s">
        <v>15</v>
      </c>
      <c r="D27" s="83"/>
    </row>
    <row r="28" spans="2:20" x14ac:dyDescent="0.35">
      <c r="B28" s="4" t="s">
        <v>38</v>
      </c>
      <c r="C28" s="102">
        <v>964270.86290395004</v>
      </c>
      <c r="D28" s="101">
        <f t="shared" ref="D28:D31" si="1">C28-C29</f>
        <v>0</v>
      </c>
      <c r="E28" s="82">
        <v>0.06</v>
      </c>
      <c r="F28" s="85">
        <f>E28*(1-MIN(Calculator!C$37,Calculator!C$38))</f>
        <v>0.06</v>
      </c>
    </row>
    <row r="29" spans="2:20" x14ac:dyDescent="0.35">
      <c r="B29" s="3" t="s">
        <v>39</v>
      </c>
      <c r="C29" s="102">
        <f>C28</f>
        <v>964270.86290395004</v>
      </c>
      <c r="D29" s="101">
        <f t="shared" si="1"/>
        <v>71280.23982999404</v>
      </c>
      <c r="E29" s="82">
        <v>0.24</v>
      </c>
      <c r="F29" s="85">
        <f>E29*(1-MIN(Calculator!C$37,Calculator!C$38))</f>
        <v>0.24</v>
      </c>
    </row>
    <row r="30" spans="2:20" x14ac:dyDescent="0.35">
      <c r="B30" s="3" t="s">
        <v>40</v>
      </c>
      <c r="C30" s="102">
        <v>892990.623073956</v>
      </c>
      <c r="D30" s="101">
        <f t="shared" si="1"/>
        <v>285120.95931997697</v>
      </c>
      <c r="E30" s="82">
        <v>0.1</v>
      </c>
      <c r="F30" s="85">
        <f>E30*(1-MIN(Calculator!C$37,Calculator!C$38))</f>
        <v>0.1</v>
      </c>
    </row>
    <row r="31" spans="2:20" x14ac:dyDescent="0.35">
      <c r="B31" s="3" t="s">
        <v>41</v>
      </c>
      <c r="C31" s="102">
        <v>607869.66375397902</v>
      </c>
      <c r="D31" s="101">
        <f t="shared" si="1"/>
        <v>118800.39971665601</v>
      </c>
      <c r="E31" s="82">
        <v>0.1</v>
      </c>
      <c r="F31" s="85">
        <f>E31*(1-MIN(Calculator!C$37,Calculator!C$38))</f>
        <v>0.1</v>
      </c>
    </row>
    <row r="32" spans="2:20" x14ac:dyDescent="0.35">
      <c r="B32" s="3" t="s">
        <v>42</v>
      </c>
      <c r="C32" s="102">
        <v>489069.26403732301</v>
      </c>
      <c r="D32" s="101">
        <f>C32-C33</f>
        <v>118800.399716657</v>
      </c>
    </row>
    <row r="33" spans="2:30" x14ac:dyDescent="0.35">
      <c r="B33" s="3" t="s">
        <v>43</v>
      </c>
      <c r="C33" s="102">
        <v>370268.86432066601</v>
      </c>
      <c r="D33" s="103"/>
      <c r="F33" s="85">
        <f>1-SUM(F28:F31)</f>
        <v>0.5</v>
      </c>
    </row>
    <row r="34" spans="2:30" x14ac:dyDescent="0.35">
      <c r="B34" t="s">
        <v>45</v>
      </c>
      <c r="C34" s="102">
        <v>132668.064887352</v>
      </c>
      <c r="D34" s="101">
        <f>C33-C34</f>
        <v>237600.79943331401</v>
      </c>
      <c r="AB34" s="87"/>
    </row>
    <row r="39" spans="2:30" x14ac:dyDescent="0.35">
      <c r="T39" t="s">
        <v>47</v>
      </c>
    </row>
    <row r="41" spans="2:30" x14ac:dyDescent="0.35">
      <c r="C41" t="s">
        <v>30</v>
      </c>
      <c r="AD41">
        <f>100-AD42</f>
        <v>65.900000000000006</v>
      </c>
    </row>
    <row r="42" spans="2:30" x14ac:dyDescent="0.35">
      <c r="B42" t="s">
        <v>48</v>
      </c>
      <c r="C42">
        <v>0</v>
      </c>
      <c r="AD42">
        <f>25.6+8.5</f>
        <v>34.1</v>
      </c>
    </row>
    <row r="43" spans="2:30" x14ac:dyDescent="0.35">
      <c r="B43" t="s">
        <v>49</v>
      </c>
      <c r="C43">
        <v>0</v>
      </c>
    </row>
    <row r="44" spans="2:30" x14ac:dyDescent="0.35">
      <c r="B44" s="4" t="s">
        <v>50</v>
      </c>
      <c r="C44" s="77">
        <f>Lookup!C13</f>
        <v>0.3</v>
      </c>
      <c r="D44" s="86"/>
    </row>
    <row r="45" spans="2:30" x14ac:dyDescent="0.35">
      <c r="B45" s="3" t="s">
        <v>51</v>
      </c>
      <c r="C45" s="77">
        <f>Lookup!C14</f>
        <v>0</v>
      </c>
      <c r="D45" s="86">
        <f>C45/SUM(C$44:C44)</f>
        <v>0</v>
      </c>
    </row>
    <row r="46" spans="2:30" x14ac:dyDescent="0.35">
      <c r="B46" s="3" t="s">
        <v>52</v>
      </c>
      <c r="C46" s="77">
        <f>Lookup!C15</f>
        <v>0</v>
      </c>
      <c r="D46" s="86">
        <f>C46/SUM(C$44)</f>
        <v>0</v>
      </c>
    </row>
    <row r="47" spans="2:30" x14ac:dyDescent="0.35">
      <c r="B47" s="4" t="s">
        <v>53</v>
      </c>
      <c r="C47" s="77">
        <f>Lookup!C16-SUM(C44:C46)</f>
        <v>0.25000000000000006</v>
      </c>
      <c r="D47" s="86">
        <f>C47/SUM(C$44:C46)</f>
        <v>0.83333333333333359</v>
      </c>
    </row>
    <row r="48" spans="2:30" x14ac:dyDescent="0.35">
      <c r="B48" s="4" t="s">
        <v>54</v>
      </c>
      <c r="C48">
        <f>SUM(C44:C47)*4</f>
        <v>2.2000000000000002</v>
      </c>
      <c r="D48" s="86">
        <f>C48/SUM(C$44:C47)</f>
        <v>4</v>
      </c>
    </row>
    <row r="49" spans="2:4" x14ac:dyDescent="0.35">
      <c r="B49" s="4" t="s">
        <v>3</v>
      </c>
      <c r="C49" s="77">
        <f>SUM(C44:C48)</f>
        <v>2.75</v>
      </c>
      <c r="D49">
        <f>C49/C44-1</f>
        <v>8.1666666666666679</v>
      </c>
    </row>
    <row r="51" spans="2:4" x14ac:dyDescent="0.35">
      <c r="C51">
        <f>C52*0.85</f>
        <v>0.46750000000000003</v>
      </c>
    </row>
    <row r="52" spans="2:4" x14ac:dyDescent="0.35">
      <c r="C52">
        <v>0.55000000000000004</v>
      </c>
    </row>
    <row r="53" spans="2:4" x14ac:dyDescent="0.35">
      <c r="C53" s="77">
        <f>C49-C52</f>
        <v>2.2000000000000002</v>
      </c>
    </row>
    <row r="55" spans="2:4" x14ac:dyDescent="0.35">
      <c r="C55" t="s">
        <v>30</v>
      </c>
    </row>
    <row r="56" spans="2:4" x14ac:dyDescent="0.35">
      <c r="B56" t="s">
        <v>48</v>
      </c>
      <c r="C56">
        <v>0</v>
      </c>
    </row>
    <row r="57" spans="2:4" x14ac:dyDescent="0.35">
      <c r="B57" t="s">
        <v>49</v>
      </c>
      <c r="C57">
        <v>0</v>
      </c>
    </row>
    <row r="58" spans="2:4" x14ac:dyDescent="0.35">
      <c r="B58" s="4" t="s">
        <v>50</v>
      </c>
      <c r="C58" s="77">
        <f>C44</f>
        <v>0.3</v>
      </c>
    </row>
    <row r="59" spans="2:4" x14ac:dyDescent="0.35">
      <c r="B59" s="3" t="s">
        <v>51</v>
      </c>
      <c r="C59" s="77">
        <v>0</v>
      </c>
    </row>
    <row r="60" spans="2:4" x14ac:dyDescent="0.35">
      <c r="B60" s="3" t="s">
        <v>52</v>
      </c>
      <c r="C60" s="77">
        <v>0</v>
      </c>
    </row>
    <row r="61" spans="2:4" x14ac:dyDescent="0.35">
      <c r="B61" s="4" t="s">
        <v>53</v>
      </c>
      <c r="C61" s="77">
        <f>ROUND(C58*Calculator!$C$34/0.05,0)*0.05-C58</f>
        <v>0.25000000000000006</v>
      </c>
      <c r="D61" s="86">
        <f>C61/SUM(C$58:C60)</f>
        <v>0.83333333333333359</v>
      </c>
    </row>
    <row r="62" spans="2:4" x14ac:dyDescent="0.35">
      <c r="B62" s="4" t="s">
        <v>55</v>
      </c>
      <c r="C62">
        <f>SUM(C58:C61)*-0.15</f>
        <v>-8.2500000000000004E-2</v>
      </c>
      <c r="D62" s="86">
        <f>C62/SUM(C$58:C61)</f>
        <v>-0.15</v>
      </c>
    </row>
    <row r="63" spans="2:4" x14ac:dyDescent="0.35">
      <c r="B63" s="4" t="s">
        <v>3</v>
      </c>
      <c r="C63" s="77">
        <f>SUM(C58:C62)</f>
        <v>0.46750000000000003</v>
      </c>
    </row>
    <row r="64" spans="2:4" x14ac:dyDescent="0.35">
      <c r="B64" s="82"/>
    </row>
    <row r="65" spans="2:29" x14ac:dyDescent="0.35">
      <c r="B65" s="82"/>
    </row>
    <row r="66" spans="2:29" x14ac:dyDescent="0.35">
      <c r="B66" s="82"/>
    </row>
    <row r="67" spans="2:29" x14ac:dyDescent="0.35">
      <c r="B67" s="82"/>
    </row>
    <row r="68" spans="2:29" x14ac:dyDescent="0.35">
      <c r="B68" s="82"/>
    </row>
    <row r="69" spans="2:29" x14ac:dyDescent="0.35">
      <c r="B69" s="82"/>
      <c r="C69">
        <f>0.0055</f>
        <v>5.4999999999999997E-3</v>
      </c>
      <c r="F69">
        <f>0.007-0.0055</f>
        <v>1.5000000000000005E-3</v>
      </c>
    </row>
    <row r="70" spans="2:29" x14ac:dyDescent="0.35">
      <c r="B70" s="82"/>
      <c r="F70">
        <f>F69/2</f>
        <v>7.5000000000000023E-4</v>
      </c>
    </row>
    <row r="71" spans="2:29" x14ac:dyDescent="0.35">
      <c r="B71" s="82"/>
      <c r="C71" s="77">
        <f>ROUND(SUM(C58,C45)*Calculator!$C$34/0.05,0)*0.05</f>
        <v>0.55000000000000004</v>
      </c>
      <c r="D71">
        <f>C71*0.1</f>
        <v>5.5000000000000007E-2</v>
      </c>
    </row>
    <row r="72" spans="2:29" x14ac:dyDescent="0.35">
      <c r="B72" s="82"/>
      <c r="D72">
        <f>D71</f>
        <v>5.5000000000000007E-2</v>
      </c>
    </row>
    <row r="73" spans="2:29" x14ac:dyDescent="0.35">
      <c r="B73" s="82"/>
    </row>
    <row r="74" spans="2:29" x14ac:dyDescent="0.35">
      <c r="B74" s="82"/>
      <c r="D74">
        <f>SUM(C71:D72)*4</f>
        <v>2.6400000000000006</v>
      </c>
    </row>
    <row r="75" spans="2:29" x14ac:dyDescent="0.35">
      <c r="B75" s="82"/>
    </row>
    <row r="76" spans="2:29" x14ac:dyDescent="0.35">
      <c r="B76" s="82"/>
    </row>
    <row r="79" spans="2:29" x14ac:dyDescent="0.35">
      <c r="B79" s="4"/>
      <c r="C79" s="4"/>
      <c r="D79" s="6"/>
      <c r="E79" s="4"/>
      <c r="F79" s="4"/>
      <c r="G79" s="4"/>
      <c r="H79" s="4"/>
      <c r="I79" s="4"/>
      <c r="J79" s="4"/>
      <c r="K79" s="4"/>
      <c r="L79" s="4"/>
      <c r="M79" s="4"/>
      <c r="N79" s="4"/>
      <c r="S79" s="2"/>
    </row>
    <row r="80" spans="2:29" x14ac:dyDescent="0.35">
      <c r="B80" s="4"/>
      <c r="C80" s="4"/>
      <c r="D80" s="4"/>
      <c r="E80" s="4"/>
      <c r="F80" s="4"/>
      <c r="G80" s="4"/>
      <c r="H80" s="4"/>
      <c r="I80" s="4"/>
      <c r="J80" s="4"/>
      <c r="K80" s="4"/>
      <c r="L80" s="4"/>
      <c r="M80" s="4"/>
      <c r="N80" s="4"/>
      <c r="R80" s="4"/>
      <c r="S80" s="4"/>
      <c r="T80" s="4"/>
      <c r="U80" s="4"/>
      <c r="V80" s="4"/>
      <c r="W80" s="4"/>
      <c r="X80" s="4"/>
      <c r="Y80" s="4"/>
      <c r="Z80" s="4"/>
      <c r="AA80" s="4"/>
      <c r="AB80" s="4"/>
      <c r="AC80" s="4"/>
    </row>
    <row r="81" spans="2:17" x14ac:dyDescent="0.35">
      <c r="B81" s="78"/>
      <c r="C81" s="4"/>
      <c r="D81" s="4"/>
      <c r="E81" s="4"/>
      <c r="F81" s="4"/>
      <c r="G81" s="4"/>
      <c r="H81" s="4"/>
      <c r="I81" s="4"/>
      <c r="J81" s="4"/>
      <c r="K81" s="4"/>
      <c r="L81" s="4"/>
      <c r="M81" s="4"/>
      <c r="N81" s="4"/>
      <c r="Q81" s="78"/>
    </row>
    <row r="82" spans="2:17" x14ac:dyDescent="0.35">
      <c r="B82" s="78"/>
      <c r="C82" s="4"/>
      <c r="D82" s="4"/>
      <c r="E82" s="4"/>
      <c r="F82" s="4"/>
      <c r="G82" s="4"/>
      <c r="H82" s="4"/>
      <c r="I82" s="4"/>
      <c r="J82" s="4"/>
      <c r="K82" s="4"/>
      <c r="L82" s="4"/>
      <c r="M82" s="4"/>
      <c r="N82" s="4"/>
      <c r="Q82" s="78"/>
    </row>
    <row r="83" spans="2:17" x14ac:dyDescent="0.35">
      <c r="B83" s="47"/>
      <c r="C83" s="4"/>
      <c r="D83" s="4"/>
      <c r="E83" s="4"/>
      <c r="F83" s="4"/>
      <c r="G83" s="4"/>
      <c r="H83" s="4"/>
      <c r="I83" s="4"/>
      <c r="J83" s="4"/>
      <c r="K83" s="4"/>
      <c r="L83" s="4"/>
      <c r="M83" s="4"/>
      <c r="N83" s="4"/>
      <c r="Q83" s="47"/>
    </row>
    <row r="84" spans="2:17" x14ac:dyDescent="0.35">
      <c r="B84" s="47"/>
      <c r="C84" s="4"/>
      <c r="D84" s="4"/>
      <c r="E84" s="4"/>
      <c r="F84" s="4"/>
      <c r="G84" s="4"/>
      <c r="H84" s="4"/>
      <c r="I84" s="4"/>
      <c r="J84" s="4"/>
      <c r="K84" s="4"/>
      <c r="L84" s="4"/>
      <c r="M84" s="4"/>
      <c r="N84" s="4"/>
      <c r="Q84" s="47"/>
    </row>
    <row r="85" spans="2:17" x14ac:dyDescent="0.35">
      <c r="B85" s="47"/>
      <c r="C85" s="4"/>
      <c r="D85" s="4"/>
      <c r="E85" s="4"/>
      <c r="F85" s="4"/>
      <c r="G85" s="4"/>
      <c r="H85" s="4"/>
      <c r="I85" s="4"/>
      <c r="J85" s="4"/>
      <c r="K85" s="4"/>
      <c r="L85" s="4"/>
      <c r="M85" s="4"/>
      <c r="N85" s="4"/>
      <c r="Q85" s="47"/>
    </row>
    <row r="86" spans="2:17" x14ac:dyDescent="0.35">
      <c r="B86" s="47"/>
      <c r="C86" s="4"/>
      <c r="D86" s="4"/>
      <c r="E86" s="4"/>
      <c r="F86" s="4"/>
      <c r="G86" s="4"/>
      <c r="H86" s="4"/>
      <c r="I86" s="4"/>
      <c r="J86" s="4"/>
      <c r="K86" s="4"/>
      <c r="L86" s="4"/>
      <c r="M86" s="4"/>
      <c r="N86" s="4"/>
      <c r="Q86" s="47"/>
    </row>
    <row r="87" spans="2:17" x14ac:dyDescent="0.35">
      <c r="B87" s="47"/>
      <c r="C87" s="4"/>
      <c r="D87" s="4"/>
      <c r="E87" s="4"/>
      <c r="F87" s="4"/>
      <c r="G87" s="4"/>
      <c r="H87" s="4"/>
      <c r="I87" s="4"/>
      <c r="J87" s="4"/>
      <c r="K87" s="4"/>
      <c r="L87" s="4"/>
      <c r="M87" s="4"/>
      <c r="N87" s="4"/>
      <c r="Q87" s="47"/>
    </row>
    <row r="88" spans="2:17" x14ac:dyDescent="0.35">
      <c r="B88" s="47"/>
      <c r="C88" s="4"/>
      <c r="D88" s="4"/>
      <c r="E88" s="4"/>
      <c r="F88" s="4"/>
      <c r="G88" s="4"/>
      <c r="H88" s="4"/>
      <c r="I88" s="4"/>
      <c r="J88" s="4"/>
      <c r="K88" s="4"/>
      <c r="L88" s="4"/>
      <c r="M88" s="4"/>
      <c r="N88" s="4"/>
      <c r="Q88" s="47"/>
    </row>
    <row r="89" spans="2:17" x14ac:dyDescent="0.35">
      <c r="B89" s="47"/>
      <c r="C89" s="4"/>
      <c r="D89" s="4"/>
      <c r="E89" s="4"/>
      <c r="F89" s="4"/>
      <c r="G89" s="4"/>
      <c r="H89" s="4"/>
      <c r="I89" s="4"/>
      <c r="J89" s="4"/>
      <c r="K89" s="4"/>
      <c r="L89" s="4"/>
      <c r="M89" s="4"/>
      <c r="N89" s="4"/>
      <c r="Q89" s="47"/>
    </row>
    <row r="90" spans="2:17" x14ac:dyDescent="0.35">
      <c r="B90" s="47"/>
      <c r="C90" s="4"/>
      <c r="D90" s="4"/>
      <c r="E90" s="4"/>
      <c r="F90" s="4"/>
      <c r="G90" s="4"/>
      <c r="H90" s="4"/>
      <c r="I90" s="4"/>
      <c r="J90" s="4"/>
      <c r="K90" s="4"/>
      <c r="L90" s="4"/>
      <c r="M90" s="4"/>
      <c r="N90" s="4"/>
      <c r="Q90" s="47"/>
    </row>
    <row r="91" spans="2:17" x14ac:dyDescent="0.35">
      <c r="B91" s="47"/>
      <c r="C91" s="4"/>
      <c r="D91" s="4"/>
      <c r="E91" s="4"/>
      <c r="F91" s="4"/>
      <c r="G91" s="4"/>
      <c r="H91" s="4"/>
      <c r="I91" s="4"/>
      <c r="J91" s="4"/>
      <c r="K91" s="4"/>
      <c r="L91" s="4"/>
      <c r="M91" s="4"/>
      <c r="N91" s="4"/>
      <c r="Q91" s="47"/>
    </row>
    <row r="92" spans="2:17" x14ac:dyDescent="0.35">
      <c r="B92" s="47"/>
      <c r="C92" s="4"/>
      <c r="D92" s="4"/>
      <c r="E92" s="4"/>
      <c r="F92" s="4"/>
      <c r="G92" s="4"/>
      <c r="H92" s="4"/>
      <c r="I92" s="4"/>
      <c r="J92" s="4"/>
      <c r="K92" s="4"/>
      <c r="L92" s="4"/>
      <c r="M92" s="4"/>
      <c r="N92" s="4"/>
      <c r="Q92" s="47"/>
    </row>
    <row r="93" spans="2:17" x14ac:dyDescent="0.35">
      <c r="B93" s="47"/>
      <c r="C93" s="4"/>
      <c r="D93" s="4"/>
      <c r="E93" s="4"/>
      <c r="F93" s="4"/>
      <c r="G93" s="4"/>
      <c r="H93" s="4"/>
      <c r="I93" s="4"/>
      <c r="J93" s="4"/>
      <c r="K93" s="4"/>
      <c r="L93" s="4"/>
      <c r="M93" s="4"/>
      <c r="N93" s="4"/>
      <c r="Q93" s="47"/>
    </row>
    <row r="94" spans="2:17" x14ac:dyDescent="0.35">
      <c r="B94" s="47"/>
      <c r="C94" s="4"/>
      <c r="D94" s="4"/>
      <c r="E94" s="4"/>
      <c r="F94" s="4"/>
      <c r="G94" s="4"/>
      <c r="H94" s="4"/>
      <c r="I94" s="4"/>
      <c r="J94" s="4"/>
      <c r="K94" s="4"/>
      <c r="L94" s="4"/>
      <c r="M94" s="4"/>
      <c r="N94" s="4"/>
      <c r="Q94" s="47"/>
    </row>
    <row r="95" spans="2:17" x14ac:dyDescent="0.35">
      <c r="B95" s="47"/>
      <c r="C95" s="4"/>
      <c r="D95" s="4"/>
      <c r="E95" s="4"/>
      <c r="F95" s="4"/>
      <c r="G95" s="4"/>
      <c r="H95" s="4"/>
      <c r="I95" s="4"/>
      <c r="J95" s="4"/>
      <c r="K95" s="4"/>
      <c r="L95" s="4"/>
      <c r="M95" s="4"/>
      <c r="N95" s="4"/>
      <c r="Q95" s="47"/>
    </row>
    <row r="96" spans="2:17" x14ac:dyDescent="0.35">
      <c r="B96" s="47"/>
      <c r="C96" s="4"/>
      <c r="D96" s="4"/>
      <c r="E96" s="4"/>
      <c r="F96" s="4"/>
      <c r="G96" s="4"/>
      <c r="H96" s="4"/>
      <c r="I96" s="4"/>
      <c r="J96" s="4"/>
      <c r="K96" s="4"/>
      <c r="L96" s="4"/>
      <c r="M96" s="4"/>
      <c r="N96" s="4"/>
      <c r="Q96" s="47"/>
    </row>
    <row r="97" spans="2:17" x14ac:dyDescent="0.35">
      <c r="B97" s="47"/>
      <c r="C97" s="4"/>
      <c r="D97" s="4"/>
      <c r="E97" s="4"/>
      <c r="F97" s="4"/>
      <c r="G97" s="4"/>
      <c r="H97" s="4"/>
      <c r="I97" s="4"/>
      <c r="J97" s="4"/>
      <c r="K97" s="4"/>
      <c r="L97" s="4"/>
      <c r="M97" s="4"/>
      <c r="N97" s="4"/>
      <c r="Q97" s="47"/>
    </row>
    <row r="98" spans="2:17" x14ac:dyDescent="0.35">
      <c r="B98" s="47"/>
      <c r="C98" s="4"/>
      <c r="D98" s="4"/>
      <c r="E98" s="4"/>
      <c r="F98" s="4"/>
      <c r="G98" s="4"/>
      <c r="H98" s="4"/>
      <c r="I98" s="4"/>
      <c r="J98" s="4"/>
      <c r="K98" s="4"/>
      <c r="L98" s="4"/>
      <c r="M98" s="4"/>
      <c r="N98" s="4"/>
      <c r="Q98" s="47"/>
    </row>
    <row r="99" spans="2:17" x14ac:dyDescent="0.35">
      <c r="B99" s="47"/>
      <c r="C99" s="4"/>
      <c r="D99" s="4"/>
      <c r="E99" s="4"/>
      <c r="F99" s="4"/>
      <c r="G99" s="4"/>
      <c r="H99" s="4"/>
      <c r="I99" s="4"/>
      <c r="J99" s="4"/>
      <c r="K99" s="4"/>
      <c r="L99" s="4"/>
      <c r="M99" s="4"/>
      <c r="N99" s="4"/>
      <c r="Q99" s="47"/>
    </row>
    <row r="100" spans="2:17" x14ac:dyDescent="0.35">
      <c r="B100" s="47"/>
      <c r="C100" s="4"/>
      <c r="D100" s="4"/>
      <c r="E100" s="4"/>
      <c r="F100" s="4"/>
      <c r="G100" s="4"/>
      <c r="H100" s="4"/>
      <c r="I100" s="4"/>
      <c r="J100" s="4"/>
      <c r="K100" s="4"/>
      <c r="L100" s="4"/>
      <c r="M100" s="4"/>
      <c r="N100" s="4"/>
      <c r="Q100" s="47"/>
    </row>
    <row r="101" spans="2:17" x14ac:dyDescent="0.35">
      <c r="B101" s="47"/>
      <c r="C101" s="4"/>
      <c r="D101" s="4"/>
      <c r="E101" s="4"/>
      <c r="F101" s="4"/>
      <c r="G101" s="4"/>
      <c r="H101" s="4"/>
      <c r="I101" s="4"/>
      <c r="J101" s="4"/>
      <c r="K101" s="4"/>
      <c r="L101" s="4"/>
      <c r="M101" s="4"/>
      <c r="N101" s="4"/>
      <c r="Q101" s="47"/>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1FEB7-74DD-4C66-BA8B-AB2665CFFF07}">
  <sheetPr codeName="Sheet7">
    <tabColor theme="8" tint="0.39997558519241921"/>
  </sheetPr>
  <dimension ref="A1:I118"/>
  <sheetViews>
    <sheetView showGridLines="0" zoomScaleNormal="100" workbookViewId="0">
      <selection sqref="A1:D1"/>
    </sheetView>
  </sheetViews>
  <sheetFormatPr defaultRowHeight="14.5" x14ac:dyDescent="0.35"/>
  <cols>
    <col min="1" max="1" width="18.7265625" customWidth="1"/>
    <col min="2" max="2" width="9.26953125" customWidth="1"/>
    <col min="3" max="3" width="9.7265625" customWidth="1"/>
    <col min="4" max="4" width="19" customWidth="1"/>
    <col min="6" max="6" width="9.26953125" bestFit="1" customWidth="1"/>
  </cols>
  <sheetData>
    <row r="1" spans="1:9" x14ac:dyDescent="0.35">
      <c r="A1" s="188" t="s">
        <v>56</v>
      </c>
      <c r="B1" s="188"/>
      <c r="C1" s="188"/>
      <c r="D1" s="188"/>
    </row>
    <row r="2" spans="1:9" x14ac:dyDescent="0.35">
      <c r="A2" s="29" t="s">
        <v>57</v>
      </c>
      <c r="B2" s="30" t="s">
        <v>58</v>
      </c>
      <c r="C2" s="31"/>
      <c r="D2" s="31" t="s">
        <v>59</v>
      </c>
      <c r="E2" s="4"/>
      <c r="F2" s="4"/>
      <c r="G2" s="4"/>
      <c r="H2" s="4"/>
      <c r="I2" s="4"/>
    </row>
    <row r="3" spans="1:9" x14ac:dyDescent="0.35">
      <c r="A3" s="32" t="s">
        <v>60</v>
      </c>
      <c r="B3" s="33">
        <v>6.5000000000000002E-2</v>
      </c>
      <c r="C3" s="34" t="s">
        <v>61</v>
      </c>
      <c r="D3" s="35">
        <v>0</v>
      </c>
      <c r="E3" s="4"/>
      <c r="F3" s="4"/>
      <c r="G3" s="4"/>
      <c r="H3" s="4"/>
      <c r="I3" s="4"/>
    </row>
    <row r="4" spans="1:9" x14ac:dyDescent="0.35">
      <c r="A4" s="36" t="s">
        <v>62</v>
      </c>
      <c r="B4" s="26">
        <v>0</v>
      </c>
      <c r="C4" s="37" t="s">
        <v>61</v>
      </c>
      <c r="D4" s="38">
        <v>0</v>
      </c>
      <c r="E4" s="4"/>
      <c r="F4" s="4"/>
      <c r="G4" s="4"/>
      <c r="H4" s="4"/>
      <c r="I4" s="4"/>
    </row>
    <row r="5" spans="1:9" x14ac:dyDescent="0.35">
      <c r="A5" s="36"/>
      <c r="B5" s="26">
        <v>0.02</v>
      </c>
      <c r="C5" s="37" t="s">
        <v>61</v>
      </c>
      <c r="D5" s="38">
        <v>25000</v>
      </c>
      <c r="E5" s="4"/>
      <c r="F5" s="4"/>
      <c r="G5" s="39"/>
      <c r="H5" s="4"/>
      <c r="I5" s="4"/>
    </row>
    <row r="6" spans="1:9" x14ac:dyDescent="0.35">
      <c r="A6" s="36"/>
      <c r="B6" s="26">
        <v>0.03</v>
      </c>
      <c r="C6" s="37" t="s">
        <v>61</v>
      </c>
      <c r="D6" s="38">
        <v>49000</v>
      </c>
      <c r="E6" s="4"/>
      <c r="F6" s="4"/>
      <c r="G6" s="4"/>
      <c r="H6" s="4"/>
      <c r="I6" s="4"/>
    </row>
    <row r="7" spans="1:9" x14ac:dyDescent="0.35">
      <c r="A7" s="36"/>
      <c r="B7" s="26">
        <v>0.04</v>
      </c>
      <c r="C7" s="37" t="s">
        <v>61</v>
      </c>
      <c r="D7" s="38">
        <v>74000</v>
      </c>
      <c r="E7" s="4"/>
      <c r="F7" s="4"/>
      <c r="G7" s="4"/>
      <c r="H7" s="4"/>
      <c r="I7" s="4"/>
    </row>
    <row r="8" spans="1:9" x14ac:dyDescent="0.35">
      <c r="A8" s="36"/>
      <c r="B8" s="26">
        <v>0.05</v>
      </c>
      <c r="C8" s="37" t="s">
        <v>61</v>
      </c>
      <c r="D8" s="38">
        <v>99000</v>
      </c>
      <c r="E8" s="4"/>
      <c r="F8" s="4"/>
      <c r="G8" s="4"/>
      <c r="H8" s="4"/>
      <c r="I8" s="4"/>
    </row>
    <row r="9" spans="1:9" x14ac:dyDescent="0.35">
      <c r="A9" s="36"/>
      <c r="B9" s="26">
        <v>0.06</v>
      </c>
      <c r="C9" s="37" t="s">
        <v>61</v>
      </c>
      <c r="D9" s="38">
        <v>124000</v>
      </c>
      <c r="E9" s="4"/>
      <c r="F9" s="4"/>
      <c r="G9" s="4"/>
      <c r="H9" s="4"/>
      <c r="I9" s="4"/>
    </row>
    <row r="10" spans="1:9" x14ac:dyDescent="0.35">
      <c r="A10" s="36"/>
      <c r="B10" s="26">
        <v>7.0000000000000007E-2</v>
      </c>
      <c r="C10" s="37" t="s">
        <v>61</v>
      </c>
      <c r="D10" s="38">
        <v>148000</v>
      </c>
      <c r="E10" s="4"/>
      <c r="F10" s="4"/>
      <c r="G10" s="4"/>
      <c r="H10" s="4"/>
      <c r="I10" s="4"/>
    </row>
    <row r="11" spans="1:9" x14ac:dyDescent="0.35">
      <c r="A11" s="36"/>
      <c r="B11" s="26">
        <v>0.08</v>
      </c>
      <c r="C11" s="37" t="s">
        <v>61</v>
      </c>
      <c r="D11" s="38">
        <v>173000</v>
      </c>
      <c r="E11" s="4"/>
      <c r="F11" s="4"/>
      <c r="G11" s="4"/>
      <c r="H11" s="4"/>
      <c r="I11" s="4"/>
    </row>
    <row r="12" spans="1:9" x14ac:dyDescent="0.35">
      <c r="A12" s="36"/>
      <c r="B12" s="26">
        <v>0.09</v>
      </c>
      <c r="C12" s="37" t="s">
        <v>61</v>
      </c>
      <c r="D12" s="38">
        <v>198000</v>
      </c>
      <c r="E12" s="4"/>
      <c r="F12" s="4"/>
      <c r="G12" s="4"/>
      <c r="H12" s="4"/>
      <c r="I12" s="4"/>
    </row>
    <row r="13" spans="1:9" x14ac:dyDescent="0.35">
      <c r="A13" s="36"/>
      <c r="B13" s="26">
        <v>9.4E-2</v>
      </c>
      <c r="C13" s="37" t="s">
        <v>61</v>
      </c>
      <c r="D13" s="38">
        <v>222000</v>
      </c>
      <c r="E13" s="4"/>
      <c r="F13" s="39"/>
      <c r="G13" s="4"/>
      <c r="H13" s="4"/>
      <c r="I13" s="4"/>
    </row>
    <row r="14" spans="1:9" x14ac:dyDescent="0.35">
      <c r="A14" s="40" t="s">
        <v>63</v>
      </c>
      <c r="B14" s="33">
        <v>4.9000000000000002E-2</v>
      </c>
      <c r="C14" s="34" t="s">
        <v>61</v>
      </c>
      <c r="D14" s="35">
        <v>0</v>
      </c>
      <c r="E14" s="4"/>
      <c r="F14" s="39"/>
      <c r="G14" s="4"/>
      <c r="H14" s="4"/>
      <c r="I14" s="4"/>
    </row>
    <row r="15" spans="1:9" x14ac:dyDescent="0.35">
      <c r="A15" s="36" t="s">
        <v>64</v>
      </c>
      <c r="B15" s="26">
        <v>0.01</v>
      </c>
      <c r="C15" s="37" t="s">
        <v>61</v>
      </c>
      <c r="D15" s="38">
        <v>0</v>
      </c>
      <c r="E15" s="4"/>
      <c r="F15" s="4"/>
      <c r="G15" s="4"/>
      <c r="H15" s="4"/>
      <c r="I15" s="4"/>
    </row>
    <row r="16" spans="1:9" x14ac:dyDescent="0.35">
      <c r="A16" s="36"/>
      <c r="B16" s="26">
        <v>0.02</v>
      </c>
      <c r="C16" s="37" t="s">
        <v>61</v>
      </c>
      <c r="D16" s="38">
        <v>3000</v>
      </c>
      <c r="E16" s="4"/>
      <c r="F16" s="4"/>
      <c r="G16" s="4"/>
      <c r="H16" s="4"/>
      <c r="I16" s="4"/>
    </row>
    <row r="17" spans="1:9" x14ac:dyDescent="0.35">
      <c r="A17" s="36"/>
      <c r="B17" s="26">
        <v>0.03</v>
      </c>
      <c r="C17" s="37" t="s">
        <v>61</v>
      </c>
      <c r="D17" s="38">
        <v>6000</v>
      </c>
      <c r="E17" s="4"/>
      <c r="F17" s="4"/>
      <c r="G17" s="4"/>
      <c r="H17" s="4"/>
      <c r="I17" s="4"/>
    </row>
    <row r="18" spans="1:9" x14ac:dyDescent="0.35">
      <c r="A18" s="36"/>
      <c r="B18" s="26">
        <v>0.05</v>
      </c>
      <c r="C18" s="37" t="s">
        <v>61</v>
      </c>
      <c r="D18" s="38">
        <v>11000</v>
      </c>
      <c r="E18" s="4"/>
      <c r="F18" s="4"/>
      <c r="G18" s="4"/>
      <c r="H18" s="4"/>
      <c r="I18" s="4"/>
    </row>
    <row r="19" spans="1:9" x14ac:dyDescent="0.35">
      <c r="A19" s="36"/>
      <c r="B19" s="26">
        <v>5.2999999999999999E-2</v>
      </c>
      <c r="C19" s="37" t="s">
        <v>61</v>
      </c>
      <c r="D19" s="38">
        <v>25000</v>
      </c>
      <c r="E19" s="4"/>
      <c r="F19" s="4"/>
      <c r="G19" s="4"/>
      <c r="H19" s="4"/>
      <c r="I19" s="4"/>
    </row>
    <row r="20" spans="1:9" x14ac:dyDescent="0.35">
      <c r="A20" s="32" t="s">
        <v>65</v>
      </c>
      <c r="B20" s="41">
        <v>8.8400000000000006E-2</v>
      </c>
      <c r="C20" s="34" t="s">
        <v>61</v>
      </c>
      <c r="D20" s="35">
        <v>0</v>
      </c>
      <c r="E20" s="4"/>
      <c r="F20" s="4"/>
      <c r="G20" s="4"/>
      <c r="H20" s="4"/>
      <c r="I20" s="4"/>
    </row>
    <row r="21" spans="1:9" x14ac:dyDescent="0.35">
      <c r="A21" s="42" t="s">
        <v>66</v>
      </c>
      <c r="B21" s="43">
        <v>4.3999999999999997E-2</v>
      </c>
      <c r="C21" s="37" t="s">
        <v>61</v>
      </c>
      <c r="D21" s="38">
        <v>0</v>
      </c>
      <c r="E21" s="4"/>
      <c r="F21" s="4"/>
      <c r="G21" s="4"/>
      <c r="H21" s="4"/>
      <c r="I21" s="4"/>
    </row>
    <row r="22" spans="1:9" x14ac:dyDescent="0.35">
      <c r="A22" s="40" t="s">
        <v>67</v>
      </c>
      <c r="B22" s="33">
        <v>7.4999999999999997E-2</v>
      </c>
      <c r="C22" s="34" t="s">
        <v>61</v>
      </c>
      <c r="D22" s="35">
        <v>0</v>
      </c>
      <c r="E22" s="4" t="s">
        <v>68</v>
      </c>
      <c r="F22" s="4"/>
      <c r="G22" s="4"/>
      <c r="H22" s="4"/>
      <c r="I22" s="4"/>
    </row>
    <row r="23" spans="1:9" x14ac:dyDescent="0.35">
      <c r="A23" s="36" t="s">
        <v>69</v>
      </c>
      <c r="B23" s="26">
        <v>8.6999999999999994E-2</v>
      </c>
      <c r="C23" s="37" t="s">
        <v>61</v>
      </c>
      <c r="D23" s="38">
        <v>0</v>
      </c>
      <c r="E23" s="4" t="s">
        <v>70</v>
      </c>
      <c r="F23" s="4"/>
      <c r="G23" s="4"/>
      <c r="H23" s="4"/>
      <c r="I23" s="4"/>
    </row>
    <row r="24" spans="1:9" x14ac:dyDescent="0.35">
      <c r="A24" s="32" t="s">
        <v>71</v>
      </c>
      <c r="B24" s="33">
        <v>5.5E-2</v>
      </c>
      <c r="C24" s="34" t="s">
        <v>61</v>
      </c>
      <c r="D24" s="35">
        <v>0</v>
      </c>
      <c r="E24" s="4"/>
      <c r="F24" s="4"/>
      <c r="G24" s="4"/>
      <c r="H24" s="4"/>
      <c r="I24" s="4"/>
    </row>
    <row r="25" spans="1:9" x14ac:dyDescent="0.35">
      <c r="A25" s="36" t="s">
        <v>72</v>
      </c>
      <c r="B25" s="43">
        <v>5.7500000000000002E-2</v>
      </c>
      <c r="C25" s="37" t="s">
        <v>61</v>
      </c>
      <c r="D25" s="38">
        <v>0</v>
      </c>
      <c r="E25" s="44" t="s">
        <v>73</v>
      </c>
      <c r="F25" s="4"/>
      <c r="G25" s="4"/>
      <c r="H25" s="4"/>
      <c r="I25" s="4"/>
    </row>
    <row r="26" spans="1:9" x14ac:dyDescent="0.35">
      <c r="A26" s="32" t="s">
        <v>74</v>
      </c>
      <c r="B26" s="33">
        <v>4.3999999999999997E-2</v>
      </c>
      <c r="C26" s="34" t="s">
        <v>61</v>
      </c>
      <c r="D26" s="35">
        <v>0</v>
      </c>
      <c r="E26" s="4"/>
      <c r="F26" s="4"/>
      <c r="G26" s="4"/>
      <c r="H26" s="4"/>
      <c r="I26" s="4"/>
    </row>
    <row r="27" spans="1:9" x14ac:dyDescent="0.35">
      <c r="A27" s="32"/>
      <c r="B27" s="33">
        <v>5.3999999999999999E-2</v>
      </c>
      <c r="C27" s="34" t="s">
        <v>61</v>
      </c>
      <c r="D27" s="35">
        <v>25000</v>
      </c>
      <c r="E27" s="4"/>
      <c r="F27" s="4"/>
      <c r="G27" s="4"/>
      <c r="H27" s="4"/>
      <c r="I27" s="4"/>
    </row>
    <row r="28" spans="1:9" x14ac:dyDescent="0.35">
      <c r="A28" s="32"/>
      <c r="B28" s="33">
        <v>6.4000000000000001E-2</v>
      </c>
      <c r="C28" s="34" t="s">
        <v>61</v>
      </c>
      <c r="D28" s="35">
        <v>100000</v>
      </c>
      <c r="E28" s="4"/>
      <c r="F28" s="4"/>
      <c r="G28" s="4"/>
      <c r="H28" s="4"/>
      <c r="I28" s="4"/>
    </row>
    <row r="29" spans="1:9" x14ac:dyDescent="0.35">
      <c r="A29" s="36" t="s">
        <v>75</v>
      </c>
      <c r="B29" s="26">
        <v>5.8000000000000003E-2</v>
      </c>
      <c r="C29" s="37" t="s">
        <v>61</v>
      </c>
      <c r="D29" s="38">
        <v>0</v>
      </c>
      <c r="E29" s="4"/>
      <c r="F29" s="4"/>
    </row>
    <row r="30" spans="1:9" x14ac:dyDescent="0.35">
      <c r="A30" s="32" t="s">
        <v>76</v>
      </c>
      <c r="B30" s="33">
        <v>9.5000000000000001E-2</v>
      </c>
      <c r="C30" s="34" t="s">
        <v>61</v>
      </c>
      <c r="D30" s="35">
        <v>0</v>
      </c>
      <c r="E30" s="4" t="s">
        <v>77</v>
      </c>
      <c r="F30" s="4"/>
    </row>
    <row r="31" spans="1:9" x14ac:dyDescent="0.35">
      <c r="A31" s="36" t="s">
        <v>78</v>
      </c>
      <c r="B31" s="26">
        <v>4.9000000000000002E-2</v>
      </c>
      <c r="C31" s="37" t="s">
        <v>61</v>
      </c>
      <c r="D31" s="38">
        <v>0</v>
      </c>
      <c r="E31" s="4"/>
      <c r="F31" s="4"/>
    </row>
    <row r="32" spans="1:9" x14ac:dyDescent="0.35">
      <c r="A32" s="32" t="s">
        <v>79</v>
      </c>
      <c r="B32" s="33">
        <v>5.5E-2</v>
      </c>
      <c r="C32" s="34" t="s">
        <v>61</v>
      </c>
      <c r="D32" s="35">
        <v>0</v>
      </c>
      <c r="E32" s="4"/>
      <c r="F32" s="4"/>
    </row>
    <row r="33" spans="1:6" x14ac:dyDescent="0.35">
      <c r="A33" s="32"/>
      <c r="B33" s="33">
        <v>8.4000000000000005E-2</v>
      </c>
      <c r="C33" s="34" t="s">
        <v>61</v>
      </c>
      <c r="D33" s="35">
        <v>100000</v>
      </c>
      <c r="E33" s="4"/>
      <c r="F33" s="4"/>
    </row>
    <row r="34" spans="1:6" x14ac:dyDescent="0.35">
      <c r="A34" s="36" t="s">
        <v>80</v>
      </c>
      <c r="B34" s="26">
        <v>0.04</v>
      </c>
      <c r="C34" s="37" t="s">
        <v>61</v>
      </c>
      <c r="D34" s="38">
        <v>0</v>
      </c>
      <c r="E34" s="45"/>
      <c r="F34" s="4"/>
    </row>
    <row r="35" spans="1:6" x14ac:dyDescent="0.35">
      <c r="A35" s="36"/>
      <c r="B35" s="26">
        <v>7.0000000000000007E-2</v>
      </c>
      <c r="C35" s="37" t="s">
        <v>61</v>
      </c>
      <c r="D35" s="38">
        <v>50000</v>
      </c>
      <c r="E35" s="46"/>
      <c r="F35" s="4"/>
    </row>
    <row r="36" spans="1:6" x14ac:dyDescent="0.35">
      <c r="A36" s="40" t="s">
        <v>81</v>
      </c>
      <c r="B36" s="33">
        <v>0.05</v>
      </c>
      <c r="C36" s="34" t="s">
        <v>61</v>
      </c>
      <c r="D36" s="35">
        <v>0</v>
      </c>
      <c r="E36" s="4"/>
      <c r="F36" s="4"/>
    </row>
    <row r="37" spans="1:6" x14ac:dyDescent="0.35">
      <c r="A37" s="36" t="s">
        <v>82</v>
      </c>
      <c r="B37" s="26">
        <v>3.5000000000000003E-2</v>
      </c>
      <c r="C37" s="37" t="s">
        <v>61</v>
      </c>
      <c r="D37" s="38">
        <v>0</v>
      </c>
      <c r="E37" s="4"/>
      <c r="F37" s="4"/>
    </row>
    <row r="38" spans="1:6" x14ac:dyDescent="0.35">
      <c r="A38" s="36"/>
      <c r="B38" s="26">
        <v>5.5E-2</v>
      </c>
      <c r="C38" s="37" t="s">
        <v>61</v>
      </c>
      <c r="D38" s="38">
        <v>50000</v>
      </c>
      <c r="E38" s="4"/>
      <c r="F38" s="4"/>
    </row>
    <row r="39" spans="1:6" x14ac:dyDescent="0.35">
      <c r="A39" s="36"/>
      <c r="B39" s="26">
        <v>7.4999999999999997E-2</v>
      </c>
      <c r="C39" s="37" t="s">
        <v>61</v>
      </c>
      <c r="D39" s="38">
        <v>150000</v>
      </c>
      <c r="E39" s="4"/>
      <c r="F39" s="4"/>
    </row>
    <row r="40" spans="1:6" x14ac:dyDescent="0.35">
      <c r="A40" s="40" t="s">
        <v>83</v>
      </c>
      <c r="B40" s="41">
        <v>3.5000000000000003E-2</v>
      </c>
      <c r="C40" s="34" t="s">
        <v>61</v>
      </c>
      <c r="D40" s="35">
        <v>0</v>
      </c>
      <c r="E40" s="4"/>
      <c r="F40" s="4"/>
    </row>
    <row r="41" spans="1:6" x14ac:dyDescent="0.35">
      <c r="A41" s="40"/>
      <c r="B41" s="41">
        <v>7.9299999999999995E-2</v>
      </c>
      <c r="C41" s="34" t="s">
        <v>61</v>
      </c>
      <c r="D41" s="35">
        <v>350000</v>
      </c>
      <c r="E41" s="4"/>
      <c r="F41" s="4"/>
    </row>
    <row r="42" spans="1:6" x14ac:dyDescent="0.35">
      <c r="A42" s="40"/>
      <c r="B42" s="41">
        <v>8.3299999999999999E-2</v>
      </c>
      <c r="C42" s="34" t="s">
        <v>61</v>
      </c>
      <c r="D42" s="35">
        <v>1050000</v>
      </c>
      <c r="E42" s="4"/>
      <c r="F42" s="4"/>
    </row>
    <row r="43" spans="1:6" x14ac:dyDescent="0.35">
      <c r="A43" s="40"/>
      <c r="B43" s="41">
        <v>8.9300000000000004E-2</v>
      </c>
      <c r="C43" s="34" t="s">
        <v>61</v>
      </c>
      <c r="D43" s="35">
        <v>3500000</v>
      </c>
      <c r="E43" s="4"/>
      <c r="F43" s="4"/>
    </row>
    <row r="44" spans="1:6" x14ac:dyDescent="0.35">
      <c r="A44" s="42" t="s">
        <v>84</v>
      </c>
      <c r="B44" s="43">
        <v>8.2500000000000004E-2</v>
      </c>
      <c r="C44" s="37" t="s">
        <v>61</v>
      </c>
      <c r="D44" s="38">
        <v>0</v>
      </c>
      <c r="E44" s="4"/>
      <c r="F44" s="4"/>
    </row>
    <row r="45" spans="1:6" x14ac:dyDescent="0.35">
      <c r="A45" s="32" t="s">
        <v>85</v>
      </c>
      <c r="B45" s="33">
        <v>0.08</v>
      </c>
      <c r="C45" s="34" t="s">
        <v>61</v>
      </c>
      <c r="D45" s="35">
        <v>0</v>
      </c>
      <c r="E45" s="4"/>
      <c r="F45" s="4"/>
    </row>
    <row r="46" spans="1:6" x14ac:dyDescent="0.35">
      <c r="A46" s="36" t="s">
        <v>86</v>
      </c>
      <c r="B46" s="26">
        <v>0.06</v>
      </c>
      <c r="C46" s="37" t="s">
        <v>61</v>
      </c>
      <c r="D46" s="38">
        <v>0</v>
      </c>
      <c r="E46" s="28"/>
      <c r="F46" s="4"/>
    </row>
    <row r="47" spans="1:6" x14ac:dyDescent="0.35">
      <c r="A47" s="32" t="s">
        <v>87</v>
      </c>
      <c r="B47" s="33">
        <v>9.8000000000000004E-2</v>
      </c>
      <c r="C47" s="34" t="s">
        <v>61</v>
      </c>
      <c r="D47" s="35">
        <v>0</v>
      </c>
      <c r="E47" s="47"/>
      <c r="F47" s="4"/>
    </row>
    <row r="48" spans="1:6" x14ac:dyDescent="0.35">
      <c r="A48" s="42" t="s">
        <v>88</v>
      </c>
      <c r="B48" s="26">
        <v>0.04</v>
      </c>
      <c r="C48" s="37" t="s">
        <v>61</v>
      </c>
      <c r="D48" s="38">
        <v>5000</v>
      </c>
      <c r="E48" s="42"/>
      <c r="F48" s="4"/>
    </row>
    <row r="49" spans="1:6" x14ac:dyDescent="0.35">
      <c r="A49" s="36"/>
      <c r="B49" s="26">
        <v>0.05</v>
      </c>
      <c r="C49" s="37" t="s">
        <v>61</v>
      </c>
      <c r="D49" s="38">
        <v>10000</v>
      </c>
      <c r="E49" s="4"/>
      <c r="F49" s="4"/>
    </row>
    <row r="50" spans="1:6" x14ac:dyDescent="0.35">
      <c r="A50" s="32" t="s">
        <v>89</v>
      </c>
      <c r="B50" s="33">
        <v>0.04</v>
      </c>
      <c r="C50" s="34" t="s">
        <v>61</v>
      </c>
      <c r="D50" s="35">
        <v>0</v>
      </c>
      <c r="E50" s="4"/>
      <c r="F50" s="4"/>
    </row>
    <row r="51" spans="1:6" x14ac:dyDescent="0.35">
      <c r="A51" s="36" t="s">
        <v>90</v>
      </c>
      <c r="B51" s="43">
        <v>6.7500000000000004E-2</v>
      </c>
      <c r="C51" s="37" t="s">
        <v>61</v>
      </c>
      <c r="D51" s="38">
        <v>0</v>
      </c>
      <c r="E51" s="4"/>
      <c r="F51" s="4"/>
    </row>
    <row r="52" spans="1:6" x14ac:dyDescent="0.35">
      <c r="A52" s="32" t="s">
        <v>91</v>
      </c>
      <c r="B52" s="41">
        <v>5.5800000000000002E-2</v>
      </c>
      <c r="C52" s="34" t="s">
        <v>61</v>
      </c>
      <c r="D52" s="35">
        <v>0</v>
      </c>
      <c r="E52" s="4"/>
      <c r="F52" s="4"/>
    </row>
    <row r="53" spans="1:6" x14ac:dyDescent="0.35">
      <c r="A53" s="32"/>
      <c r="B53" s="41">
        <v>7.2499999999999995E-2</v>
      </c>
      <c r="C53" s="34" t="s">
        <v>61</v>
      </c>
      <c r="D53" s="35">
        <v>100000</v>
      </c>
      <c r="E53" s="4"/>
      <c r="F53" s="4"/>
    </row>
    <row r="54" spans="1:6" x14ac:dyDescent="0.35">
      <c r="A54" s="36" t="s">
        <v>92</v>
      </c>
      <c r="B54" s="15"/>
      <c r="C54" s="48"/>
      <c r="D54" s="15"/>
      <c r="E54" s="37" t="s">
        <v>70</v>
      </c>
      <c r="F54" s="4"/>
    </row>
    <row r="55" spans="1:6" x14ac:dyDescent="0.35">
      <c r="A55" s="40" t="s">
        <v>93</v>
      </c>
      <c r="B55" s="33">
        <v>7.4999999999999997E-2</v>
      </c>
      <c r="C55" s="34" t="s">
        <v>61</v>
      </c>
      <c r="D55" s="35">
        <v>0</v>
      </c>
      <c r="E55" s="46"/>
      <c r="F55" s="4"/>
    </row>
    <row r="56" spans="1:6" x14ac:dyDescent="0.35">
      <c r="A56" s="36" t="s">
        <v>94</v>
      </c>
      <c r="B56" s="26">
        <v>6.5000000000000002E-2</v>
      </c>
      <c r="C56" s="37" t="s">
        <v>61</v>
      </c>
      <c r="D56" s="38">
        <v>0</v>
      </c>
      <c r="E56" s="4" t="s">
        <v>95</v>
      </c>
      <c r="F56" s="4"/>
    </row>
    <row r="57" spans="1:6" x14ac:dyDescent="0.35">
      <c r="A57" s="36"/>
      <c r="B57" s="26">
        <v>7.4999999999999997E-2</v>
      </c>
      <c r="C57" s="37" t="s">
        <v>61</v>
      </c>
      <c r="D57" s="38">
        <v>50000</v>
      </c>
      <c r="E57" s="4"/>
      <c r="F57" s="4"/>
    </row>
    <row r="58" spans="1:6" x14ac:dyDescent="0.35">
      <c r="A58" s="36"/>
      <c r="B58" s="26">
        <v>0.09</v>
      </c>
      <c r="C58" s="37" t="s">
        <v>61</v>
      </c>
      <c r="D58" s="38">
        <v>100000</v>
      </c>
      <c r="E58" s="4"/>
      <c r="F58" s="4"/>
    </row>
    <row r="59" spans="1:6" x14ac:dyDescent="0.35">
      <c r="A59" s="36"/>
      <c r="B59" s="26">
        <v>0.115</v>
      </c>
      <c r="C59" s="37" t="s">
        <v>61</v>
      </c>
      <c r="D59" s="38">
        <v>1000000</v>
      </c>
      <c r="E59" s="4"/>
      <c r="F59" s="4"/>
    </row>
    <row r="60" spans="1:6" x14ac:dyDescent="0.35">
      <c r="A60" s="32" t="s">
        <v>96</v>
      </c>
      <c r="B60" s="33">
        <v>4.8000000000000001E-2</v>
      </c>
      <c r="C60" s="34" t="s">
        <v>61</v>
      </c>
      <c r="D60" s="35">
        <v>0</v>
      </c>
      <c r="E60" s="37"/>
      <c r="F60" s="4"/>
    </row>
    <row r="61" spans="1:6" x14ac:dyDescent="0.35">
      <c r="A61" s="32"/>
      <c r="B61" s="33">
        <v>5.8999999999999997E-2</v>
      </c>
      <c r="C61" s="34" t="s">
        <v>61</v>
      </c>
      <c r="D61" s="35">
        <v>500000</v>
      </c>
      <c r="E61" s="4"/>
      <c r="F61" s="4"/>
    </row>
    <row r="62" spans="1:6" x14ac:dyDescent="0.35">
      <c r="A62" s="36" t="s">
        <v>97</v>
      </c>
      <c r="B62" s="43">
        <v>6.5000000000000002E-2</v>
      </c>
      <c r="C62" s="37" t="s">
        <v>61</v>
      </c>
      <c r="D62" s="38">
        <v>0</v>
      </c>
      <c r="E62" s="4"/>
      <c r="F62" s="4"/>
    </row>
    <row r="63" spans="1:6" x14ac:dyDescent="0.35">
      <c r="A63" s="36"/>
      <c r="B63" s="43">
        <v>7.2499999999999995E-2</v>
      </c>
      <c r="C63" s="37" t="s">
        <v>61</v>
      </c>
      <c r="D63" s="38">
        <v>5000000</v>
      </c>
      <c r="E63" s="4"/>
      <c r="F63" s="4"/>
    </row>
    <row r="64" spans="1:6" x14ac:dyDescent="0.35">
      <c r="A64" s="40" t="s">
        <v>98</v>
      </c>
      <c r="B64" s="33">
        <v>2.5000000000000001E-2</v>
      </c>
      <c r="C64" s="34" t="s">
        <v>61</v>
      </c>
      <c r="D64" s="35">
        <v>0</v>
      </c>
      <c r="E64" s="4"/>
      <c r="F64" s="4"/>
    </row>
    <row r="65" spans="1:6" x14ac:dyDescent="0.35">
      <c r="A65" s="42" t="s">
        <v>99</v>
      </c>
      <c r="B65" s="43">
        <v>1.41E-2</v>
      </c>
      <c r="C65" s="37" t="s">
        <v>61</v>
      </c>
      <c r="D65" s="38">
        <v>0</v>
      </c>
      <c r="E65" s="4"/>
      <c r="F65" s="4"/>
    </row>
    <row r="66" spans="1:6" x14ac:dyDescent="0.35">
      <c r="A66" s="36"/>
      <c r="B66" s="43">
        <v>3.5499999999999997E-2</v>
      </c>
      <c r="C66" s="37" t="s">
        <v>61</v>
      </c>
      <c r="D66" s="38">
        <v>25000</v>
      </c>
      <c r="E66" s="4"/>
      <c r="F66" s="4"/>
    </row>
    <row r="67" spans="1:6" x14ac:dyDescent="0.35">
      <c r="A67" s="36"/>
      <c r="B67" s="43">
        <v>4.3099999999999999E-2</v>
      </c>
      <c r="C67" s="37" t="s">
        <v>61</v>
      </c>
      <c r="D67" s="38">
        <v>50000</v>
      </c>
      <c r="E67" s="4"/>
      <c r="F67" s="4"/>
    </row>
    <row r="68" spans="1:6" x14ac:dyDescent="0.35">
      <c r="A68" s="32" t="s">
        <v>100</v>
      </c>
      <c r="B68" s="41"/>
      <c r="C68" s="49"/>
      <c r="D68" s="35"/>
      <c r="E68" s="37" t="s">
        <v>70</v>
      </c>
    </row>
    <row r="69" spans="1:6" x14ac:dyDescent="0.35">
      <c r="A69" s="36" t="s">
        <v>101</v>
      </c>
      <c r="B69" s="26">
        <v>0.04</v>
      </c>
      <c r="C69" s="37" t="s">
        <v>61</v>
      </c>
      <c r="D69" s="38">
        <v>0</v>
      </c>
      <c r="E69" s="4"/>
      <c r="F69" s="4"/>
    </row>
    <row r="70" spans="1:6" x14ac:dyDescent="0.35">
      <c r="A70" s="32" t="s">
        <v>102</v>
      </c>
      <c r="B70" s="33">
        <v>6.6000000000000003E-2</v>
      </c>
      <c r="C70" s="34" t="s">
        <v>61</v>
      </c>
      <c r="D70" s="35">
        <v>0</v>
      </c>
      <c r="E70" s="4" t="s">
        <v>68</v>
      </c>
      <c r="F70" s="4"/>
    </row>
    <row r="71" spans="1:6" x14ac:dyDescent="0.35">
      <c r="A71" s="32"/>
      <c r="B71" s="33">
        <v>7.5999999999999998E-2</v>
      </c>
      <c r="C71" s="34" t="s">
        <v>61</v>
      </c>
      <c r="D71" s="35">
        <v>1000000</v>
      </c>
      <c r="E71" s="4"/>
      <c r="F71" s="4"/>
    </row>
    <row r="72" spans="1:6" x14ac:dyDescent="0.35">
      <c r="A72" s="50" t="s">
        <v>103</v>
      </c>
      <c r="B72" s="51">
        <v>8.9899999999999994E-2</v>
      </c>
      <c r="C72" s="52" t="s">
        <v>61</v>
      </c>
      <c r="D72" s="53">
        <v>0</v>
      </c>
      <c r="E72" s="4"/>
      <c r="F72" s="4"/>
    </row>
    <row r="73" spans="1:6" x14ac:dyDescent="0.35">
      <c r="A73" s="32" t="s">
        <v>104</v>
      </c>
      <c r="B73" s="33">
        <v>7.0000000000000007E-2</v>
      </c>
      <c r="C73" s="34" t="s">
        <v>61</v>
      </c>
      <c r="D73" s="35">
        <v>0</v>
      </c>
      <c r="E73" s="4"/>
      <c r="F73" s="4"/>
    </row>
    <row r="74" spans="1:6" x14ac:dyDescent="0.35">
      <c r="A74" s="42" t="s">
        <v>105</v>
      </c>
      <c r="B74" s="26">
        <v>0.05</v>
      </c>
      <c r="C74" s="37" t="s">
        <v>61</v>
      </c>
      <c r="D74" s="38">
        <v>0</v>
      </c>
      <c r="E74" s="4"/>
      <c r="F74" s="4"/>
    </row>
    <row r="75" spans="1:6" x14ac:dyDescent="0.35">
      <c r="A75" s="32" t="s">
        <v>106</v>
      </c>
      <c r="B75" s="54"/>
      <c r="C75" s="49"/>
      <c r="D75" s="54"/>
      <c r="E75" s="4" t="s">
        <v>28</v>
      </c>
      <c r="F75" s="4"/>
    </row>
    <row r="76" spans="1:6" x14ac:dyDescent="0.35">
      <c r="A76" s="36" t="s">
        <v>107</v>
      </c>
      <c r="B76" s="26">
        <v>6.5000000000000002E-2</v>
      </c>
      <c r="C76" s="37" t="s">
        <v>61</v>
      </c>
      <c r="D76" s="38">
        <v>0</v>
      </c>
      <c r="E76" s="4" t="s">
        <v>70</v>
      </c>
      <c r="F76" s="4"/>
    </row>
    <row r="77" spans="1:6" x14ac:dyDescent="0.35">
      <c r="A77" s="40" t="s">
        <v>108</v>
      </c>
      <c r="B77" s="54"/>
      <c r="C77" s="49"/>
      <c r="D77" s="55"/>
      <c r="E77" s="37" t="s">
        <v>70</v>
      </c>
      <c r="F77" s="4"/>
    </row>
    <row r="78" spans="1:6" x14ac:dyDescent="0.35">
      <c r="A78" s="42" t="s">
        <v>109</v>
      </c>
      <c r="B78" s="43">
        <v>4.8500000000000001E-2</v>
      </c>
      <c r="C78" s="37" t="s">
        <v>61</v>
      </c>
      <c r="D78" s="38">
        <v>0</v>
      </c>
      <c r="E78" s="28"/>
      <c r="F78" s="4"/>
    </row>
    <row r="79" spans="1:6" x14ac:dyDescent="0.35">
      <c r="A79" s="32" t="s">
        <v>110</v>
      </c>
      <c r="B79" s="33">
        <v>0.06</v>
      </c>
      <c r="C79" s="34" t="s">
        <v>61</v>
      </c>
      <c r="D79" s="35">
        <v>0</v>
      </c>
      <c r="E79" s="56"/>
      <c r="F79" s="4"/>
    </row>
    <row r="80" spans="1:6" x14ac:dyDescent="0.35">
      <c r="A80" s="32"/>
      <c r="B80" s="33">
        <v>7.0000000000000007E-2</v>
      </c>
      <c r="C80" s="34" t="s">
        <v>61</v>
      </c>
      <c r="D80" s="35">
        <v>10000</v>
      </c>
      <c r="E80" s="43"/>
      <c r="F80" s="4"/>
    </row>
    <row r="81" spans="1:9" x14ac:dyDescent="0.35">
      <c r="A81" s="32"/>
      <c r="B81" s="33">
        <v>8.5000000000000006E-2</v>
      </c>
      <c r="C81" s="34" t="s">
        <v>61</v>
      </c>
      <c r="D81" s="35">
        <v>25000</v>
      </c>
      <c r="E81" s="4"/>
      <c r="F81" s="4"/>
    </row>
    <row r="82" spans="1:9" x14ac:dyDescent="0.35">
      <c r="A82" s="36" t="s">
        <v>111</v>
      </c>
      <c r="B82" s="26">
        <v>0.06</v>
      </c>
      <c r="C82" s="37" t="s">
        <v>61</v>
      </c>
      <c r="D82" s="38">
        <v>0</v>
      </c>
      <c r="E82" s="4"/>
      <c r="F82" s="4"/>
    </row>
    <row r="83" spans="1:9" x14ac:dyDescent="0.35">
      <c r="A83" s="32" t="s">
        <v>112</v>
      </c>
      <c r="B83" s="54"/>
      <c r="C83" s="49"/>
      <c r="D83" s="54"/>
      <c r="E83" s="37" t="s">
        <v>70</v>
      </c>
      <c r="F83" s="4"/>
    </row>
    <row r="84" spans="1:9" x14ac:dyDescent="0.35">
      <c r="A84" s="36" t="s">
        <v>113</v>
      </c>
      <c r="B84" s="26">
        <v>6.5000000000000002E-2</v>
      </c>
      <c r="C84" s="37" t="s">
        <v>61</v>
      </c>
      <c r="D84" s="38">
        <v>0</v>
      </c>
      <c r="E84" s="4"/>
      <c r="F84" s="4"/>
    </row>
    <row r="85" spans="1:9" x14ac:dyDescent="0.35">
      <c r="A85" s="32" t="s">
        <v>114</v>
      </c>
      <c r="B85" s="33">
        <v>7.9000000000000001E-2</v>
      </c>
      <c r="C85" s="34" t="s">
        <v>61</v>
      </c>
      <c r="D85" s="35">
        <v>0</v>
      </c>
      <c r="E85" s="4"/>
      <c r="F85" s="4"/>
    </row>
    <row r="86" spans="1:9" x14ac:dyDescent="0.35">
      <c r="A86" s="36" t="s">
        <v>115</v>
      </c>
      <c r="B86" s="15"/>
      <c r="C86" s="48"/>
      <c r="D86" s="15"/>
      <c r="E86" s="48" t="s">
        <v>28</v>
      </c>
      <c r="F86" s="4"/>
    </row>
    <row r="87" spans="1:9" x14ac:dyDescent="0.35">
      <c r="A87" s="32" t="s">
        <v>116</v>
      </c>
      <c r="B87" s="41">
        <v>8.2500000000000004E-2</v>
      </c>
      <c r="C87" s="34" t="s">
        <v>61</v>
      </c>
      <c r="D87" s="35">
        <v>0</v>
      </c>
      <c r="E87" s="4"/>
      <c r="F87" s="4"/>
    </row>
    <row r="88" spans="1:9" ht="14.25" customHeight="1" x14ac:dyDescent="0.35">
      <c r="A88" s="189" t="s">
        <v>117</v>
      </c>
      <c r="B88" s="189"/>
      <c r="C88" s="189"/>
      <c r="D88" s="189"/>
      <c r="E88" s="57"/>
      <c r="F88" s="57"/>
      <c r="G88" s="57"/>
      <c r="H88" s="57"/>
      <c r="I88" s="57"/>
    </row>
    <row r="89" spans="1:9" ht="20.25" customHeight="1" x14ac:dyDescent="0.35">
      <c r="A89" s="190" t="s">
        <v>118</v>
      </c>
      <c r="B89" s="190"/>
      <c r="C89" s="190"/>
      <c r="D89" s="190"/>
      <c r="E89" s="57"/>
      <c r="F89" s="57"/>
      <c r="G89" s="57"/>
      <c r="H89" s="57"/>
      <c r="I89" s="57"/>
    </row>
    <row r="90" spans="1:9" x14ac:dyDescent="0.35">
      <c r="A90" s="191" t="s">
        <v>119</v>
      </c>
      <c r="B90" s="191"/>
      <c r="C90" s="191"/>
      <c r="D90" s="191"/>
      <c r="E90" s="57"/>
      <c r="F90" s="57"/>
      <c r="G90" s="57"/>
      <c r="H90" s="57"/>
      <c r="I90" s="57"/>
    </row>
    <row r="91" spans="1:9" x14ac:dyDescent="0.35">
      <c r="A91" s="192" t="s">
        <v>120</v>
      </c>
      <c r="B91" s="192"/>
      <c r="C91" s="192"/>
      <c r="D91" s="192"/>
      <c r="I91" s="58"/>
    </row>
    <row r="92" spans="1:9" ht="15" customHeight="1" x14ac:dyDescent="0.35">
      <c r="A92" s="190" t="s">
        <v>121</v>
      </c>
      <c r="B92" s="190"/>
      <c r="C92" s="190"/>
      <c r="D92" s="190"/>
      <c r="I92" s="58"/>
    </row>
    <row r="93" spans="1:9" ht="15" customHeight="1" x14ac:dyDescent="0.35">
      <c r="A93" s="186" t="s">
        <v>122</v>
      </c>
      <c r="B93" s="186"/>
      <c r="C93" s="186"/>
      <c r="D93" s="186"/>
      <c r="E93" s="59"/>
      <c r="F93" s="59"/>
      <c r="G93" s="59"/>
      <c r="H93" s="59"/>
      <c r="I93" s="58"/>
    </row>
    <row r="94" spans="1:9" ht="15" customHeight="1" x14ac:dyDescent="0.35">
      <c r="A94" s="187" t="s">
        <v>123</v>
      </c>
      <c r="B94" s="187"/>
      <c r="C94" s="187"/>
      <c r="D94" s="187"/>
      <c r="E94" s="59"/>
      <c r="F94" s="59"/>
      <c r="G94" s="59"/>
      <c r="H94" s="59"/>
      <c r="I94" s="4"/>
    </row>
    <row r="95" spans="1:9" ht="15" customHeight="1" x14ac:dyDescent="0.35">
      <c r="A95" s="59"/>
      <c r="B95" s="59"/>
      <c r="C95" s="59"/>
      <c r="D95" s="59"/>
      <c r="E95" s="59"/>
      <c r="F95" s="59"/>
      <c r="G95" s="59"/>
      <c r="H95" s="59"/>
      <c r="I95" s="4"/>
    </row>
    <row r="96" spans="1:9" ht="29.25" customHeight="1" x14ac:dyDescent="0.35">
      <c r="A96" s="59"/>
      <c r="B96" s="59"/>
      <c r="C96" s="59"/>
      <c r="D96" s="59"/>
      <c r="E96" s="59"/>
      <c r="F96" s="59"/>
      <c r="G96" s="59"/>
      <c r="H96" s="59"/>
      <c r="I96" s="4"/>
    </row>
    <row r="97" spans="1:9" ht="14.65" customHeight="1" x14ac:dyDescent="0.35">
      <c r="A97" s="60"/>
      <c r="B97" s="61"/>
      <c r="C97" s="61"/>
      <c r="D97" s="61"/>
      <c r="E97" s="61"/>
      <c r="F97" s="61"/>
      <c r="G97" s="61"/>
      <c r="H97" s="61"/>
      <c r="I97" s="4"/>
    </row>
    <row r="98" spans="1:9" ht="14.25" customHeight="1" x14ac:dyDescent="0.35">
      <c r="A98" s="4"/>
      <c r="B98" s="58"/>
      <c r="C98" s="58"/>
      <c r="D98" s="58"/>
      <c r="E98" s="58"/>
      <c r="F98" s="58"/>
      <c r="G98" s="58"/>
      <c r="H98" s="58"/>
      <c r="I98" s="4"/>
    </row>
    <row r="99" spans="1:9" ht="14.25" customHeight="1" x14ac:dyDescent="0.35">
      <c r="A99" s="4"/>
      <c r="B99" s="58"/>
      <c r="C99" s="58"/>
      <c r="D99" s="58"/>
      <c r="E99" s="58"/>
      <c r="F99" s="58"/>
      <c r="G99" s="58"/>
      <c r="H99" s="58"/>
      <c r="I99" s="4"/>
    </row>
    <row r="100" spans="1:9" ht="14.65" customHeight="1" x14ac:dyDescent="0.35">
      <c r="A100" s="60"/>
      <c r="B100" s="61"/>
      <c r="C100" s="61"/>
      <c r="D100" s="61"/>
      <c r="E100" s="61"/>
      <c r="F100" s="61"/>
      <c r="G100" s="61"/>
      <c r="H100" s="61"/>
      <c r="I100" s="4"/>
    </row>
    <row r="101" spans="1:9" ht="14.25" customHeight="1" x14ac:dyDescent="0.35">
      <c r="A101" s="62"/>
      <c r="B101" s="59"/>
      <c r="C101" s="59"/>
      <c r="D101" s="59"/>
      <c r="E101" s="59"/>
      <c r="F101" s="59"/>
      <c r="G101" s="59"/>
      <c r="H101" s="59"/>
      <c r="I101" s="4"/>
    </row>
    <row r="102" spans="1:9" x14ac:dyDescent="0.35">
      <c r="A102" s="62"/>
      <c r="B102" s="59"/>
      <c r="C102" s="59"/>
      <c r="D102" s="59"/>
      <c r="E102" s="59"/>
      <c r="F102" s="59"/>
      <c r="G102" s="59"/>
      <c r="H102" s="59"/>
      <c r="I102" s="4"/>
    </row>
    <row r="103" spans="1:9" x14ac:dyDescent="0.35">
      <c r="A103" s="62"/>
      <c r="B103" s="59"/>
      <c r="C103" s="59"/>
      <c r="D103" s="59"/>
      <c r="E103" s="59"/>
      <c r="F103" s="59"/>
      <c r="G103" s="59"/>
      <c r="H103" s="59"/>
      <c r="I103" s="4"/>
    </row>
    <row r="104" spans="1:9" ht="17.25" customHeight="1" x14ac:dyDescent="0.35">
      <c r="A104" s="5"/>
      <c r="B104" s="63"/>
      <c r="C104" s="63"/>
      <c r="D104" s="63"/>
      <c r="E104" s="63"/>
      <c r="F104" s="63"/>
      <c r="G104" s="63"/>
      <c r="H104" s="63"/>
      <c r="I104" s="4"/>
    </row>
    <row r="105" spans="1:9" x14ac:dyDescent="0.35">
      <c r="A105" s="5"/>
      <c r="B105" s="63"/>
      <c r="C105" s="63"/>
      <c r="D105" s="63"/>
      <c r="E105" s="63"/>
      <c r="F105" s="63"/>
      <c r="G105" s="63"/>
      <c r="H105" s="63"/>
    </row>
    <row r="106" spans="1:9" ht="15" customHeight="1" x14ac:dyDescent="0.35">
      <c r="A106" s="5"/>
      <c r="B106" s="63"/>
      <c r="C106" s="63"/>
      <c r="D106" s="63"/>
      <c r="E106" s="63"/>
      <c r="F106" s="63"/>
      <c r="G106" s="63"/>
      <c r="H106" s="63"/>
    </row>
    <row r="110" spans="1:9" x14ac:dyDescent="0.35">
      <c r="A110" s="58"/>
      <c r="B110" s="58"/>
      <c r="C110" s="58"/>
      <c r="D110" s="58"/>
      <c r="E110" s="42"/>
      <c r="F110" s="42"/>
      <c r="G110" s="42"/>
      <c r="H110" s="42"/>
    </row>
    <row r="111" spans="1:9" x14ac:dyDescent="0.35">
      <c r="A111" s="64"/>
      <c r="B111" s="64"/>
      <c r="C111" s="64"/>
      <c r="D111" s="64"/>
      <c r="E111" s="65"/>
    </row>
    <row r="114" spans="1:8" x14ac:dyDescent="0.35">
      <c r="A114" s="58"/>
      <c r="B114" s="58"/>
      <c r="C114" s="58"/>
      <c r="D114" s="58"/>
      <c r="E114" s="42"/>
      <c r="F114" s="42"/>
      <c r="G114" s="42"/>
      <c r="H114" s="42"/>
    </row>
    <row r="115" spans="1:8" x14ac:dyDescent="0.35">
      <c r="A115" s="64"/>
      <c r="B115" s="64"/>
      <c r="C115" s="64"/>
      <c r="D115" s="64"/>
      <c r="E115" s="65"/>
    </row>
    <row r="116" spans="1:8" x14ac:dyDescent="0.35">
      <c r="A116" s="64"/>
      <c r="B116" s="64"/>
      <c r="C116" s="64"/>
      <c r="D116" s="64"/>
    </row>
    <row r="117" spans="1:8" x14ac:dyDescent="0.35">
      <c r="A117" s="42"/>
      <c r="B117" s="42"/>
      <c r="C117" s="42"/>
      <c r="D117" s="42"/>
    </row>
    <row r="118" spans="1:8" x14ac:dyDescent="0.35">
      <c r="A118" s="66"/>
      <c r="B118" s="67"/>
      <c r="C118" s="67"/>
    </row>
  </sheetData>
  <mergeCells count="8">
    <mergeCell ref="A93:D93"/>
    <mergeCell ref="A94:D94"/>
    <mergeCell ref="A1:D1"/>
    <mergeCell ref="A88:D88"/>
    <mergeCell ref="A89:D89"/>
    <mergeCell ref="A90:D90"/>
    <mergeCell ref="A91:D91"/>
    <mergeCell ref="A92:D9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73AB1-B32E-4BEE-B178-C8C9894E2AD4}">
  <sheetPr codeName="Sheet4">
    <tabColor theme="8" tint="0.39997558519241921"/>
  </sheetPr>
  <dimension ref="B1:AM82"/>
  <sheetViews>
    <sheetView showGridLines="0" topLeftCell="A11" zoomScale="120" zoomScaleNormal="120" workbookViewId="0">
      <selection activeCell="C14" sqref="C14"/>
    </sheetView>
  </sheetViews>
  <sheetFormatPr defaultRowHeight="14.5" x14ac:dyDescent="0.35"/>
  <cols>
    <col min="1" max="1" width="2.54296875" customWidth="1"/>
    <col min="2" max="2" width="39.81640625" customWidth="1"/>
    <col min="4" max="4" width="11.7265625" customWidth="1"/>
    <col min="5" max="7" width="9.54296875" bestFit="1" customWidth="1"/>
    <col min="8" max="11" width="10.453125" bestFit="1" customWidth="1"/>
    <col min="25" max="25" width="16.81640625" customWidth="1"/>
  </cols>
  <sheetData>
    <row r="1" spans="2:39" x14ac:dyDescent="0.35">
      <c r="D1" s="4"/>
      <c r="E1" s="4"/>
      <c r="F1" s="4"/>
      <c r="J1" s="4"/>
      <c r="K1" s="4"/>
      <c r="U1" s="1" t="s">
        <v>124</v>
      </c>
    </row>
    <row r="2" spans="2:39" x14ac:dyDescent="0.35">
      <c r="B2" s="9" t="s">
        <v>125</v>
      </c>
      <c r="C2" s="9" t="s">
        <v>270</v>
      </c>
      <c r="D2" s="9" t="s">
        <v>271</v>
      </c>
      <c r="E2" s="9"/>
      <c r="J2" s="4"/>
      <c r="K2" s="4"/>
      <c r="U2" s="68" t="s">
        <v>126</v>
      </c>
    </row>
    <row r="3" spans="2:39" x14ac:dyDescent="0.35">
      <c r="B3" s="4" t="s">
        <v>16</v>
      </c>
      <c r="C3" s="27">
        <f>(OR(AND(OR(Calculator!E25="Yes",Calculator!$E$35="Yes"),Calculator!$C$19&gt;=1000,Calculator!$C$7&gt;=2025),AND(Calculator!$C$7&lt;2025,Calculator!$C$19&lt;1000),AND(Calculator!$C$7&lt;2025,Calculator!$C$19&gt;=1000,OR(Calculator!$E$25="Yes",Calculator!$E$35="Yes"))))*((C8*5)-C8)</f>
        <v>0.24</v>
      </c>
      <c r="D3" s="27">
        <f>(OR(AND(OR(Calculator!E25="Yes",Calculator!$E$37="Yes"),Calculator!$E$12&gt;=1000,Calculator!$C$7&gt;=2025),AND(Calculator!$C$7&lt;2025,Calculator!$E$12&lt;1000),AND(Calculator!$C$7&lt;2025,Calculator!$E$12&gt;=1000,OR(Calculator!$E$25="Yes",Calculator!$E$37="Yes"))))*((D8*5)-D8)</f>
        <v>0.24</v>
      </c>
      <c r="E3" s="13" t="str">
        <f>Calculator!E25</f>
        <v>Yes</v>
      </c>
      <c r="F3" s="2" t="s">
        <v>241</v>
      </c>
      <c r="J3" s="121"/>
      <c r="K3" s="121"/>
      <c r="U3" s="68" t="s">
        <v>127</v>
      </c>
    </row>
    <row r="4" spans="2:39" x14ac:dyDescent="0.35">
      <c r="B4" s="4" t="s">
        <v>18</v>
      </c>
      <c r="C4" s="27">
        <f>IF(OR(E$3 = "Yes",Calculator!$C$19&lt;1000), 10%, 2%)*(Calculator!E26="Yes")</f>
        <v>0.1</v>
      </c>
      <c r="D4" s="27">
        <f>IF(OR(E$3 = "Yes",Calculator!$E$12&lt;1000), 10%, 2%)*(Calculator!E26="Yes")</f>
        <v>0.1</v>
      </c>
      <c r="E4" s="4" t="str">
        <f>Calculator!E26</f>
        <v>Yes</v>
      </c>
      <c r="J4" s="121"/>
      <c r="K4" s="121"/>
      <c r="U4" s="68" t="s">
        <v>128</v>
      </c>
    </row>
    <row r="5" spans="2:39" x14ac:dyDescent="0.35">
      <c r="B5" s="4" t="s">
        <v>19</v>
      </c>
      <c r="C5" s="27">
        <f>IF(OR(E$3 = "Yes",Calculator!$C$19&lt;1000,AND(E$3="No",Calculator!$C$19&gt;=1000,Calculator!$E$35="Yes")), 10%, 2%)*(Calculator!E27="Yes")</f>
        <v>0.1</v>
      </c>
      <c r="D5" s="27">
        <f>IF(OR(E$3 = "Yes",Calculator!$E$12&lt;1000,AND(E$3="No",Calculator!$E$12&gt;=1000,Calculator!$E$37="Yes")), 10%, 2%)*(Calculator!E27="Yes")</f>
        <v>0.1</v>
      </c>
      <c r="E5" s="4" t="str">
        <f>Calculator!E27</f>
        <v>Yes</v>
      </c>
      <c r="J5" s="121"/>
      <c r="K5" s="121"/>
    </row>
    <row r="6" spans="2:39" x14ac:dyDescent="0.35">
      <c r="B6" s="4" t="s">
        <v>129</v>
      </c>
      <c r="C6" s="27">
        <f>(Calculator!E28="1 or 2")*10%</f>
        <v>0</v>
      </c>
      <c r="D6" s="27">
        <f>(Calculator!F28="1 or 2")*10%</f>
        <v>0</v>
      </c>
      <c r="E6" s="4" t="str">
        <f>Calculator!E28</f>
        <v>None</v>
      </c>
      <c r="J6" s="121"/>
      <c r="K6" s="121"/>
    </row>
    <row r="7" spans="2:39" x14ac:dyDescent="0.35">
      <c r="B7" s="4" t="s">
        <v>130</v>
      </c>
      <c r="C7" s="27">
        <f>(Calculator!E28="3 or 4")*20%</f>
        <v>0</v>
      </c>
      <c r="D7" s="27">
        <f>(Calculator!F28="3 or 4")*20%</f>
        <v>0</v>
      </c>
      <c r="E7" s="4"/>
      <c r="J7" s="121"/>
      <c r="K7" s="121"/>
    </row>
    <row r="8" spans="2:39" x14ac:dyDescent="0.35">
      <c r="B8" s="4" t="s">
        <v>131</v>
      </c>
      <c r="C8" s="27">
        <f>IF(AND(Calculator!$C$19&lt;1000,Calculator!$C$7&gt;=2025),30%,6%)*(1-IF(Calculator!$C$7&lt;2025,MIN(Calculator!$C$37,Calculator!$C$38),0))</f>
        <v>0.06</v>
      </c>
      <c r="D8" s="27">
        <f>IF(AND(Calculator!$E$12&lt;1000,Calculator!$C$7&gt;=2025),30%,6%)*(1-IF(Calculator!$C$7&lt;2025,MIN(Calculator!$C$37,Calculator!$C$38),0))</f>
        <v>0.06</v>
      </c>
      <c r="E8" s="4"/>
      <c r="J8" s="121"/>
      <c r="K8" s="121"/>
    </row>
    <row r="9" spans="2:39" x14ac:dyDescent="0.35">
      <c r="B9" s="13" t="s">
        <v>132</v>
      </c>
      <c r="C9" s="180">
        <f>IF(C2= "None", 0, SUM(C3:C8))*IF(AND(Calculator!$C$19&gt;1000,Calculator!$E$26="No",Calculator!$E$34="No"),(1-IFERROR(_xlfn.XLOOKUP(Calculator!$C$7,Lookup!$S$25:$S$51,Lookup!$U$25:$U$51),0)),1)*(1-IF(Calculator!$C$7&gt;=2025,MIN(Calculator!$C$37,Calculator!$C$38),0))</f>
        <v>0.49999999999999994</v>
      </c>
      <c r="D9" s="122">
        <f>IF(D2= "None", 0, SUM(D3:D8))*IF(AND(Calculator!$E$12&gt;1000,Calculator!$E$26="No",Calculator!$E$36="No"),(1-IFERROR(_xlfn.XLOOKUP(Calculator!$C$7,Lookup!$S$25:$S$51,Lookup!$U$25:$U$51),0)),1)*(1-IF(Calculator!$C$7&gt;=2025,MIN(Calculator!$C$37,Calculator!$C$38),0))</f>
        <v>0.49999999999999994</v>
      </c>
      <c r="J9" s="120"/>
      <c r="K9" s="120"/>
    </row>
    <row r="10" spans="2:39" x14ac:dyDescent="0.35">
      <c r="B10" s="1"/>
    </row>
    <row r="11" spans="2:39" x14ac:dyDescent="0.35">
      <c r="B11" s="2" t="s">
        <v>249</v>
      </c>
      <c r="C11">
        <f>8760</f>
        <v>8760</v>
      </c>
    </row>
    <row r="12" spans="2:39" x14ac:dyDescent="0.35">
      <c r="B12" s="81" t="s">
        <v>133</v>
      </c>
      <c r="C12" s="81">
        <v>2023</v>
      </c>
      <c r="D12" s="81">
        <f>C12+1</f>
        <v>2024</v>
      </c>
      <c r="E12" s="81">
        <f t="shared" ref="E12:K12" si="0">D12+1</f>
        <v>2025</v>
      </c>
      <c r="F12" s="81">
        <f t="shared" si="0"/>
        <v>2026</v>
      </c>
      <c r="G12" s="81">
        <f t="shared" si="0"/>
        <v>2027</v>
      </c>
      <c r="H12" s="81">
        <f t="shared" si="0"/>
        <v>2028</v>
      </c>
      <c r="I12" s="81">
        <f t="shared" si="0"/>
        <v>2029</v>
      </c>
      <c r="J12" s="81">
        <f t="shared" si="0"/>
        <v>2030</v>
      </c>
      <c r="K12" s="81">
        <f t="shared" si="0"/>
        <v>2031</v>
      </c>
      <c r="L12" s="81">
        <f t="shared" ref="L12:AM12" si="1">K12+1</f>
        <v>2032</v>
      </c>
      <c r="M12" s="81">
        <f t="shared" si="1"/>
        <v>2033</v>
      </c>
      <c r="N12" s="81">
        <f t="shared" si="1"/>
        <v>2034</v>
      </c>
      <c r="O12" s="81">
        <f t="shared" si="1"/>
        <v>2035</v>
      </c>
      <c r="P12" s="81">
        <f t="shared" si="1"/>
        <v>2036</v>
      </c>
      <c r="Q12" s="81">
        <f t="shared" si="1"/>
        <v>2037</v>
      </c>
      <c r="R12" s="81">
        <f t="shared" si="1"/>
        <v>2038</v>
      </c>
      <c r="S12" s="81">
        <f t="shared" si="1"/>
        <v>2039</v>
      </c>
      <c r="T12" s="81">
        <f t="shared" si="1"/>
        <v>2040</v>
      </c>
      <c r="U12" s="81">
        <f t="shared" si="1"/>
        <v>2041</v>
      </c>
      <c r="V12" s="81">
        <f t="shared" si="1"/>
        <v>2042</v>
      </c>
      <c r="W12" s="81">
        <f t="shared" si="1"/>
        <v>2043</v>
      </c>
      <c r="X12" s="81">
        <f t="shared" si="1"/>
        <v>2044</v>
      </c>
      <c r="Y12" s="81">
        <f t="shared" si="1"/>
        <v>2045</v>
      </c>
      <c r="Z12" s="81">
        <f t="shared" si="1"/>
        <v>2046</v>
      </c>
      <c r="AA12" s="81">
        <f t="shared" si="1"/>
        <v>2047</v>
      </c>
      <c r="AB12" s="81">
        <f t="shared" si="1"/>
        <v>2048</v>
      </c>
      <c r="AC12" s="81">
        <f t="shared" si="1"/>
        <v>2049</v>
      </c>
      <c r="AD12" s="81">
        <f t="shared" si="1"/>
        <v>2050</v>
      </c>
      <c r="AE12" s="81">
        <f t="shared" si="1"/>
        <v>2051</v>
      </c>
      <c r="AF12" s="81">
        <f t="shared" si="1"/>
        <v>2052</v>
      </c>
      <c r="AG12" s="81">
        <f t="shared" si="1"/>
        <v>2053</v>
      </c>
      <c r="AH12" s="81">
        <f t="shared" si="1"/>
        <v>2054</v>
      </c>
      <c r="AI12" s="81">
        <f t="shared" si="1"/>
        <v>2055</v>
      </c>
      <c r="AJ12" s="81">
        <f t="shared" si="1"/>
        <v>2056</v>
      </c>
      <c r="AK12" s="81">
        <f t="shared" si="1"/>
        <v>2057</v>
      </c>
      <c r="AL12" s="81">
        <f t="shared" si="1"/>
        <v>2058</v>
      </c>
      <c r="AM12" s="81">
        <f t="shared" si="1"/>
        <v>2059</v>
      </c>
    </row>
    <row r="13" spans="2:39" x14ac:dyDescent="0.35">
      <c r="B13" s="4" t="s">
        <v>50</v>
      </c>
      <c r="C13" s="79">
        <f>IF(OR(AND(Calculator!E25="Yes",Calculator!$C$19&gt;=1000,Calculator!$C$7&gt;=2025),AND(Calculator!$E$35="Yes",Calculator!$C$19&gt;=1000,Calculator!$C$7&gt;=2025),AND(Calculator!$C$19&lt;1000,Calculator!$C$7&gt;=2025)),1.5,0.3)</f>
        <v>0.3</v>
      </c>
      <c r="D13" s="79">
        <f>C13</f>
        <v>0.3</v>
      </c>
      <c r="E13" s="79">
        <f t="shared" ref="E13:K13" si="2">D13</f>
        <v>0.3</v>
      </c>
      <c r="F13" s="79">
        <f t="shared" si="2"/>
        <v>0.3</v>
      </c>
      <c r="G13" s="79">
        <f t="shared" si="2"/>
        <v>0.3</v>
      </c>
      <c r="H13" s="79">
        <f t="shared" si="2"/>
        <v>0.3</v>
      </c>
      <c r="I13" s="79">
        <f t="shared" si="2"/>
        <v>0.3</v>
      </c>
      <c r="J13" s="79">
        <f t="shared" si="2"/>
        <v>0.3</v>
      </c>
      <c r="K13" s="79">
        <f t="shared" si="2"/>
        <v>0.3</v>
      </c>
      <c r="L13" s="79">
        <f t="shared" ref="L13:AM13" si="3">K13</f>
        <v>0.3</v>
      </c>
      <c r="M13" s="79">
        <f t="shared" si="3"/>
        <v>0.3</v>
      </c>
      <c r="N13" s="79">
        <f t="shared" si="3"/>
        <v>0.3</v>
      </c>
      <c r="O13" s="79">
        <f t="shared" si="3"/>
        <v>0.3</v>
      </c>
      <c r="P13" s="79">
        <f t="shared" si="3"/>
        <v>0.3</v>
      </c>
      <c r="Q13" s="79">
        <f t="shared" si="3"/>
        <v>0.3</v>
      </c>
      <c r="R13" s="79">
        <f t="shared" si="3"/>
        <v>0.3</v>
      </c>
      <c r="S13" s="79">
        <f t="shared" si="3"/>
        <v>0.3</v>
      </c>
      <c r="T13" s="79">
        <f t="shared" si="3"/>
        <v>0.3</v>
      </c>
      <c r="U13" s="79">
        <f t="shared" si="3"/>
        <v>0.3</v>
      </c>
      <c r="V13" s="79">
        <f t="shared" si="3"/>
        <v>0.3</v>
      </c>
      <c r="W13" s="79">
        <f t="shared" si="3"/>
        <v>0.3</v>
      </c>
      <c r="X13" s="79">
        <f t="shared" si="3"/>
        <v>0.3</v>
      </c>
      <c r="Y13" s="79">
        <f t="shared" si="3"/>
        <v>0.3</v>
      </c>
      <c r="Z13" s="79">
        <f t="shared" si="3"/>
        <v>0.3</v>
      </c>
      <c r="AA13" s="79">
        <f t="shared" si="3"/>
        <v>0.3</v>
      </c>
      <c r="AB13" s="79">
        <f t="shared" si="3"/>
        <v>0.3</v>
      </c>
      <c r="AC13" s="79">
        <f t="shared" si="3"/>
        <v>0.3</v>
      </c>
      <c r="AD13" s="79">
        <f t="shared" si="3"/>
        <v>0.3</v>
      </c>
      <c r="AE13" s="79">
        <f t="shared" si="3"/>
        <v>0.3</v>
      </c>
      <c r="AF13" s="79">
        <f t="shared" si="3"/>
        <v>0.3</v>
      </c>
      <c r="AG13" s="79">
        <f t="shared" si="3"/>
        <v>0.3</v>
      </c>
      <c r="AH13" s="79">
        <f t="shared" si="3"/>
        <v>0.3</v>
      </c>
      <c r="AI13" s="79">
        <f t="shared" si="3"/>
        <v>0.3</v>
      </c>
      <c r="AJ13" s="79">
        <f t="shared" si="3"/>
        <v>0.3</v>
      </c>
      <c r="AK13" s="79">
        <f t="shared" si="3"/>
        <v>0.3</v>
      </c>
      <c r="AL13" s="79">
        <f t="shared" si="3"/>
        <v>0.3</v>
      </c>
      <c r="AM13" s="79">
        <f t="shared" si="3"/>
        <v>0.3</v>
      </c>
    </row>
    <row r="14" spans="2:39" x14ac:dyDescent="0.35">
      <c r="B14" s="4" t="s">
        <v>286</v>
      </c>
      <c r="C14" s="79">
        <f>C13*10%*(AND($E$5="Yes",Calculator!$C$7&gt;=2025))</f>
        <v>0</v>
      </c>
      <c r="D14" s="79">
        <f>D13*10%*(AND($E$5="Yes",Calculator!$C$7&gt;=2025))</f>
        <v>0</v>
      </c>
      <c r="E14" s="79">
        <f>E13*10%*(AND($E$5="Yes",Calculator!$C$7&gt;=2025))</f>
        <v>0</v>
      </c>
      <c r="F14" s="79">
        <f>F13*10%*(AND($E$5="Yes",Calculator!$C$7&gt;=2025))</f>
        <v>0</v>
      </c>
      <c r="G14" s="79">
        <f>G13*10%*(AND($E$5="Yes",Calculator!$C$7&gt;=2025))</f>
        <v>0</v>
      </c>
      <c r="H14" s="79">
        <f>H13*10%*(AND($E$5="Yes",Calculator!$C$7&gt;=2025))</f>
        <v>0</v>
      </c>
      <c r="I14" s="79">
        <f>I13*10%*(AND($E$5="Yes",Calculator!$C$7&gt;=2025))</f>
        <v>0</v>
      </c>
      <c r="J14" s="79">
        <f>J13*10%*(AND($E$5="Yes",Calculator!$C$7&gt;=2025))</f>
        <v>0</v>
      </c>
      <c r="K14" s="79">
        <f>K13*10%*(AND($E$5="Yes",Calculator!$C$7&gt;=2025))</f>
        <v>0</v>
      </c>
      <c r="L14" s="79">
        <f>L13*10%*(AND($E$5="Yes",Calculator!$C$7&gt;=2025))</f>
        <v>0</v>
      </c>
      <c r="M14" s="79">
        <f>M13*10%*(AND($E$5="Yes",Calculator!$C$7&gt;=2025))</f>
        <v>0</v>
      </c>
      <c r="N14" s="79">
        <f>N13*10%*(AND($E$5="Yes",Calculator!$C$7&gt;=2025))</f>
        <v>0</v>
      </c>
      <c r="O14" s="79">
        <f>O13*10%*(AND($E$5="Yes",Calculator!$C$7&gt;=2025))</f>
        <v>0</v>
      </c>
      <c r="P14" s="79">
        <f>P13*10%*(AND($E$5="Yes",Calculator!$C$7&gt;=2025))</f>
        <v>0</v>
      </c>
      <c r="Q14" s="79">
        <f>Q13*10%*(AND($E$5="Yes",Calculator!$C$7&gt;=2025))</f>
        <v>0</v>
      </c>
      <c r="R14" s="79">
        <f>R13*10%*(AND($E$5="Yes",Calculator!$C$7&gt;=2025))</f>
        <v>0</v>
      </c>
      <c r="S14" s="79">
        <f>S13*10%*(AND($E$5="Yes",Calculator!$C$7&gt;=2025))</f>
        <v>0</v>
      </c>
      <c r="T14" s="79">
        <f>T13*10%*(AND($E$5="Yes",Calculator!$C$7&gt;=2025))</f>
        <v>0</v>
      </c>
      <c r="U14" s="79">
        <f>U13*10%*(AND($E$5="Yes",Calculator!$C$7&gt;=2025))</f>
        <v>0</v>
      </c>
      <c r="V14" s="79">
        <f>V13*10%*(AND($E$5="Yes",Calculator!$C$7&gt;=2025))</f>
        <v>0</v>
      </c>
      <c r="W14" s="79">
        <f>W13*10%*(AND($E$5="Yes",Calculator!$C$7&gt;=2025))</f>
        <v>0</v>
      </c>
      <c r="X14" s="79">
        <f>X13*10%*(AND($E$5="Yes",Calculator!$C$7&gt;=2025))</f>
        <v>0</v>
      </c>
      <c r="Y14" s="79">
        <f>Y13*10%*(AND($E$5="Yes",Calculator!$C$7&gt;=2025))</f>
        <v>0</v>
      </c>
      <c r="Z14" s="79">
        <f>Z13*10%*(AND($E$5="Yes",Calculator!$C$7&gt;=2025))</f>
        <v>0</v>
      </c>
      <c r="AA14" s="79">
        <f>AA13*10%*(AND($E$5="Yes",Calculator!$C$7&gt;=2025))</f>
        <v>0</v>
      </c>
      <c r="AB14" s="79">
        <f>AB13*10%*(AND($E$5="Yes",Calculator!$C$7&gt;=2025))</f>
        <v>0</v>
      </c>
      <c r="AC14" s="79">
        <f>AC13*10%*(AND($E$5="Yes",Calculator!$C$7&gt;=2025))</f>
        <v>0</v>
      </c>
      <c r="AD14" s="79">
        <f>AD13*10%*(AND($E$5="Yes",Calculator!$C$7&gt;=2025))</f>
        <v>0</v>
      </c>
      <c r="AE14" s="79">
        <f>AE13*10%*(AND($E$5="Yes",Calculator!$C$7&gt;=2025))</f>
        <v>0</v>
      </c>
      <c r="AF14" s="79">
        <f>AF13*10%*(AND($E$5="Yes",Calculator!$C$7&gt;=2025))</f>
        <v>0</v>
      </c>
      <c r="AG14" s="79">
        <f>AG13*10%*(AND($E$5="Yes",Calculator!$C$7&gt;=2025))</f>
        <v>0</v>
      </c>
      <c r="AH14" s="79">
        <f>AH13*10%*(AND($E$5="Yes",Calculator!$C$7&gt;=2025))</f>
        <v>0</v>
      </c>
      <c r="AI14" s="79">
        <f>AI13*10%*(AND($E$5="Yes",Calculator!$C$7&gt;=2025))</f>
        <v>0</v>
      </c>
      <c r="AJ14" s="79">
        <f>AJ13*10%*(AND($E$5="Yes",Calculator!$C$7&gt;=2025))</f>
        <v>0</v>
      </c>
      <c r="AK14" s="79">
        <f>AK13*10%*(AND($E$5="Yes",Calculator!$C$7&gt;=2025))</f>
        <v>0</v>
      </c>
      <c r="AL14" s="79">
        <f>AL13*10%*(AND($E$5="Yes",Calculator!$C$7&gt;=2025))</f>
        <v>0</v>
      </c>
      <c r="AM14" s="79">
        <f>AM13*10%*(AND($E$5="Yes",Calculator!$C$7&gt;=2025))</f>
        <v>0</v>
      </c>
    </row>
    <row r="15" spans="2:39" x14ac:dyDescent="0.35">
      <c r="B15" s="4" t="s">
        <v>285</v>
      </c>
      <c r="C15" s="79">
        <f>C13*10%*(AND($E$4="Yes",Calculator!$C$7&gt;=2025))</f>
        <v>0</v>
      </c>
      <c r="D15" s="79">
        <f>D13*10%*(AND($E$4="Yes",Calculator!$C$7&gt;=2025))</f>
        <v>0</v>
      </c>
      <c r="E15" s="79">
        <f>E13*10%*(AND($E$4="Yes",Calculator!$C$7&gt;=2025))</f>
        <v>0</v>
      </c>
      <c r="F15" s="79">
        <f>F13*10%*(AND($E$4="Yes",Calculator!$C$7&gt;=2025))</f>
        <v>0</v>
      </c>
      <c r="G15" s="79">
        <f>G13*10%*(AND($E$4="Yes",Calculator!$C$7&gt;=2025))</f>
        <v>0</v>
      </c>
      <c r="H15" s="79">
        <f>H13*10%*(AND($E$4="Yes",Calculator!$C$7&gt;=2025))</f>
        <v>0</v>
      </c>
      <c r="I15" s="79">
        <f>I13*10%*(AND($E$4="Yes",Calculator!$C$7&gt;=2025))</f>
        <v>0</v>
      </c>
      <c r="J15" s="79">
        <f>J13*10%*(AND($E$4="Yes",Calculator!$C$7&gt;=2025))</f>
        <v>0</v>
      </c>
      <c r="K15" s="79">
        <f>K13*10%*(AND($E$4="Yes",Calculator!$C$7&gt;=2025))</f>
        <v>0</v>
      </c>
      <c r="L15" s="79">
        <f>L13*10%*(AND($E$4="Yes",Calculator!$C$7&gt;=2025))</f>
        <v>0</v>
      </c>
      <c r="M15" s="79">
        <f>M13*10%*(AND($E$4="Yes",Calculator!$C$7&gt;=2025))</f>
        <v>0</v>
      </c>
      <c r="N15" s="79">
        <f>N13*10%*(AND($E$4="Yes",Calculator!$C$7&gt;=2025))</f>
        <v>0</v>
      </c>
      <c r="O15" s="79">
        <f>O13*10%*(AND($E$4="Yes",Calculator!$C$7&gt;=2025))</f>
        <v>0</v>
      </c>
      <c r="P15" s="79">
        <f>P13*10%*(AND($E$4="Yes",Calculator!$C$7&gt;=2025))</f>
        <v>0</v>
      </c>
      <c r="Q15" s="79">
        <f>Q13*10%*(AND($E$4="Yes",Calculator!$C$7&gt;=2025))</f>
        <v>0</v>
      </c>
      <c r="R15" s="79">
        <f>R13*10%*(AND($E$4="Yes",Calculator!$C$7&gt;=2025))</f>
        <v>0</v>
      </c>
      <c r="S15" s="79">
        <f>S13*10%*(AND($E$4="Yes",Calculator!$C$7&gt;=2025))</f>
        <v>0</v>
      </c>
      <c r="T15" s="79">
        <f>T13*10%*(AND($E$4="Yes",Calculator!$C$7&gt;=2025))</f>
        <v>0</v>
      </c>
      <c r="U15" s="79">
        <f>U13*10%*(AND($E$4="Yes",Calculator!$C$7&gt;=2025))</f>
        <v>0</v>
      </c>
      <c r="V15" s="79">
        <f>V13*10%*(AND($E$4="Yes",Calculator!$C$7&gt;=2025))</f>
        <v>0</v>
      </c>
      <c r="W15" s="79">
        <f>W13*10%*(AND($E$4="Yes",Calculator!$C$7&gt;=2025))</f>
        <v>0</v>
      </c>
      <c r="X15" s="79">
        <f>X13*10%*(AND($E$4="Yes",Calculator!$C$7&gt;=2025))</f>
        <v>0</v>
      </c>
      <c r="Y15" s="79">
        <f>Y13*10%*(AND($E$4="Yes",Calculator!$C$7&gt;=2025))</f>
        <v>0</v>
      </c>
      <c r="Z15" s="79">
        <f>Z13*10%*(AND($E$4="Yes",Calculator!$C$7&gt;=2025))</f>
        <v>0</v>
      </c>
      <c r="AA15" s="79">
        <f>AA13*10%*(AND($E$4="Yes",Calculator!$C$7&gt;=2025))</f>
        <v>0</v>
      </c>
      <c r="AB15" s="79">
        <f>AB13*10%*(AND($E$4="Yes",Calculator!$C$7&gt;=2025))</f>
        <v>0</v>
      </c>
      <c r="AC15" s="79">
        <f>AC13*10%*(AND($E$4="Yes",Calculator!$C$7&gt;=2025))</f>
        <v>0</v>
      </c>
      <c r="AD15" s="79">
        <f>AD13*10%*(AND($E$4="Yes",Calculator!$C$7&gt;=2025))</f>
        <v>0</v>
      </c>
      <c r="AE15" s="79">
        <f>AE13*10%*(AND($E$4="Yes",Calculator!$C$7&gt;=2025))</f>
        <v>0</v>
      </c>
      <c r="AF15" s="79">
        <f>AF13*10%*(AND($E$4="Yes",Calculator!$C$7&gt;=2025))</f>
        <v>0</v>
      </c>
      <c r="AG15" s="79">
        <f>AG13*10%*(AND($E$4="Yes",Calculator!$C$7&gt;=2025))</f>
        <v>0</v>
      </c>
      <c r="AH15" s="79">
        <f>AH13*10%*(AND($E$4="Yes",Calculator!$C$7&gt;=2025))</f>
        <v>0</v>
      </c>
      <c r="AI15" s="79">
        <f>AI13*10%*(AND($E$4="Yes",Calculator!$C$7&gt;=2025))</f>
        <v>0</v>
      </c>
      <c r="AJ15" s="79">
        <f>AJ13*10%*(AND($E$4="Yes",Calculator!$C$7&gt;=2025))</f>
        <v>0</v>
      </c>
      <c r="AK15" s="79">
        <f>AK13*10%*(AND($E$4="Yes",Calculator!$C$7&gt;=2025))</f>
        <v>0</v>
      </c>
      <c r="AL15" s="79">
        <f>AL13*10%*(AND($E$4="Yes",Calculator!$C$7&gt;=2025))</f>
        <v>0</v>
      </c>
      <c r="AM15" s="79">
        <f>AM13*10%*(AND($E$4="Yes",Calculator!$C$7&gt;=2025))</f>
        <v>0</v>
      </c>
    </row>
    <row r="16" spans="2:39" x14ac:dyDescent="0.35">
      <c r="B16" s="4" t="s">
        <v>134</v>
      </c>
      <c r="C16" s="79">
        <f>ROUND((SUM(C13:C15)*Calculator!$C$34)*(1+Calculator!$C$9)^(C12-$C$12)/IF($C$13=0.3,0.05,0.1),0)*IF($C$13=0.3,0.05,0.1)*(1-MIN(Calculator!$C$37,Calculator!$C$38))</f>
        <v>0.55000000000000004</v>
      </c>
      <c r="D16" s="79">
        <f>ROUND((SUM(D13:D15)*Calculator!$C$34)*(1+Calculator!$C$9)^(D12-$C$12)/IF($C$13=0.3,0.05,0.1),0)*IF($C$13=0.3,0.05,0.1)*(1-MIN(Calculator!$C$37,Calculator!$C$38))</f>
        <v>0.60000000000000009</v>
      </c>
      <c r="E16" s="79">
        <f>ROUND((SUM(E13:E15)*Calculator!$C$34)*(1+Calculator!$C$9)^(E12-$C$12)/IF($C$13=0.3,0.05,0.1),0)*IF($C$13=0.3,0.05,0.1)*(1-MIN(Calculator!$C$37,Calculator!$C$38))</f>
        <v>0.60000000000000009</v>
      </c>
      <c r="F16" s="79">
        <f>ROUND((SUM(F13:F15)*Calculator!$C$34)*(1+Calculator!$C$9)^(F12-$C$12)/IF($C$13=0.3,0.05,0.1),0)*IF($C$13=0.3,0.05,0.1)*(1-MIN(Calculator!$C$37,Calculator!$C$38))</f>
        <v>0.60000000000000009</v>
      </c>
      <c r="G16" s="79">
        <f>ROUND((SUM(G13:G15)*Calculator!$C$34)*(1+Calculator!$C$9)^(G12-$C$12)/IF($C$13=0.3,0.05,0.1),0)*IF($C$13=0.3,0.05,0.1)*(1-MIN(Calculator!$C$37,Calculator!$C$38))</f>
        <v>0.60000000000000009</v>
      </c>
      <c r="H16" s="79">
        <f>ROUND((SUM(H13:H15)*Calculator!$C$34)*(1+Calculator!$C$9)^(H12-$C$12)/IF($C$13=0.3,0.05,0.1),0)*IF($C$13=0.3,0.05,0.1)*(1-MIN(Calculator!$C$37,Calculator!$C$38))</f>
        <v>0.65</v>
      </c>
      <c r="I16" s="79">
        <f>ROUND((SUM(I13:I15)*Calculator!$C$34)*(1+Calculator!$C$9)^(I12-$C$12)/IF($C$13=0.3,0.05,0.1),0)*IF($C$13=0.3,0.05,0.1)*(1-MIN(Calculator!$C$37,Calculator!$C$38))</f>
        <v>0.65</v>
      </c>
      <c r="J16" s="79">
        <f>ROUND((SUM(J13:J15)*Calculator!$C$34)*(1+Calculator!$C$9)^(J12-$C$12)/IF($C$13=0.3,0.05,0.1),0)*IF($C$13=0.3,0.05,0.1)*(1-MIN(Calculator!$C$37,Calculator!$C$38))</f>
        <v>0.65</v>
      </c>
      <c r="K16" s="79">
        <f>ROUND((SUM(K13:K15)*Calculator!$C$34)*(1+Calculator!$C$9)^(K12-$C$12)/IF($C$13=0.3,0.05,0.1),0)*IF($C$13=0.3,0.05,0.1)*(1-MIN(Calculator!$C$37,Calculator!$C$38))</f>
        <v>0.65</v>
      </c>
      <c r="L16" s="79">
        <f>ROUND((SUM(L13:L15)*Calculator!$C$34)*(1+Calculator!$C$9)^(L12-$C$12)/IF($C$13=0.3,0.05,0.1),0)*IF($C$13=0.3,0.05,0.1)*(1-MIN(Calculator!$C$37,Calculator!$C$38))</f>
        <v>0.70000000000000007</v>
      </c>
      <c r="M16" s="79">
        <f>ROUND((SUM(M13:M15)*Calculator!$C$34)*(1+Calculator!$C$9)^(M12-$C$12)/IF($C$13=0.3,0.05,0.1),0)*IF($C$13=0.3,0.05,0.1)*(1-MIN(Calculator!$C$37,Calculator!$C$38))</f>
        <v>0.70000000000000007</v>
      </c>
      <c r="N16" s="79">
        <f>ROUND((SUM(N13:N15)*Calculator!$C$34)*(1+Calculator!$C$9)^(N12-$C$12)/IF($C$13=0.3,0.05,0.1),0)*IF($C$13=0.3,0.05,0.1)*(1-MIN(Calculator!$C$37,Calculator!$C$38))</f>
        <v>0.70000000000000007</v>
      </c>
      <c r="O16" s="79">
        <f>ROUND((SUM(O13:O15)*Calculator!$C$34)*(1+Calculator!$C$9)^(O12-$C$12)/IF($C$13=0.3,0.05,0.1),0)*IF($C$13=0.3,0.05,0.1)*(1-MIN(Calculator!$C$37,Calculator!$C$38))</f>
        <v>0.70000000000000007</v>
      </c>
      <c r="P16" s="79">
        <f>ROUND((SUM(P13:P15)*Calculator!$C$34)*(1+Calculator!$C$9)^(P12-$C$12)/IF($C$13=0.3,0.05,0.1),0)*IF($C$13=0.3,0.05,0.1)*(1-MIN(Calculator!$C$37,Calculator!$C$38))</f>
        <v>0.75</v>
      </c>
      <c r="Q16" s="79">
        <f>ROUND((SUM(Q13:Q15)*Calculator!$C$34)*(1+Calculator!$C$9)^(Q12-$C$12)/IF($C$13=0.3,0.05,0.1),0)*IF($C$13=0.3,0.05,0.1)*(1-MIN(Calculator!$C$37,Calculator!$C$38))</f>
        <v>0.75</v>
      </c>
      <c r="R16" s="79">
        <f>ROUND((SUM(R13:R15)*Calculator!$C$34)*(1+Calculator!$C$9)^(R12-$C$12)/IF($C$13=0.3,0.05,0.1),0)*IF($C$13=0.3,0.05,0.1)*(1-MIN(Calculator!$C$37,Calculator!$C$38))</f>
        <v>0.75</v>
      </c>
      <c r="S16" s="79">
        <f>ROUND((SUM(S13:S15)*Calculator!$C$34)*(1+Calculator!$C$9)^(S12-$C$12)/IF($C$13=0.3,0.05,0.1),0)*IF($C$13=0.3,0.05,0.1)*(1-MIN(Calculator!$C$37,Calculator!$C$38))</f>
        <v>0.8</v>
      </c>
      <c r="T16" s="79">
        <f>ROUND((SUM(T13:T15)*Calculator!$C$34)*(1+Calculator!$C$9)^(T12-$C$12)/IF($C$13=0.3,0.05,0.1),0)*IF($C$13=0.3,0.05,0.1)*(1-MIN(Calculator!$C$37,Calculator!$C$38))</f>
        <v>0.8</v>
      </c>
      <c r="U16" s="79">
        <f>ROUND((SUM(U13:U15)*Calculator!$C$34)*(1+Calculator!$C$9)^(U12-$C$12)/IF($C$13=0.3,0.05,0.1),0)*IF($C$13=0.3,0.05,0.1)*(1-MIN(Calculator!$C$37,Calculator!$C$38))</f>
        <v>0.8</v>
      </c>
      <c r="V16" s="79">
        <f>ROUND((SUM(V13:V15)*Calculator!$C$34)*(1+Calculator!$C$9)^(V12-$C$12)/IF($C$13=0.3,0.05,0.1),0)*IF($C$13=0.3,0.05,0.1)*(1-MIN(Calculator!$C$37,Calculator!$C$38))</f>
        <v>0.85000000000000009</v>
      </c>
      <c r="W16" s="79">
        <f>ROUND((SUM(W13:W15)*Calculator!$C$34)*(1+Calculator!$C$9)^(W12-$C$12)/IF($C$13=0.3,0.05,0.1),0)*IF($C$13=0.3,0.05,0.1)*(1-MIN(Calculator!$C$37,Calculator!$C$38))</f>
        <v>0.85000000000000009</v>
      </c>
      <c r="X16" s="79">
        <f>ROUND((SUM(X13:X15)*Calculator!$C$34)*(1+Calculator!$C$9)^(X12-$C$12)/IF($C$13=0.3,0.05,0.1),0)*IF($C$13=0.3,0.05,0.1)*(1-MIN(Calculator!$C$37,Calculator!$C$38))</f>
        <v>0.85000000000000009</v>
      </c>
      <c r="Y16" s="79">
        <f>ROUND((SUM(Y13:Y15)*Calculator!$C$34)*(1+Calculator!$C$9)^(Y12-$C$12)/IF($C$13=0.3,0.05,0.1),0)*IF($C$13=0.3,0.05,0.1)*(1-MIN(Calculator!$C$37,Calculator!$C$38))</f>
        <v>0.9</v>
      </c>
      <c r="Z16" s="79">
        <f>ROUND((SUM(Z13:Z15)*Calculator!$C$34)*(1+Calculator!$C$9)^(Z12-$C$12)/IF($C$13=0.3,0.05,0.1),0)*IF($C$13=0.3,0.05,0.1)*(1-MIN(Calculator!$C$37,Calculator!$C$38))</f>
        <v>0.9</v>
      </c>
      <c r="AA16" s="79">
        <f>ROUND((SUM(AA13:AA15)*Calculator!$C$34)*(1+Calculator!$C$9)^(AA12-$C$12)/IF($C$13=0.3,0.05,0.1),0)*IF($C$13=0.3,0.05,0.1)*(1-MIN(Calculator!$C$37,Calculator!$C$38))</f>
        <v>0.9</v>
      </c>
      <c r="AB16" s="79">
        <f>ROUND((SUM(AB13:AB15)*Calculator!$C$34)*(1+Calculator!$C$9)^(AB12-$C$12)/IF($C$13=0.3,0.05,0.1),0)*IF($C$13=0.3,0.05,0.1)*(1-MIN(Calculator!$C$37,Calculator!$C$38))</f>
        <v>0.95000000000000007</v>
      </c>
      <c r="AC16" s="79">
        <f>ROUND((SUM(AC13:AC15)*Calculator!$C$34)*(1+Calculator!$C$9)^(AC12-$C$12)/IF($C$13=0.3,0.05,0.1),0)*IF($C$13=0.3,0.05,0.1)*(1-MIN(Calculator!$C$37,Calculator!$C$38))</f>
        <v>0.95000000000000007</v>
      </c>
      <c r="AD16" s="79">
        <f>ROUND((SUM(AD13:AD15)*Calculator!$C$34)*(1+Calculator!$C$9)^(AD12-$C$12)/IF($C$13=0.3,0.05,0.1),0)*IF($C$13=0.3,0.05,0.1)*(1-MIN(Calculator!$C$37,Calculator!$C$38))</f>
        <v>0.95000000000000007</v>
      </c>
      <c r="AE16" s="79">
        <f>ROUND((SUM(AE13:AE15)*Calculator!$C$34)*(1+Calculator!$C$9)^(AE12-$C$12)/IF($C$13=0.3,0.05,0.1),0)*IF($C$13=0.3,0.05,0.1)*(1-MIN(Calculator!$C$37,Calculator!$C$38))</f>
        <v>1</v>
      </c>
      <c r="AF16" s="79">
        <f>ROUND((SUM(AF13:AF15)*Calculator!$C$34)*(1+Calculator!$C$9)^(AF12-$C$12)/IF($C$13=0.3,0.05,0.1),0)*IF($C$13=0.3,0.05,0.1)*(1-MIN(Calculator!$C$37,Calculator!$C$38))</f>
        <v>1</v>
      </c>
      <c r="AG16" s="79">
        <f>ROUND((SUM(AG13:AG15)*Calculator!$C$34)*(1+Calculator!$C$9)^(AG12-$C$12)/IF($C$13=0.3,0.05,0.1),0)*IF($C$13=0.3,0.05,0.1)*(1-MIN(Calculator!$C$37,Calculator!$C$38))</f>
        <v>1.05</v>
      </c>
      <c r="AH16" s="79">
        <f>ROUND((SUM(AH13:AH15)*Calculator!$C$34)*(1+Calculator!$C$9)^(AH12-$C$12)/IF($C$13=0.3,0.05,0.1),0)*IF($C$13=0.3,0.05,0.1)*(1-MIN(Calculator!$C$37,Calculator!$C$38))</f>
        <v>1.05</v>
      </c>
      <c r="AI16" s="79">
        <f>ROUND((SUM(AI13:AI15)*Calculator!$C$34)*(1+Calculator!$C$9)^(AI12-$C$12)/IF($C$13=0.3,0.05,0.1),0)*IF($C$13=0.3,0.05,0.1)*(1-MIN(Calculator!$C$37,Calculator!$C$38))</f>
        <v>1.05</v>
      </c>
      <c r="AJ16" s="79">
        <f>ROUND((SUM(AJ13:AJ15)*Calculator!$C$34)*(1+Calculator!$C$9)^(AJ12-$C$12)/IF($C$13=0.3,0.05,0.1),0)*IF($C$13=0.3,0.05,0.1)*(1-MIN(Calculator!$C$37,Calculator!$C$38))</f>
        <v>1.1000000000000001</v>
      </c>
      <c r="AK16" s="79">
        <f>ROUND((SUM(AK13:AK15)*Calculator!$C$34)*(1+Calculator!$C$9)^(AK12-$C$12)/IF($C$13=0.3,0.05,0.1),0)*IF($C$13=0.3,0.05,0.1)*(1-MIN(Calculator!$C$37,Calculator!$C$38))</f>
        <v>1.1000000000000001</v>
      </c>
      <c r="AL16" s="79">
        <f>ROUND((SUM(AL13:AL15)*Calculator!$C$34)*(1+Calculator!$C$9)^(AL12-$C$12)/IF($C$13=0.3,0.05,0.1),0)*IF($C$13=0.3,0.05,0.1)*(1-MIN(Calculator!$C$37,Calculator!$C$38))</f>
        <v>1.1500000000000001</v>
      </c>
      <c r="AM16" s="79">
        <f>ROUND((SUM(AM13:AM15)*Calculator!$C$34)*(1+Calculator!$C$9)^(AM12-$C$12)/IF($C$13=0.3,0.05,0.1),0)*IF($C$13=0.3,0.05,0.1)*(1-MIN(Calculator!$C$37,Calculator!$C$38))</f>
        <v>1.1500000000000001</v>
      </c>
    </row>
    <row r="17" spans="2:39" x14ac:dyDescent="0.35">
      <c r="B17" s="4" t="s">
        <v>289</v>
      </c>
      <c r="C17" s="79">
        <f>C16*4*(OR(AND(Calculator!$E$25="Yes",Calculator!$C$19&gt;=1000,Calculator!$C$7&lt;2025),AND(Calculator!$E$35="Yes",Calculator!$C$19&gt;=1000,Calculator!$C$7&lt;2025),AND(Calculator!$C$19&lt;1000,Calculator!$C$7&lt;2025)))</f>
        <v>2.2000000000000002</v>
      </c>
      <c r="D17" s="79">
        <f>D16*4*(OR(AND(Calculator!$E$25="Yes",Calculator!$C$19&gt;=1000,Calculator!$C$7&lt;2025),AND(Calculator!$E$35="Yes",Calculator!$C$19&gt;=1000,Calculator!$C$7&lt;2025),AND(Calculator!$C$19&lt;1000,Calculator!$C$7&lt;2025)))</f>
        <v>2.4000000000000004</v>
      </c>
      <c r="E17" s="79">
        <f>E16*4*(OR(AND(Calculator!$E$25="Yes",Calculator!$C$19&gt;=1000,Calculator!$C$7&lt;2025),AND(Calculator!$E$35="Yes",Calculator!$C$19&gt;=1000,Calculator!$C$7&lt;2025),AND(Calculator!$C$19&lt;1000,Calculator!$C$7&lt;2025)))</f>
        <v>2.4000000000000004</v>
      </c>
      <c r="F17" s="79">
        <f>F16*4*(OR(AND(Calculator!$E$25="Yes",Calculator!$C$19&gt;=1000,Calculator!$C$7&lt;2025),AND(Calculator!$E$35="Yes",Calculator!$C$19&gt;=1000,Calculator!$C$7&lt;2025),AND(Calculator!$C$19&lt;1000,Calculator!$C$7&lt;2025)))</f>
        <v>2.4000000000000004</v>
      </c>
      <c r="G17" s="79">
        <f>G16*4*(OR(AND(Calculator!$E$25="Yes",Calculator!$C$19&gt;=1000,Calculator!$C$7&lt;2025),AND(Calculator!$E$35="Yes",Calculator!$C$19&gt;=1000,Calculator!$C$7&lt;2025),AND(Calculator!$C$19&lt;1000,Calculator!$C$7&lt;2025)))</f>
        <v>2.4000000000000004</v>
      </c>
      <c r="H17" s="79">
        <f>H16*4*(OR(AND(Calculator!$E$25="Yes",Calculator!$C$19&gt;=1000,Calculator!$C$7&lt;2025),AND(Calculator!$E$35="Yes",Calculator!$C$19&gt;=1000,Calculator!$C$7&lt;2025),AND(Calculator!$C$19&lt;1000,Calculator!$C$7&lt;2025)))</f>
        <v>2.6</v>
      </c>
      <c r="I17" s="79">
        <f>I16*4*(OR(AND(Calculator!$E$25="Yes",Calculator!$C$19&gt;=1000,Calculator!$C$7&lt;2025),AND(Calculator!$E$35="Yes",Calculator!$C$19&gt;=1000,Calculator!$C$7&lt;2025),AND(Calculator!$C$19&lt;1000,Calculator!$C$7&lt;2025)))</f>
        <v>2.6</v>
      </c>
      <c r="J17" s="79">
        <f>J16*4*(OR(AND(Calculator!$E$25="Yes",Calculator!$C$19&gt;=1000,Calculator!$C$7&lt;2025),AND(Calculator!$E$35="Yes",Calculator!$C$19&gt;=1000,Calculator!$C$7&lt;2025),AND(Calculator!$C$19&lt;1000,Calculator!$C$7&lt;2025)))</f>
        <v>2.6</v>
      </c>
      <c r="K17" s="79">
        <f>K16*4*(OR(AND(Calculator!$E$25="Yes",Calculator!$C$19&gt;=1000,Calculator!$C$7&lt;2025),AND(Calculator!$E$35="Yes",Calculator!$C$19&gt;=1000,Calculator!$C$7&lt;2025),AND(Calculator!$C$19&lt;1000,Calculator!$C$7&lt;2025)))</f>
        <v>2.6</v>
      </c>
      <c r="L17" s="79">
        <f>L16*4*(OR(AND(Calculator!$E$25="Yes",Calculator!$C$19&gt;=1000,Calculator!$C$7&lt;2025),AND(Calculator!$E$35="Yes",Calculator!$C$19&gt;=1000,Calculator!$C$7&lt;2025),AND(Calculator!$C$19&lt;1000,Calculator!$C$7&lt;2025)))</f>
        <v>2.8000000000000003</v>
      </c>
      <c r="M17" s="79">
        <f>M16*4*(OR(AND(Calculator!$E$25="Yes",Calculator!$C$19&gt;=1000,Calculator!$C$7&lt;2025),AND(Calculator!$E$35="Yes",Calculator!$C$19&gt;=1000,Calculator!$C$7&lt;2025),AND(Calculator!$C$19&lt;1000,Calculator!$C$7&lt;2025)))</f>
        <v>2.8000000000000003</v>
      </c>
      <c r="N17" s="79">
        <f>N16*4*(OR(AND(Calculator!$E$25="Yes",Calculator!$C$19&gt;=1000,Calculator!$C$7&lt;2025),AND(Calculator!$E$35="Yes",Calculator!$C$19&gt;=1000,Calculator!$C$7&lt;2025),AND(Calculator!$C$19&lt;1000,Calculator!$C$7&lt;2025)))</f>
        <v>2.8000000000000003</v>
      </c>
      <c r="O17" s="79">
        <f>O16*4*(OR(AND(Calculator!$E$25="Yes",Calculator!$C$19&gt;=1000,Calculator!$C$7&lt;2025),AND(Calculator!$E$35="Yes",Calculator!$C$19&gt;=1000,Calculator!$C$7&lt;2025),AND(Calculator!$C$19&lt;1000,Calculator!$C$7&lt;2025)))</f>
        <v>2.8000000000000003</v>
      </c>
      <c r="P17" s="79">
        <f>P16*4*(OR(AND(Calculator!$E$25="Yes",Calculator!$C$19&gt;=1000,Calculator!$C$7&lt;2025),AND(Calculator!$E$35="Yes",Calculator!$C$19&gt;=1000,Calculator!$C$7&lt;2025),AND(Calculator!$C$19&lt;1000,Calculator!$C$7&lt;2025)))</f>
        <v>3</v>
      </c>
      <c r="Q17" s="79">
        <f>Q16*4*(OR(AND(Calculator!$E$25="Yes",Calculator!$C$19&gt;=1000,Calculator!$C$7&lt;2025),AND(Calculator!$E$35="Yes",Calculator!$C$19&gt;=1000,Calculator!$C$7&lt;2025),AND(Calculator!$C$19&lt;1000,Calculator!$C$7&lt;2025)))</f>
        <v>3</v>
      </c>
      <c r="R17" s="79">
        <f>R16*4*(OR(AND(Calculator!$E$25="Yes",Calculator!$C$19&gt;=1000,Calculator!$C$7&lt;2025),AND(Calculator!$E$35="Yes",Calculator!$C$19&gt;=1000,Calculator!$C$7&lt;2025),AND(Calculator!$C$19&lt;1000,Calculator!$C$7&lt;2025)))</f>
        <v>3</v>
      </c>
      <c r="S17" s="79">
        <f>S16*4*(OR(AND(Calculator!$E$25="Yes",Calculator!$C$19&gt;=1000,Calculator!$C$7&lt;2025),AND(Calculator!$E$35="Yes",Calculator!$C$19&gt;=1000,Calculator!$C$7&lt;2025),AND(Calculator!$C$19&lt;1000,Calculator!$C$7&lt;2025)))</f>
        <v>3.2</v>
      </c>
      <c r="T17" s="79">
        <f>T16*4*(OR(AND(Calculator!$E$25="Yes",Calculator!$C$19&gt;=1000,Calculator!$C$7&lt;2025),AND(Calculator!$E$35="Yes",Calculator!$C$19&gt;=1000,Calculator!$C$7&lt;2025),AND(Calculator!$C$19&lt;1000,Calculator!$C$7&lt;2025)))</f>
        <v>3.2</v>
      </c>
      <c r="U17" s="79">
        <f>U16*4*(OR(AND(Calculator!$E$25="Yes",Calculator!$C$19&gt;=1000,Calculator!$C$7&lt;2025),AND(Calculator!$E$35="Yes",Calculator!$C$19&gt;=1000,Calculator!$C$7&lt;2025),AND(Calculator!$C$19&lt;1000,Calculator!$C$7&lt;2025)))</f>
        <v>3.2</v>
      </c>
      <c r="V17" s="79">
        <f>V16*4*(OR(AND(Calculator!$E$25="Yes",Calculator!$C$19&gt;=1000,Calculator!$C$7&lt;2025),AND(Calculator!$E$35="Yes",Calculator!$C$19&gt;=1000,Calculator!$C$7&lt;2025),AND(Calculator!$C$19&lt;1000,Calculator!$C$7&lt;2025)))</f>
        <v>3.4000000000000004</v>
      </c>
      <c r="W17" s="79">
        <f>W16*4*(OR(AND(Calculator!$E$25="Yes",Calculator!$C$19&gt;=1000,Calculator!$C$7&lt;2025),AND(Calculator!$E$35="Yes",Calculator!$C$19&gt;=1000,Calculator!$C$7&lt;2025),AND(Calculator!$C$19&lt;1000,Calculator!$C$7&lt;2025)))</f>
        <v>3.4000000000000004</v>
      </c>
      <c r="X17" s="79">
        <f>X16*4*(OR(AND(Calculator!$E$25="Yes",Calculator!$C$19&gt;=1000,Calculator!$C$7&lt;2025),AND(Calculator!$E$35="Yes",Calculator!$C$19&gt;=1000,Calculator!$C$7&lt;2025),AND(Calculator!$C$19&lt;1000,Calculator!$C$7&lt;2025)))</f>
        <v>3.4000000000000004</v>
      </c>
      <c r="Y17" s="79">
        <f>Y16*4*(OR(AND(Calculator!$E$25="Yes",Calculator!$C$19&gt;=1000,Calculator!$C$7&lt;2025),AND(Calculator!$E$35="Yes",Calculator!$C$19&gt;=1000,Calculator!$C$7&lt;2025),AND(Calculator!$C$19&lt;1000,Calculator!$C$7&lt;2025)))</f>
        <v>3.6</v>
      </c>
      <c r="Z17" s="79">
        <f>Z16*4*(OR(AND(Calculator!$E$25="Yes",Calculator!$C$19&gt;=1000,Calculator!$C$7&lt;2025),AND(Calculator!$E$35="Yes",Calculator!$C$19&gt;=1000,Calculator!$C$7&lt;2025),AND(Calculator!$C$19&lt;1000,Calculator!$C$7&lt;2025)))</f>
        <v>3.6</v>
      </c>
      <c r="AA17" s="79">
        <f>AA16*4*(OR(AND(Calculator!$E$25="Yes",Calculator!$C$19&gt;=1000,Calculator!$C$7&lt;2025),AND(Calculator!$E$35="Yes",Calculator!$C$19&gt;=1000,Calculator!$C$7&lt;2025),AND(Calculator!$C$19&lt;1000,Calculator!$C$7&lt;2025)))</f>
        <v>3.6</v>
      </c>
      <c r="AB17" s="79">
        <f>AB16*4*(OR(AND(Calculator!$E$25="Yes",Calculator!$C$19&gt;=1000,Calculator!$C$7&lt;2025),AND(Calculator!$E$35="Yes",Calculator!$C$19&gt;=1000,Calculator!$C$7&lt;2025),AND(Calculator!$C$19&lt;1000,Calculator!$C$7&lt;2025)))</f>
        <v>3.8000000000000003</v>
      </c>
      <c r="AC17" s="79">
        <f>AC16*4*(OR(AND(Calculator!$E$25="Yes",Calculator!$C$19&gt;=1000,Calculator!$C$7&lt;2025),AND(Calculator!$E$35="Yes",Calculator!$C$19&gt;=1000,Calculator!$C$7&lt;2025),AND(Calculator!$C$19&lt;1000,Calculator!$C$7&lt;2025)))</f>
        <v>3.8000000000000003</v>
      </c>
      <c r="AD17" s="79">
        <f>AD16*4*(OR(AND(Calculator!$E$25="Yes",Calculator!$C$19&gt;=1000,Calculator!$C$7&lt;2025),AND(Calculator!$E$35="Yes",Calculator!$C$19&gt;=1000,Calculator!$C$7&lt;2025),AND(Calculator!$C$19&lt;1000,Calculator!$C$7&lt;2025)))</f>
        <v>3.8000000000000003</v>
      </c>
      <c r="AE17" s="79">
        <f>AE16*4*(OR(AND(Calculator!$E$25="Yes",Calculator!$C$19&gt;=1000,Calculator!$C$7&lt;2025),AND(Calculator!$E$35="Yes",Calculator!$C$19&gt;=1000,Calculator!$C$7&lt;2025),AND(Calculator!$C$19&lt;1000,Calculator!$C$7&lt;2025)))</f>
        <v>4</v>
      </c>
      <c r="AF17" s="79">
        <f>AF16*4*(OR(AND(Calculator!$E$25="Yes",Calculator!$C$19&gt;=1000,Calculator!$C$7&lt;2025),AND(Calculator!$E$35="Yes",Calculator!$C$19&gt;=1000,Calculator!$C$7&lt;2025),AND(Calculator!$C$19&lt;1000,Calculator!$C$7&lt;2025)))</f>
        <v>4</v>
      </c>
      <c r="AG17" s="79">
        <f>AG16*4*(OR(AND(Calculator!$E$25="Yes",Calculator!$C$19&gt;=1000,Calculator!$C$7&lt;2025),AND(Calculator!$E$35="Yes",Calculator!$C$19&gt;=1000,Calculator!$C$7&lt;2025),AND(Calculator!$C$19&lt;1000,Calculator!$C$7&lt;2025)))</f>
        <v>4.2</v>
      </c>
      <c r="AH17" s="79">
        <f>AH16*4*(OR(AND(Calculator!$E$25="Yes",Calculator!$C$19&gt;=1000,Calculator!$C$7&lt;2025),AND(Calculator!$E$35="Yes",Calculator!$C$19&gt;=1000,Calculator!$C$7&lt;2025),AND(Calculator!$C$19&lt;1000,Calculator!$C$7&lt;2025)))</f>
        <v>4.2</v>
      </c>
      <c r="AI17" s="79">
        <f>AI16*4*(OR(AND(Calculator!$E$25="Yes",Calculator!$C$19&gt;=1000,Calculator!$C$7&lt;2025),AND(Calculator!$E$35="Yes",Calculator!$C$19&gt;=1000,Calculator!$C$7&lt;2025),AND(Calculator!$C$19&lt;1000,Calculator!$C$7&lt;2025)))</f>
        <v>4.2</v>
      </c>
      <c r="AJ17" s="79">
        <f>AJ16*4*(OR(AND(Calculator!$E$25="Yes",Calculator!$C$19&gt;=1000,Calculator!$C$7&lt;2025),AND(Calculator!$E$35="Yes",Calculator!$C$19&gt;=1000,Calculator!$C$7&lt;2025),AND(Calculator!$C$19&lt;1000,Calculator!$C$7&lt;2025)))</f>
        <v>4.4000000000000004</v>
      </c>
      <c r="AK17" s="79">
        <f>AK16*4*(OR(AND(Calculator!$E$25="Yes",Calculator!$C$19&gt;=1000,Calculator!$C$7&lt;2025),AND(Calculator!$E$35="Yes",Calculator!$C$19&gt;=1000,Calculator!$C$7&lt;2025),AND(Calculator!$C$19&lt;1000,Calculator!$C$7&lt;2025)))</f>
        <v>4.4000000000000004</v>
      </c>
      <c r="AL17" s="79">
        <f>AL16*4*(OR(AND(Calculator!$E$25="Yes",Calculator!$C$19&gt;=1000,Calculator!$C$7&lt;2025),AND(Calculator!$E$35="Yes",Calculator!$C$19&gt;=1000,Calculator!$C$7&lt;2025),AND(Calculator!$C$19&lt;1000,Calculator!$C$7&lt;2025)))</f>
        <v>4.6000000000000005</v>
      </c>
      <c r="AM17" s="79">
        <f>AM16*4*(OR(AND(Calculator!$E$25="Yes",Calculator!$C$19&gt;=1000,Calculator!$C$7&lt;2025),AND(Calculator!$E$35="Yes",Calculator!$C$19&gt;=1000,Calculator!$C$7&lt;2025),AND(Calculator!$C$19&lt;1000,Calculator!$C$7&lt;2025)))</f>
        <v>4.6000000000000005</v>
      </c>
    </row>
    <row r="18" spans="2:39" x14ac:dyDescent="0.35">
      <c r="B18" s="4" t="s">
        <v>287</v>
      </c>
      <c r="C18" s="79">
        <f>SUM(C16:C17)*10%*(AND($E$5="Yes",Calculator!$C$7&lt;2025))</f>
        <v>0.27500000000000002</v>
      </c>
      <c r="D18" s="79">
        <f>SUM(D16:D17)*10%*(AND($E$5="Yes",Calculator!$C$7&lt;2025))</f>
        <v>0.30000000000000004</v>
      </c>
      <c r="E18" s="79">
        <f>SUM(E16:E17)*10%*(AND($E$5="Yes",Calculator!$C$7&lt;2025))</f>
        <v>0.30000000000000004</v>
      </c>
      <c r="F18" s="79">
        <f>SUM(F16:F17)*10%*(AND($E$5="Yes",Calculator!$C$7&lt;2025))</f>
        <v>0.30000000000000004</v>
      </c>
      <c r="G18" s="79">
        <f>SUM(G16:G17)*10%*(AND($E$5="Yes",Calculator!$C$7&lt;2025))</f>
        <v>0.30000000000000004</v>
      </c>
      <c r="H18" s="79">
        <f>SUM(H16:H17)*10%*(AND($E$5="Yes",Calculator!$C$7&lt;2025))</f>
        <v>0.32500000000000001</v>
      </c>
      <c r="I18" s="79">
        <f>SUM(I16:I17)*10%*(AND($E$5="Yes",Calculator!$C$7&lt;2025))</f>
        <v>0.32500000000000001</v>
      </c>
      <c r="J18" s="79">
        <f>SUM(J16:J17)*10%*(AND($E$5="Yes",Calculator!$C$7&lt;2025))</f>
        <v>0.32500000000000001</v>
      </c>
      <c r="K18" s="79">
        <f>SUM(K16:K17)*10%*(AND($E$5="Yes",Calculator!$C$7&lt;2025))</f>
        <v>0.32500000000000001</v>
      </c>
      <c r="L18" s="79">
        <f>SUM(L16:L17)*10%*(AND($E$5="Yes",Calculator!$C$7&lt;2025))</f>
        <v>0.35000000000000009</v>
      </c>
      <c r="M18" s="79">
        <f>SUM(M16:M17)*10%*(AND($E$5="Yes",Calculator!$C$7&lt;2025))</f>
        <v>0.35000000000000009</v>
      </c>
      <c r="N18" s="79">
        <f>SUM(N16:N17)*10%*(AND($E$5="Yes",Calculator!$C$7&lt;2025))</f>
        <v>0.35000000000000009</v>
      </c>
      <c r="O18" s="79">
        <f>SUM(O16:O17)*10%*(AND($E$5="Yes",Calculator!$C$7&lt;2025))</f>
        <v>0.35000000000000009</v>
      </c>
      <c r="P18" s="79">
        <f>SUM(P16:P17)*10%*(AND($E$5="Yes",Calculator!$C$7&lt;2025))</f>
        <v>0.375</v>
      </c>
      <c r="Q18" s="79">
        <f>SUM(Q16:Q17)*10%*(AND($E$5="Yes",Calculator!$C$7&lt;2025))</f>
        <v>0.375</v>
      </c>
      <c r="R18" s="79">
        <f>SUM(R16:R17)*10%*(AND($E$5="Yes",Calculator!$C$7&lt;2025))</f>
        <v>0.375</v>
      </c>
      <c r="S18" s="79">
        <f>SUM(S16:S17)*10%*(AND($E$5="Yes",Calculator!$C$7&lt;2025))</f>
        <v>0.4</v>
      </c>
      <c r="T18" s="79">
        <f>SUM(T16:T17)*10%*(AND($E$5="Yes",Calculator!$C$7&lt;2025))</f>
        <v>0.4</v>
      </c>
      <c r="U18" s="79">
        <f>SUM(U16:U17)*10%*(AND($E$5="Yes",Calculator!$C$7&lt;2025))</f>
        <v>0.4</v>
      </c>
      <c r="V18" s="79">
        <f>SUM(V16:V17)*10%*(AND($E$5="Yes",Calculator!$C$7&lt;2025))</f>
        <v>0.42500000000000004</v>
      </c>
      <c r="W18" s="79">
        <f>SUM(W16:W17)*10%*(AND($E$5="Yes",Calculator!$C$7&lt;2025))</f>
        <v>0.42500000000000004</v>
      </c>
      <c r="X18" s="79">
        <f>SUM(X16:X17)*10%*(AND($E$5="Yes",Calculator!$C$7&lt;2025))</f>
        <v>0.42500000000000004</v>
      </c>
      <c r="Y18" s="79">
        <f>SUM(Y16:Y17)*10%*(AND($E$5="Yes",Calculator!$C$7&lt;2025))</f>
        <v>0.45</v>
      </c>
      <c r="Z18" s="79">
        <f>SUM(Z16:Z17)*10%*(AND($E$5="Yes",Calculator!$C$7&lt;2025))</f>
        <v>0.45</v>
      </c>
      <c r="AA18" s="79">
        <f>SUM(AA16:AA17)*10%*(AND($E$5="Yes",Calculator!$C$7&lt;2025))</f>
        <v>0.45</v>
      </c>
      <c r="AB18" s="79">
        <f>SUM(AB16:AB17)*10%*(AND($E$5="Yes",Calculator!$C$7&lt;2025))</f>
        <v>0.47500000000000003</v>
      </c>
      <c r="AC18" s="79">
        <f>SUM(AC16:AC17)*10%*(AND($E$5="Yes",Calculator!$C$7&lt;2025))</f>
        <v>0.47500000000000003</v>
      </c>
      <c r="AD18" s="79">
        <f>SUM(AD16:AD17)*10%*(AND($E$5="Yes",Calculator!$C$7&lt;2025))</f>
        <v>0.47500000000000003</v>
      </c>
      <c r="AE18" s="79">
        <f>SUM(AE16:AE17)*10%*(AND($E$5="Yes",Calculator!$C$7&lt;2025))</f>
        <v>0.5</v>
      </c>
      <c r="AF18" s="79">
        <f>SUM(AF16:AF17)*10%*(AND($E$5="Yes",Calculator!$C$7&lt;2025))</f>
        <v>0.5</v>
      </c>
      <c r="AG18" s="79">
        <f>SUM(AG16:AG17)*10%*(AND($E$5="Yes",Calculator!$C$7&lt;2025))</f>
        <v>0.52500000000000002</v>
      </c>
      <c r="AH18" s="79">
        <f>SUM(AH16:AH17)*10%*(AND($E$5="Yes",Calculator!$C$7&lt;2025))</f>
        <v>0.52500000000000002</v>
      </c>
      <c r="AI18" s="79">
        <f>SUM(AI16:AI17)*10%*(AND($E$5="Yes",Calculator!$C$7&lt;2025))</f>
        <v>0.52500000000000002</v>
      </c>
      <c r="AJ18" s="79">
        <f>SUM(AJ16:AJ17)*10%*(AND($E$5="Yes",Calculator!$C$7&lt;2025))</f>
        <v>0.55000000000000004</v>
      </c>
      <c r="AK18" s="79">
        <f>SUM(AK16:AK17)*10%*(AND($E$5="Yes",Calculator!$C$7&lt;2025))</f>
        <v>0.55000000000000004</v>
      </c>
      <c r="AL18" s="79">
        <f>SUM(AL16:AL17)*10%*(AND($E$5="Yes",Calculator!$C$7&lt;2025))</f>
        <v>0.57500000000000007</v>
      </c>
      <c r="AM18" s="79">
        <f>SUM(AM16:AM17)*10%*(AND($E$5="Yes",Calculator!$C$7&lt;2025))</f>
        <v>0.57500000000000007</v>
      </c>
    </row>
    <row r="19" spans="2:39" x14ac:dyDescent="0.35">
      <c r="B19" s="4" t="s">
        <v>288</v>
      </c>
      <c r="C19" s="79">
        <f>SUM(C16:C17)*10%*(AND($E$4="Yes",Calculator!$C$7&lt;2025))</f>
        <v>0.27500000000000002</v>
      </c>
      <c r="D19" s="79">
        <f>SUM(D16:D17)*10%*(AND($E$4="Yes",Calculator!$C$7&lt;2025))</f>
        <v>0.30000000000000004</v>
      </c>
      <c r="E19" s="79">
        <f>SUM(E16:E17)*10%*(AND($E$4="Yes",Calculator!$C$7&lt;2025))</f>
        <v>0.30000000000000004</v>
      </c>
      <c r="F19" s="79">
        <f>SUM(F16:F17)*10%*(AND($E$4="Yes",Calculator!$C$7&lt;2025))</f>
        <v>0.30000000000000004</v>
      </c>
      <c r="G19" s="79">
        <f>SUM(G16:G17)*10%*(AND($E$4="Yes",Calculator!$C$7&lt;2025))</f>
        <v>0.30000000000000004</v>
      </c>
      <c r="H19" s="79">
        <f>SUM(H16:H17)*10%*(AND($E$4="Yes",Calculator!$C$7&lt;2025))</f>
        <v>0.32500000000000001</v>
      </c>
      <c r="I19" s="79">
        <f>SUM(I16:I17)*10%*(AND($E$4="Yes",Calculator!$C$7&lt;2025))</f>
        <v>0.32500000000000001</v>
      </c>
      <c r="J19" s="79">
        <f>SUM(J16:J17)*10%*(AND($E$4="Yes",Calculator!$C$7&lt;2025))</f>
        <v>0.32500000000000001</v>
      </c>
      <c r="K19" s="79">
        <f>SUM(K16:K17)*10%*(AND($E$4="Yes",Calculator!$C$7&lt;2025))</f>
        <v>0.32500000000000001</v>
      </c>
      <c r="L19" s="79">
        <f>SUM(L16:L17)*10%*(AND($E$4="Yes",Calculator!$C$7&lt;2025))</f>
        <v>0.35000000000000009</v>
      </c>
      <c r="M19" s="79">
        <f>SUM(M16:M17)*10%*(AND($E$4="Yes",Calculator!$C$7&lt;2025))</f>
        <v>0.35000000000000009</v>
      </c>
      <c r="N19" s="79">
        <f>SUM(N16:N17)*10%*(AND($E$4="Yes",Calculator!$C$7&lt;2025))</f>
        <v>0.35000000000000009</v>
      </c>
      <c r="O19" s="79">
        <f>SUM(O16:O17)*10%*(AND($E$4="Yes",Calculator!$C$7&lt;2025))</f>
        <v>0.35000000000000009</v>
      </c>
      <c r="P19" s="79">
        <f>SUM(P16:P17)*10%*(AND($E$4="Yes",Calculator!$C$7&lt;2025))</f>
        <v>0.375</v>
      </c>
      <c r="Q19" s="79">
        <f>SUM(Q16:Q17)*10%*(AND($E$4="Yes",Calculator!$C$7&lt;2025))</f>
        <v>0.375</v>
      </c>
      <c r="R19" s="79">
        <f>SUM(R16:R17)*10%*(AND($E$4="Yes",Calculator!$C$7&lt;2025))</f>
        <v>0.375</v>
      </c>
      <c r="S19" s="79">
        <f>SUM(S16:S17)*10%*(AND($E$4="Yes",Calculator!$C$7&lt;2025))</f>
        <v>0.4</v>
      </c>
      <c r="T19" s="79">
        <f>SUM(T16:T17)*10%*(AND($E$4="Yes",Calculator!$C$7&lt;2025))</f>
        <v>0.4</v>
      </c>
      <c r="U19" s="79">
        <f>SUM(U16:U17)*10%*(AND($E$4="Yes",Calculator!$C$7&lt;2025))</f>
        <v>0.4</v>
      </c>
      <c r="V19" s="79">
        <f>SUM(V16:V17)*10%*(AND($E$4="Yes",Calculator!$C$7&lt;2025))</f>
        <v>0.42500000000000004</v>
      </c>
      <c r="W19" s="79">
        <f>SUM(W16:W17)*10%*(AND($E$4="Yes",Calculator!$C$7&lt;2025))</f>
        <v>0.42500000000000004</v>
      </c>
      <c r="X19" s="79">
        <f>SUM(X16:X17)*10%*(AND($E$4="Yes",Calculator!$C$7&lt;2025))</f>
        <v>0.42500000000000004</v>
      </c>
      <c r="Y19" s="79">
        <f>SUM(Y16:Y17)*10%*(AND($E$4="Yes",Calculator!$C$7&lt;2025))</f>
        <v>0.45</v>
      </c>
      <c r="Z19" s="79">
        <f>SUM(Z16:Z17)*10%*(AND($E$4="Yes",Calculator!$C$7&lt;2025))</f>
        <v>0.45</v>
      </c>
      <c r="AA19" s="79">
        <f>SUM(AA16:AA17)*10%*(AND($E$4="Yes",Calculator!$C$7&lt;2025))</f>
        <v>0.45</v>
      </c>
      <c r="AB19" s="79">
        <f>SUM(AB16:AB17)*10%*(AND($E$4="Yes",Calculator!$C$7&lt;2025))</f>
        <v>0.47500000000000003</v>
      </c>
      <c r="AC19" s="79">
        <f>SUM(AC16:AC17)*10%*(AND($E$4="Yes",Calculator!$C$7&lt;2025))</f>
        <v>0.47500000000000003</v>
      </c>
      <c r="AD19" s="79">
        <f>SUM(AD16:AD17)*10%*(AND($E$4="Yes",Calculator!$C$7&lt;2025))</f>
        <v>0.47500000000000003</v>
      </c>
      <c r="AE19" s="79">
        <f>SUM(AE16:AE17)*10%*(AND($E$4="Yes",Calculator!$C$7&lt;2025))</f>
        <v>0.5</v>
      </c>
      <c r="AF19" s="79">
        <f>SUM(AF16:AF17)*10%*(AND($E$4="Yes",Calculator!$C$7&lt;2025))</f>
        <v>0.5</v>
      </c>
      <c r="AG19" s="79">
        <f>SUM(AG16:AG17)*10%*(AND($E$4="Yes",Calculator!$C$7&lt;2025))</f>
        <v>0.52500000000000002</v>
      </c>
      <c r="AH19" s="79">
        <f>SUM(AH16:AH17)*10%*(AND($E$4="Yes",Calculator!$C$7&lt;2025))</f>
        <v>0.52500000000000002</v>
      </c>
      <c r="AI19" s="79">
        <f>SUM(AI16:AI17)*10%*(AND($E$4="Yes",Calculator!$C$7&lt;2025))</f>
        <v>0.52500000000000002</v>
      </c>
      <c r="AJ19" s="79">
        <f>SUM(AJ16:AJ17)*10%*(AND($E$4="Yes",Calculator!$C$7&lt;2025))</f>
        <v>0.55000000000000004</v>
      </c>
      <c r="AK19" s="79">
        <f>SUM(AK16:AK17)*10%*(AND($E$4="Yes",Calculator!$C$7&lt;2025))</f>
        <v>0.55000000000000004</v>
      </c>
      <c r="AL19" s="79">
        <f>SUM(AL16:AL17)*10%*(AND($E$4="Yes",Calculator!$C$7&lt;2025))</f>
        <v>0.57500000000000007</v>
      </c>
      <c r="AM19" s="79">
        <f>SUM(AM16:AM17)*10%*(AND($E$4="Yes",Calculator!$C$7&lt;2025))</f>
        <v>0.57500000000000007</v>
      </c>
    </row>
    <row r="20" spans="2:39" x14ac:dyDescent="0.35">
      <c r="B20" s="21" t="s">
        <v>3</v>
      </c>
      <c r="C20" s="80">
        <f>SUM(C16:C19)*IF(AND(Calculator!$C$19&gt;1000,Calculator!$E$26="No",Calculator!$E$34="No"),(1-IFERROR(_xlfn.XLOOKUP(Calculator!$C$7, $S$25:$S$51, $U$25:$U$51),0)),1)</f>
        <v>3.3</v>
      </c>
      <c r="D20" s="80">
        <f>SUM(D16:D19)*IF(AND(Calculator!$C$19&gt;1000,Calculator!$E$26="No",Calculator!$E$34="No"),(1-IFERROR(_xlfn.XLOOKUP(Calculator!$C$7, $S$25:$S$51, $U$25:$U$51),0)),1)</f>
        <v>3.6000000000000005</v>
      </c>
      <c r="E20" s="80">
        <f>SUM(E16:E19)*IF(AND(Calculator!$C$19&gt;1000,Calculator!$E$26="No",Calculator!$E$34="No"),(1-IFERROR(_xlfn.XLOOKUP(Calculator!$C$7, $S$25:$S$51, $U$25:$U$51),0)),1)</f>
        <v>3.6000000000000005</v>
      </c>
      <c r="F20" s="80">
        <f>SUM(F16:F19)*IF(AND(Calculator!$C$19&gt;1000,Calculator!$E$26="No",Calculator!$E$34="No"),(1-IFERROR(_xlfn.XLOOKUP(Calculator!$C$7, $S$25:$S$51, $U$25:$U$51),0)),1)</f>
        <v>3.6000000000000005</v>
      </c>
      <c r="G20" s="80">
        <f>SUM(G16:G19)*IF(AND(Calculator!$C$19&gt;1000,Calculator!$E$26="No",Calculator!$E$34="No"),(1-IFERROR(_xlfn.XLOOKUP(Calculator!$C$7, $S$25:$S$51, $U$25:$U$51),0)),1)</f>
        <v>3.6000000000000005</v>
      </c>
      <c r="H20" s="80">
        <f>SUM(H16:H19)*IF(AND(Calculator!$C$19&gt;1000,Calculator!$E$26="No",Calculator!$E$34="No"),(1-IFERROR(_xlfn.XLOOKUP(Calculator!$C$7, $S$25:$S$51, $U$25:$U$51),0)),1)</f>
        <v>3.9000000000000004</v>
      </c>
      <c r="I20" s="80">
        <f>SUM(I16:I19)*IF(AND(Calculator!$C$19&gt;1000,Calculator!$E$26="No",Calculator!$E$34="No"),(1-IFERROR(_xlfn.XLOOKUP(Calculator!$C$7, $S$25:$S$51, $U$25:$U$51),0)),1)</f>
        <v>3.9000000000000004</v>
      </c>
      <c r="J20" s="80">
        <f>SUM(J16:J19)*IF(AND(Calculator!$C$19&gt;1000,Calculator!$E$26="No",Calculator!$E$34="No"),(1-IFERROR(_xlfn.XLOOKUP(Calculator!$C$7, $S$25:$S$51, $U$25:$U$51),0)),1)</f>
        <v>3.9000000000000004</v>
      </c>
      <c r="K20" s="80">
        <f>SUM(K16:K19)*IF(AND(Calculator!$C$19&gt;1000,Calculator!$E$26="No",Calculator!$E$34="No"),(1-IFERROR(_xlfn.XLOOKUP(Calculator!$C$7, $S$25:$S$51, $U$25:$U$51),0)),1)</f>
        <v>3.9000000000000004</v>
      </c>
      <c r="L20" s="80">
        <f>SUM(L16:L19)*IF(AND(Calculator!$C$19&gt;1000,Calculator!$E$26="No",Calculator!$E$34="No"),(1-IFERROR(_xlfn.XLOOKUP(Calculator!$C$7, $S$25:$S$51, $U$25:$U$51),0)),1)</f>
        <v>4.2000000000000011</v>
      </c>
      <c r="M20" s="80">
        <f>SUM(M16:M19)*IF(AND(Calculator!$C$19&gt;1000,Calculator!$E$26="No",Calculator!$E$34="No"),(1-IFERROR(_xlfn.XLOOKUP(Calculator!$C$7, $S$25:$S$51, $U$25:$U$51),0)),1)</f>
        <v>4.2000000000000011</v>
      </c>
      <c r="N20" s="80">
        <f>SUM(N16:N19)*IF(AND(Calculator!$C$19&gt;1000,Calculator!$E$26="No",Calculator!$E$34="No"),(1-IFERROR(_xlfn.XLOOKUP(Calculator!$C$7, $S$25:$S$51, $U$25:$U$51),0)),1)</f>
        <v>4.2000000000000011</v>
      </c>
      <c r="O20" s="80">
        <f>SUM(O16:O19)*IF(AND(Calculator!$C$19&gt;1000,Calculator!$E$26="No",Calculator!$E$34="No"),(1-IFERROR(_xlfn.XLOOKUP(Calculator!$C$7, $S$25:$S$51, $U$25:$U$51),0)),1)</f>
        <v>4.2000000000000011</v>
      </c>
      <c r="P20" s="80">
        <f>SUM(P16:P19)*IF(AND(Calculator!$C$19&gt;1000,Calculator!$E$26="No",Calculator!$E$34="No"),(1-IFERROR(_xlfn.XLOOKUP(Calculator!$C$7, $S$25:$S$51, $U$25:$U$51),0)),1)</f>
        <v>4.5</v>
      </c>
      <c r="Q20" s="80">
        <f>SUM(Q16:Q19)*IF(AND(Calculator!$C$19&gt;1000,Calculator!$E$26="No",Calculator!$E$34="No"),(1-IFERROR(_xlfn.XLOOKUP(Calculator!$C$7, $S$25:$S$51, $U$25:$U$51),0)),1)</f>
        <v>4.5</v>
      </c>
      <c r="R20" s="80">
        <f>SUM(R16:R19)*IF(AND(Calculator!$C$19&gt;1000,Calculator!$E$26="No",Calculator!$E$34="No"),(1-IFERROR(_xlfn.XLOOKUP(Calculator!$C$7, $S$25:$S$51, $U$25:$U$51),0)),1)</f>
        <v>4.5</v>
      </c>
      <c r="S20" s="80">
        <f>SUM(S16:S19)*IF(AND(Calculator!$C$19&gt;1000,Calculator!$E$26="No",Calculator!$E$34="No"),(1-IFERROR(_xlfn.XLOOKUP(Calculator!$C$7, $S$25:$S$51, $U$25:$U$51),0)),1)</f>
        <v>4.8000000000000007</v>
      </c>
      <c r="T20" s="80">
        <f>SUM(T16:T19)*IF(AND(Calculator!$C$19&gt;1000,Calculator!$E$26="No",Calculator!$E$34="No"),(1-IFERROR(_xlfn.XLOOKUP(Calculator!$C$7, $S$25:$S$51, $U$25:$U$51),0)),1)</f>
        <v>4.8000000000000007</v>
      </c>
      <c r="U20" s="80">
        <f>SUM(U16:U19)*IF(AND(Calculator!$C$19&gt;1000,Calculator!$E$26="No",Calculator!$E$34="No"),(1-IFERROR(_xlfn.XLOOKUP(Calculator!$C$7, $S$25:$S$51, $U$25:$U$51),0)),1)</f>
        <v>4.8000000000000007</v>
      </c>
      <c r="V20" s="80">
        <f>SUM(V16:V19)*IF(AND(Calculator!$C$19&gt;1000,Calculator!$E$26="No",Calculator!$E$34="No"),(1-IFERROR(_xlfn.XLOOKUP(Calculator!$C$7, $S$25:$S$51, $U$25:$U$51),0)),1)</f>
        <v>5.0999999999999996</v>
      </c>
      <c r="W20" s="80">
        <f>SUM(W16:W19)*IF(AND(Calculator!$C$19&gt;1000,Calculator!$E$26="No",Calculator!$E$34="No"),(1-IFERROR(_xlfn.XLOOKUP(Calculator!$C$7, $S$25:$S$51, $U$25:$U$51),0)),1)</f>
        <v>5.0999999999999996</v>
      </c>
      <c r="X20" s="80">
        <f>SUM(X16:X19)*IF(AND(Calculator!$C$19&gt;1000,Calculator!$E$26="No",Calculator!$E$34="No"),(1-IFERROR(_xlfn.XLOOKUP(Calculator!$C$7, $S$25:$S$51, $U$25:$U$51),0)),1)</f>
        <v>5.0999999999999996</v>
      </c>
      <c r="Y20" s="80">
        <f>SUM(Y16:Y19)*IF(AND(Calculator!$C$19&gt;1000,Calculator!$E$26="No",Calculator!$E$34="No"),(1-IFERROR(_xlfn.XLOOKUP(Calculator!$C$7, $S$25:$S$51, $U$25:$U$51),0)),1)</f>
        <v>5.4</v>
      </c>
      <c r="Z20" s="80">
        <f>SUM(Z16:Z19)*IF(AND(Calculator!$C$19&gt;1000,Calculator!$E$26="No",Calculator!$E$34="No"),(1-IFERROR(_xlfn.XLOOKUP(Calculator!$C$7, $S$25:$S$51, $U$25:$U$51),0)),1)</f>
        <v>5.4</v>
      </c>
      <c r="AA20" s="80">
        <f>SUM(AA16:AA19)*IF(AND(Calculator!$C$19&gt;1000,Calculator!$E$26="No",Calculator!$E$34="No"),(1-IFERROR(_xlfn.XLOOKUP(Calculator!$C$7, $S$25:$S$51, $U$25:$U$51),0)),1)</f>
        <v>5.4</v>
      </c>
      <c r="AB20" s="80">
        <f>SUM(AB16:AB19)*IF(AND(Calculator!$C$19&gt;1000,Calculator!$E$26="No",Calculator!$E$34="No"),(1-IFERROR(_xlfn.XLOOKUP(Calculator!$C$7, $S$25:$S$51, $U$25:$U$51),0)),1)</f>
        <v>5.6999999999999993</v>
      </c>
      <c r="AC20" s="80">
        <f>SUM(AC16:AC19)*IF(AND(Calculator!$C$19&gt;1000,Calculator!$E$26="No",Calculator!$E$34="No"),(1-IFERROR(_xlfn.XLOOKUP(Calculator!$C$7, $S$25:$S$51, $U$25:$U$51),0)),1)</f>
        <v>5.6999999999999993</v>
      </c>
      <c r="AD20" s="80">
        <f>SUM(AD16:AD19)*IF(AND(Calculator!$C$19&gt;1000,Calculator!$E$26="No",Calculator!$E$34="No"),(1-IFERROR(_xlfn.XLOOKUP(Calculator!$C$7, $S$25:$S$51, $U$25:$U$51),0)),1)</f>
        <v>5.6999999999999993</v>
      </c>
      <c r="AE20" s="80">
        <f>SUM(AE16:AE19)*IF(AND(Calculator!$C$19&gt;1000,Calculator!$E$26="No",Calculator!$E$34="No"),(1-IFERROR(_xlfn.XLOOKUP(Calculator!$C$7, $S$25:$S$51, $U$25:$U$51),0)),1)</f>
        <v>6</v>
      </c>
      <c r="AF20" s="80">
        <f>SUM(AF16:AF19)*IF(AND(Calculator!$C$19&gt;1000,Calculator!$E$26="No",Calculator!$E$34="No"),(1-IFERROR(_xlfn.XLOOKUP(Calculator!$C$7, $S$25:$S$51, $U$25:$U$51),0)),1)</f>
        <v>6</v>
      </c>
      <c r="AG20" s="80">
        <f>SUM(AG16:AG19)*IF(AND(Calculator!$C$19&gt;1000,Calculator!$E$26="No",Calculator!$E$34="No"),(1-IFERROR(_xlfn.XLOOKUP(Calculator!$C$7, $S$25:$S$51, $U$25:$U$51),0)),1)</f>
        <v>6.3000000000000007</v>
      </c>
      <c r="AH20" s="80">
        <f>SUM(AH16:AH19)*IF(AND(Calculator!$C$19&gt;1000,Calculator!$E$26="No",Calculator!$E$34="No"),(1-IFERROR(_xlfn.XLOOKUP(Calculator!$C$7, $S$25:$S$51, $U$25:$U$51),0)),1)</f>
        <v>6.3000000000000007</v>
      </c>
      <c r="AI20" s="80">
        <f>SUM(AI16:AI19)*IF(AND(Calculator!$C$19&gt;1000,Calculator!$E$26="No",Calculator!$E$34="No"),(1-IFERROR(_xlfn.XLOOKUP(Calculator!$C$7, $S$25:$S$51, $U$25:$U$51),0)),1)</f>
        <v>6.3000000000000007</v>
      </c>
      <c r="AJ20" s="80">
        <f>SUM(AJ16:AJ19)*IF(AND(Calculator!$C$19&gt;1000,Calculator!$E$26="No",Calculator!$E$34="No"),(1-IFERROR(_xlfn.XLOOKUP(Calculator!$C$7, $S$25:$S$51, $U$25:$U$51),0)),1)</f>
        <v>6.6</v>
      </c>
      <c r="AK20" s="80">
        <f>SUM(AK16:AK19)*IF(AND(Calculator!$C$19&gt;1000,Calculator!$E$26="No",Calculator!$E$34="No"),(1-IFERROR(_xlfn.XLOOKUP(Calculator!$C$7, $S$25:$S$51, $U$25:$U$51),0)),1)</f>
        <v>6.6</v>
      </c>
      <c r="AL20" s="80">
        <f>SUM(AL16:AL19)*IF(AND(Calculator!$C$19&gt;1000,Calculator!$E$26="No",Calculator!$E$34="No"),(1-IFERROR(_xlfn.XLOOKUP(Calculator!$C$7, $S$25:$S$51, $U$25:$U$51),0)),1)</f>
        <v>6.9000000000000012</v>
      </c>
      <c r="AM20" s="80">
        <f>SUM(AM16:AM19)*IF(AND(Calculator!$C$19&gt;1000,Calculator!$E$26="No",Calculator!$E$34="No"),(1-IFERROR(_xlfn.XLOOKUP(Calculator!$C$7, $S$25:$S$51, $U$25:$U$51),0)),1)</f>
        <v>6.9000000000000012</v>
      </c>
    </row>
    <row r="21" spans="2:39" x14ac:dyDescent="0.35">
      <c r="B21" s="4"/>
      <c r="C21" s="77"/>
      <c r="D21" s="77"/>
      <c r="E21" s="77"/>
      <c r="F21" s="77"/>
      <c r="G21" s="77"/>
      <c r="H21" s="77"/>
      <c r="I21" s="77"/>
      <c r="J21" s="77"/>
      <c r="K21" s="77"/>
    </row>
    <row r="22" spans="2:39" x14ac:dyDescent="0.35">
      <c r="B22" s="1"/>
    </row>
    <row r="23" spans="2:39" x14ac:dyDescent="0.35">
      <c r="B23" s="6" t="s">
        <v>240</v>
      </c>
      <c r="C23" s="15"/>
      <c r="D23" s="4"/>
      <c r="E23" s="4"/>
      <c r="F23" s="4"/>
      <c r="S23" s="2" t="s">
        <v>135</v>
      </c>
      <c r="Y23" s="2" t="s">
        <v>163</v>
      </c>
      <c r="AC23" s="2" t="s">
        <v>177</v>
      </c>
      <c r="AE23" s="2" t="s">
        <v>184</v>
      </c>
      <c r="AG23" s="2" t="s">
        <v>239</v>
      </c>
    </row>
    <row r="24" spans="2:39" x14ac:dyDescent="0.35">
      <c r="B24" s="4" t="s">
        <v>136</v>
      </c>
      <c r="C24" s="15"/>
      <c r="D24" s="4"/>
      <c r="E24" s="4"/>
      <c r="F24" s="4"/>
      <c r="R24" s="88" t="s">
        <v>137</v>
      </c>
      <c r="S24" s="88">
        <v>2024</v>
      </c>
      <c r="T24" s="89">
        <v>0</v>
      </c>
      <c r="U24" s="86">
        <f t="shared" ref="U24:U51" si="4">($E$4 = "No")*T24</f>
        <v>0</v>
      </c>
      <c r="Y24" t="s">
        <v>164</v>
      </c>
      <c r="Z24" t="str">
        <f>LEFT(Y24,1)</f>
        <v>A</v>
      </c>
      <c r="AA24" s="2" t="s">
        <v>182</v>
      </c>
      <c r="AB24">
        <v>1</v>
      </c>
      <c r="AC24" s="116">
        <v>16.54</v>
      </c>
      <c r="AE24" t="s">
        <v>185</v>
      </c>
      <c r="AF24">
        <v>1.026</v>
      </c>
    </row>
    <row r="25" spans="2:39" x14ac:dyDescent="0.35">
      <c r="B25" s="4"/>
      <c r="C25" s="15"/>
      <c r="D25" s="4"/>
      <c r="E25" s="4"/>
      <c r="F25" s="4"/>
      <c r="R25" s="88" t="s">
        <v>138</v>
      </c>
      <c r="S25">
        <v>2024</v>
      </c>
      <c r="T25" s="89">
        <v>0.1</v>
      </c>
      <c r="U25" s="86">
        <f t="shared" si="4"/>
        <v>0</v>
      </c>
      <c r="Y25" t="s">
        <v>165</v>
      </c>
      <c r="Z25" t="str">
        <f t="shared" ref="Z25:Z34" si="5">LEFT(Y25,1)</f>
        <v>B</v>
      </c>
      <c r="AA25" s="2" t="s">
        <v>181</v>
      </c>
      <c r="AB25">
        <v>2</v>
      </c>
      <c r="AC25" s="116">
        <v>17.68</v>
      </c>
      <c r="AE25" t="s">
        <v>186</v>
      </c>
      <c r="AF25">
        <v>1.0629999999999999</v>
      </c>
    </row>
    <row r="26" spans="2:39" ht="14.5" customHeight="1" thickBot="1" x14ac:dyDescent="0.4">
      <c r="B26" s="4" t="s">
        <v>60</v>
      </c>
      <c r="C26" s="16">
        <f>_xlfn.XLOOKUP($B26,TaxRates!$A$3:$A$87,TaxRates!B$3:B$87)</f>
        <v>6.5000000000000002E-2</v>
      </c>
      <c r="D26" s="16" t="str">
        <f>IF(ISBLANK(_xlfn.XLOOKUP($B26,TaxRates!$A$3:$A$87,TaxRates!E$3:E$87)), "", _xlfn.XLOOKUP($B26,TaxRates!$A$3:$A$87,TaxRates!E$3:E$87))</f>
        <v/>
      </c>
      <c r="E26" s="4"/>
      <c r="F26" s="69" t="s">
        <v>139</v>
      </c>
      <c r="G26" s="57"/>
      <c r="H26" s="57"/>
      <c r="I26" s="57"/>
      <c r="R26" s="88" t="s">
        <v>138</v>
      </c>
      <c r="S26">
        <v>2025</v>
      </c>
      <c r="T26" s="89">
        <v>0.15</v>
      </c>
      <c r="U26" s="86">
        <f t="shared" si="4"/>
        <v>0</v>
      </c>
      <c r="Y26" t="s">
        <v>166</v>
      </c>
      <c r="Z26" t="str">
        <f t="shared" si="5"/>
        <v>C</v>
      </c>
      <c r="AE26" t="s">
        <v>187</v>
      </c>
      <c r="AF26">
        <v>1.0629999999999999</v>
      </c>
    </row>
    <row r="27" spans="2:39" ht="15" thickBot="1" x14ac:dyDescent="0.4">
      <c r="B27" s="4" t="s">
        <v>62</v>
      </c>
      <c r="C27" s="16">
        <f>_xlfn.XLOOKUP(B27,TaxRates!A$3:A$87,TaxRates!B$3:B$87)</f>
        <v>0</v>
      </c>
      <c r="D27" s="16" t="str">
        <f>IF(ISBLANK(_xlfn.XLOOKUP($B27,TaxRates!$A$3:$A$87,TaxRates!E$3:E$87)), "", _xlfn.XLOOKUP($B27,TaxRates!$A$3:$A$87,TaxRates!E$3:E$87))</f>
        <v/>
      </c>
      <c r="E27" s="4"/>
      <c r="F27" s="69" t="s">
        <v>140</v>
      </c>
      <c r="G27" s="62"/>
      <c r="H27" s="62"/>
      <c r="I27" s="62"/>
      <c r="R27" s="88" t="s">
        <v>141</v>
      </c>
      <c r="S27">
        <v>2026</v>
      </c>
      <c r="T27" s="89">
        <v>1</v>
      </c>
      <c r="U27" s="86">
        <f t="shared" si="4"/>
        <v>0</v>
      </c>
      <c r="Y27" t="s">
        <v>167</v>
      </c>
      <c r="Z27" t="str">
        <f t="shared" si="5"/>
        <v>D</v>
      </c>
      <c r="AA27" s="117" t="s">
        <v>180</v>
      </c>
      <c r="AB27" s="118"/>
      <c r="AC27" s="119" t="str">
        <f>_xlfn.XLOOKUP(Calculator!$C$13, $AA$24:$AA$25, $AB$24:$AB$25)&amp;LEFT(Calculator!$C$12,1)</f>
        <v>1A</v>
      </c>
      <c r="AE27" t="s">
        <v>188</v>
      </c>
      <c r="AF27">
        <v>1.0629999999999999</v>
      </c>
    </row>
    <row r="28" spans="2:39" x14ac:dyDescent="0.35">
      <c r="B28" s="4" t="s">
        <v>63</v>
      </c>
      <c r="C28" s="16">
        <f>_xlfn.XLOOKUP(B28,TaxRates!A$3:A$87,TaxRates!B$3:B$87)</f>
        <v>4.9000000000000002E-2</v>
      </c>
      <c r="D28" s="16" t="str">
        <f>IF(ISBLANK(_xlfn.XLOOKUP($B28,TaxRates!$A$3:$A$87,TaxRates!E$3:E$87)), "", _xlfn.XLOOKUP($B28,TaxRates!$A$3:$A$87,TaxRates!E$3:E$87))</f>
        <v/>
      </c>
      <c r="E28" s="4"/>
      <c r="F28" s="69" t="s">
        <v>142</v>
      </c>
      <c r="G28" s="60"/>
      <c r="H28" s="60"/>
      <c r="I28" s="60"/>
      <c r="S28">
        <f>S27+1</f>
        <v>2027</v>
      </c>
      <c r="T28" s="89">
        <v>1</v>
      </c>
      <c r="U28" s="86">
        <f t="shared" si="4"/>
        <v>0</v>
      </c>
      <c r="Y28" t="s">
        <v>168</v>
      </c>
      <c r="Z28" t="str">
        <f t="shared" si="5"/>
        <v>E</v>
      </c>
      <c r="AE28" t="s">
        <v>189</v>
      </c>
      <c r="AF28">
        <v>1.0629999999999999</v>
      </c>
    </row>
    <row r="29" spans="2:39" x14ac:dyDescent="0.35">
      <c r="B29" s="4" t="s">
        <v>64</v>
      </c>
      <c r="C29" s="16">
        <f>_xlfn.XLOOKUP(B29,TaxRates!A$3:A$87,TaxRates!B$3:B$87)</f>
        <v>0.01</v>
      </c>
      <c r="D29" s="16" t="str">
        <f>IF(ISBLANK(_xlfn.XLOOKUP($B29,TaxRates!$A$3:$A$87,TaxRates!E$3:E$87)), "", _xlfn.XLOOKUP($B29,TaxRates!$A$3:$A$87,TaxRates!E$3:E$87))</f>
        <v/>
      </c>
      <c r="E29" s="4"/>
      <c r="F29" s="62" t="s">
        <v>143</v>
      </c>
      <c r="G29" s="4"/>
      <c r="H29" s="4"/>
      <c r="I29" s="4"/>
      <c r="S29">
        <f t="shared" ref="S29:S31" si="6">S28+1</f>
        <v>2028</v>
      </c>
      <c r="T29" s="89">
        <v>1</v>
      </c>
      <c r="U29" s="86">
        <f t="shared" si="4"/>
        <v>0</v>
      </c>
      <c r="Y29" t="s">
        <v>169</v>
      </c>
      <c r="Z29" t="str">
        <f t="shared" si="5"/>
        <v>F</v>
      </c>
      <c r="AE29" t="s">
        <v>190</v>
      </c>
      <c r="AF29">
        <v>1.0840000000000001</v>
      </c>
    </row>
    <row r="30" spans="2:39" x14ac:dyDescent="0.35">
      <c r="B30" s="4" t="s">
        <v>65</v>
      </c>
      <c r="C30" s="16">
        <f>_xlfn.XLOOKUP(B30,TaxRates!A$3:A$87,TaxRates!B$3:B$87)</f>
        <v>8.8400000000000006E-2</v>
      </c>
      <c r="D30" s="16" t="str">
        <f>IF(ISBLANK(_xlfn.XLOOKUP($B30,TaxRates!$A$3:$A$87,TaxRates!E$3:E$87)), "", _xlfn.XLOOKUP($B30,TaxRates!$A$3:$A$87,TaxRates!E$3:E$87))</f>
        <v/>
      </c>
      <c r="E30" s="4"/>
      <c r="F30" s="62" t="s">
        <v>144</v>
      </c>
      <c r="G30" s="62"/>
      <c r="H30" s="62"/>
      <c r="I30" s="62"/>
      <c r="S30">
        <f t="shared" si="6"/>
        <v>2029</v>
      </c>
      <c r="T30" s="89">
        <v>1</v>
      </c>
      <c r="U30" s="86">
        <f t="shared" si="4"/>
        <v>0</v>
      </c>
      <c r="Y30" t="s">
        <v>170</v>
      </c>
      <c r="Z30" t="str">
        <f t="shared" si="5"/>
        <v>G</v>
      </c>
      <c r="AE30" t="s">
        <v>191</v>
      </c>
      <c r="AF30">
        <v>1.073</v>
      </c>
    </row>
    <row r="31" spans="2:39" x14ac:dyDescent="0.35">
      <c r="B31" s="4" t="s">
        <v>66</v>
      </c>
      <c r="C31" s="16">
        <f>_xlfn.XLOOKUP(B31,TaxRates!A$3:A$87,TaxRates!B$3:B$87)</f>
        <v>4.3999999999999997E-2</v>
      </c>
      <c r="D31" s="16" t="str">
        <f>IF(ISBLANK(_xlfn.XLOOKUP($B31,TaxRates!$A$3:$A$87,TaxRates!E$3:E$87)), "", _xlfn.XLOOKUP($B31,TaxRates!$A$3:$A$87,TaxRates!E$3:E$87))</f>
        <v/>
      </c>
      <c r="E31" s="4"/>
      <c r="F31" s="62" t="s">
        <v>145</v>
      </c>
      <c r="S31">
        <f t="shared" si="6"/>
        <v>2030</v>
      </c>
      <c r="T31" s="89">
        <v>1</v>
      </c>
      <c r="U31" s="86">
        <f t="shared" si="4"/>
        <v>0</v>
      </c>
      <c r="Y31" t="s">
        <v>171</v>
      </c>
      <c r="Z31" t="str">
        <f t="shared" si="5"/>
        <v>H</v>
      </c>
      <c r="AE31" t="s">
        <v>192</v>
      </c>
      <c r="AF31">
        <v>1.08</v>
      </c>
    </row>
    <row r="32" spans="2:39" x14ac:dyDescent="0.35">
      <c r="B32" s="4" t="s">
        <v>67</v>
      </c>
      <c r="C32" s="16">
        <f>_xlfn.XLOOKUP(B32,TaxRates!A$3:A$87,TaxRates!B$3:B$87)</f>
        <v>7.4999999999999997E-2</v>
      </c>
      <c r="D32" s="16" t="str">
        <f>IF(ISBLANK(_xlfn.XLOOKUP($B32,TaxRates!$A$3:$A$87,TaxRates!E$3:E$87)), "", _xlfn.XLOOKUP($B32,TaxRates!$A$3:$A$87,TaxRates!E$3:E$87))</f>
        <v>(a)</v>
      </c>
      <c r="E32" s="4"/>
      <c r="F32" s="62" t="s">
        <v>146</v>
      </c>
      <c r="S32">
        <f t="shared" ref="S32:S45" si="7">S31+1</f>
        <v>2031</v>
      </c>
      <c r="T32" s="89">
        <v>1</v>
      </c>
      <c r="U32" s="86">
        <f t="shared" si="4"/>
        <v>0</v>
      </c>
      <c r="Y32" t="s">
        <v>172</v>
      </c>
      <c r="Z32" t="str">
        <f t="shared" si="5"/>
        <v>I</v>
      </c>
      <c r="AE32" t="s">
        <v>193</v>
      </c>
      <c r="AF32">
        <v>1.0669999999999999</v>
      </c>
    </row>
    <row r="33" spans="2:32" x14ac:dyDescent="0.35">
      <c r="B33" s="4" t="s">
        <v>69</v>
      </c>
      <c r="C33" s="16">
        <f>_xlfn.XLOOKUP(B33,TaxRates!A$3:A$87,TaxRates!B$3:B$87)</f>
        <v>8.6999999999999994E-2</v>
      </c>
      <c r="D33" s="16" t="str">
        <f>IF(ISBLANK(_xlfn.XLOOKUP($B33,TaxRates!$A$3:$A$87,TaxRates!E$3:E$87)), "", _xlfn.XLOOKUP($B33,TaxRates!$A$3:$A$87,TaxRates!E$3:E$87))</f>
        <v>(b)</v>
      </c>
      <c r="E33" s="4"/>
      <c r="F33" s="60" t="s">
        <v>119</v>
      </c>
      <c r="S33">
        <f t="shared" si="7"/>
        <v>2032</v>
      </c>
      <c r="T33" s="89">
        <v>1</v>
      </c>
      <c r="U33" s="86">
        <f t="shared" si="4"/>
        <v>0</v>
      </c>
      <c r="Y33" t="s">
        <v>173</v>
      </c>
      <c r="Z33" t="str">
        <f t="shared" si="5"/>
        <v>J</v>
      </c>
      <c r="AE33" t="s">
        <v>194</v>
      </c>
      <c r="AF33">
        <v>1.069</v>
      </c>
    </row>
    <row r="34" spans="2:32" x14ac:dyDescent="0.35">
      <c r="B34" s="4" t="s">
        <v>71</v>
      </c>
      <c r="C34" s="16">
        <f>_xlfn.XLOOKUP(B34,TaxRates!A$3:A$87,TaxRates!B$3:B$87)</f>
        <v>5.5E-2</v>
      </c>
      <c r="D34" s="16" t="str">
        <f>IF(ISBLANK(_xlfn.XLOOKUP($B34,TaxRates!$A$3:$A$87,TaxRates!E$3:E$87)), "", _xlfn.XLOOKUP($B34,TaxRates!$A$3:$A$87,TaxRates!E$3:E$87))</f>
        <v/>
      </c>
      <c r="E34" s="4"/>
      <c r="F34" s="4" t="s">
        <v>120</v>
      </c>
      <c r="S34">
        <f t="shared" si="7"/>
        <v>2033</v>
      </c>
      <c r="T34" s="89">
        <v>1</v>
      </c>
      <c r="U34" s="86">
        <f t="shared" si="4"/>
        <v>0</v>
      </c>
      <c r="Y34" t="s">
        <v>174</v>
      </c>
      <c r="Z34" t="str">
        <f t="shared" si="5"/>
        <v>K</v>
      </c>
    </row>
    <row r="35" spans="2:32" x14ac:dyDescent="0.35">
      <c r="B35" s="4" t="s">
        <v>72</v>
      </c>
      <c r="C35" s="16">
        <f>_xlfn.XLOOKUP(B35,TaxRates!A$3:A$87,TaxRates!B$3:B$87)</f>
        <v>5.7500000000000002E-2</v>
      </c>
      <c r="D35" s="16" t="str">
        <f>IF(ISBLANK(_xlfn.XLOOKUP($B35,TaxRates!$A$3:$A$87,TaxRates!E$3:E$87)), "", _xlfn.XLOOKUP($B35,TaxRates!$A$3:$A$87,TaxRates!E$3:E$87))</f>
        <v>(c)</v>
      </c>
      <c r="E35" s="4"/>
      <c r="F35" s="62" t="s">
        <v>147</v>
      </c>
      <c r="S35">
        <f t="shared" si="7"/>
        <v>2034</v>
      </c>
      <c r="T35" s="89">
        <v>1</v>
      </c>
      <c r="U35" s="86">
        <f t="shared" si="4"/>
        <v>0</v>
      </c>
    </row>
    <row r="36" spans="2:32" x14ac:dyDescent="0.35">
      <c r="B36" s="4" t="s">
        <v>74</v>
      </c>
      <c r="C36" s="16">
        <f>_xlfn.XLOOKUP(B36,TaxRates!A$3:A$87,TaxRates!B$3:B$87)</f>
        <v>4.3999999999999997E-2</v>
      </c>
      <c r="D36" s="16" t="str">
        <f>IF(ISBLANK(_xlfn.XLOOKUP($B36,TaxRates!$A$3:$A$87,TaxRates!E$3:E$87)), "", _xlfn.XLOOKUP($B36,TaxRates!$A$3:$A$87,TaxRates!E$3:E$87))</f>
        <v/>
      </c>
      <c r="E36" s="4"/>
      <c r="F36" s="4" t="s">
        <v>148</v>
      </c>
      <c r="S36">
        <f t="shared" si="7"/>
        <v>2035</v>
      </c>
      <c r="T36" s="89">
        <v>1</v>
      </c>
      <c r="U36" s="86">
        <f t="shared" si="4"/>
        <v>0</v>
      </c>
      <c r="Y36" s="113" t="s">
        <v>176</v>
      </c>
      <c r="Z36" s="114" t="s">
        <v>175</v>
      </c>
      <c r="AA36" s="115"/>
      <c r="AB36" s="2" t="s">
        <v>239</v>
      </c>
    </row>
    <row r="37" spans="2:32" x14ac:dyDescent="0.35">
      <c r="B37" s="4" t="s">
        <v>75</v>
      </c>
      <c r="C37" s="16">
        <f>_xlfn.XLOOKUP(B37,TaxRates!A$3:A$87,TaxRates!B$3:B$87)</f>
        <v>5.8000000000000003E-2</v>
      </c>
      <c r="D37" s="16" t="str">
        <f>IF(ISBLANK(_xlfn.XLOOKUP($B37,TaxRates!$A$3:$A$87,TaxRates!E$3:E$87)), "", _xlfn.XLOOKUP($B37,TaxRates!$A$3:$A$87,TaxRates!E$3:E$87))</f>
        <v/>
      </c>
      <c r="E37" s="4"/>
      <c r="F37" s="4" t="s">
        <v>149</v>
      </c>
      <c r="G37" s="5"/>
      <c r="H37" s="5"/>
      <c r="I37" s="5"/>
      <c r="S37">
        <f t="shared" si="7"/>
        <v>2036</v>
      </c>
      <c r="T37" s="89">
        <v>1</v>
      </c>
      <c r="U37" s="86">
        <f t="shared" si="4"/>
        <v>0</v>
      </c>
      <c r="Y37" s="111" t="str">
        <f t="shared" ref="Y37:Y47" si="8">$AB$24&amp;Z24</f>
        <v>1A</v>
      </c>
      <c r="Z37">
        <v>0.18759999999999999</v>
      </c>
      <c r="AA37" s="109"/>
    </row>
    <row r="38" spans="2:32" x14ac:dyDescent="0.35">
      <c r="B38" s="4" t="s">
        <v>76</v>
      </c>
      <c r="C38" s="16">
        <f>_xlfn.XLOOKUP(B38,TaxRates!A$3:A$87,TaxRates!B$3:B$87)</f>
        <v>9.5000000000000001E-2</v>
      </c>
      <c r="D38" s="16" t="str">
        <f>IF(ISBLANK(_xlfn.XLOOKUP($B38,TaxRates!$A$3:$A$87,TaxRates!E$3:E$87)), "", _xlfn.XLOOKUP($B38,TaxRates!$A$3:$A$87,TaxRates!E$3:E$87))</f>
        <v>(d)</v>
      </c>
      <c r="E38" s="4"/>
      <c r="F38" s="5" t="s">
        <v>150</v>
      </c>
      <c r="G38" s="42"/>
      <c r="H38" s="42"/>
      <c r="I38" s="42"/>
      <c r="S38">
        <f t="shared" si="7"/>
        <v>2037</v>
      </c>
      <c r="T38" s="89">
        <v>1</v>
      </c>
      <c r="U38" s="86">
        <f t="shared" si="4"/>
        <v>0</v>
      </c>
      <c r="Y38" s="111" t="str">
        <f t="shared" si="8"/>
        <v>1B</v>
      </c>
      <c r="Z38">
        <v>0.17369999999999999</v>
      </c>
      <c r="AA38" s="109"/>
    </row>
    <row r="39" spans="2:32" x14ac:dyDescent="0.35">
      <c r="B39" s="4" t="s">
        <v>78</v>
      </c>
      <c r="C39" s="16">
        <f>_xlfn.XLOOKUP(B39,TaxRates!A$3:A$87,TaxRates!B$3:B$87)</f>
        <v>4.9000000000000002E-2</v>
      </c>
      <c r="D39" s="16" t="str">
        <f>IF(ISBLANK(_xlfn.XLOOKUP($B39,TaxRates!$A$3:$A$87,TaxRates!E$3:E$87)), "", _xlfn.XLOOKUP($B39,TaxRates!$A$3:$A$87,TaxRates!E$3:E$87))</f>
        <v/>
      </c>
      <c r="E39" s="4"/>
      <c r="F39" s="4" t="s">
        <v>151</v>
      </c>
      <c r="S39">
        <f t="shared" si="7"/>
        <v>2038</v>
      </c>
      <c r="T39" s="89">
        <v>1</v>
      </c>
      <c r="U39" s="86">
        <f t="shared" si="4"/>
        <v>0</v>
      </c>
      <c r="Y39" s="111" t="str">
        <f t="shared" si="8"/>
        <v>1C</v>
      </c>
      <c r="Z39">
        <v>0.18049999999999999</v>
      </c>
      <c r="AA39" s="109"/>
    </row>
    <row r="40" spans="2:32" x14ac:dyDescent="0.35">
      <c r="B40" s="4" t="s">
        <v>79</v>
      </c>
      <c r="C40" s="16">
        <f>_xlfn.XLOOKUP(B40,TaxRates!A$3:A$87,TaxRates!B$3:B$87)</f>
        <v>5.5E-2</v>
      </c>
      <c r="D40" s="16" t="str">
        <f>IF(ISBLANK(_xlfn.XLOOKUP($B40,TaxRates!$A$3:$A$87,TaxRates!E$3:E$87)), "", _xlfn.XLOOKUP($B40,TaxRates!$A$3:$A$87,TaxRates!E$3:E$87))</f>
        <v/>
      </c>
      <c r="E40" s="4"/>
      <c r="F40" s="42" t="s">
        <v>123</v>
      </c>
      <c r="S40">
        <f t="shared" si="7"/>
        <v>2039</v>
      </c>
      <c r="T40" s="89">
        <v>1</v>
      </c>
      <c r="U40" s="86">
        <f t="shared" si="4"/>
        <v>0</v>
      </c>
      <c r="Y40" s="111" t="str">
        <f t="shared" si="8"/>
        <v>1D</v>
      </c>
      <c r="Z40">
        <v>0.184</v>
      </c>
      <c r="AA40" s="109"/>
    </row>
    <row r="41" spans="2:32" x14ac:dyDescent="0.35">
      <c r="B41" s="4" t="s">
        <v>80</v>
      </c>
      <c r="C41" s="16">
        <f>_xlfn.XLOOKUP(B41,TaxRates!A$3:A$87,TaxRates!B$3:B$87)</f>
        <v>0.04</v>
      </c>
      <c r="D41" s="16" t="str">
        <f>IF(ISBLANK(_xlfn.XLOOKUP($B41,TaxRates!$A$3:$A$87,TaxRates!E$3:E$87)), "", _xlfn.XLOOKUP($B41,TaxRates!$A$3:$A$87,TaxRates!E$3:E$87))</f>
        <v/>
      </c>
      <c r="E41" s="4"/>
      <c r="S41">
        <f t="shared" si="7"/>
        <v>2040</v>
      </c>
      <c r="T41" s="89">
        <v>1</v>
      </c>
      <c r="U41" s="86">
        <f t="shared" si="4"/>
        <v>0</v>
      </c>
      <c r="Y41" s="111" t="str">
        <f t="shared" si="8"/>
        <v>1E</v>
      </c>
      <c r="Z41">
        <v>0.18049999999999999</v>
      </c>
      <c r="AA41" s="109"/>
    </row>
    <row r="42" spans="2:32" x14ac:dyDescent="0.35">
      <c r="B42" s="4" t="s">
        <v>81</v>
      </c>
      <c r="C42" s="16">
        <f>_xlfn.XLOOKUP(B42,TaxRates!A$3:A$87,TaxRates!B$3:B$87)</f>
        <v>0.05</v>
      </c>
      <c r="D42" s="16" t="str">
        <f>IF(ISBLANK(_xlfn.XLOOKUP($B42,TaxRates!$A$3:$A$87,TaxRates!E$3:E$87)), "", _xlfn.XLOOKUP($B42,TaxRates!$A$3:$A$87,TaxRates!E$3:E$87))</f>
        <v/>
      </c>
      <c r="E42" s="4"/>
      <c r="F42" s="4"/>
      <c r="S42">
        <f t="shared" si="7"/>
        <v>2041</v>
      </c>
      <c r="T42" s="89">
        <v>1</v>
      </c>
      <c r="U42" s="86">
        <f t="shared" si="4"/>
        <v>0</v>
      </c>
      <c r="Y42" s="111" t="str">
        <f t="shared" si="8"/>
        <v>1F</v>
      </c>
      <c r="Z42">
        <v>0.19009999999999999</v>
      </c>
      <c r="AA42" s="109"/>
    </row>
    <row r="43" spans="2:32" x14ac:dyDescent="0.35">
      <c r="B43" s="4" t="s">
        <v>82</v>
      </c>
      <c r="C43" s="16">
        <f>_xlfn.XLOOKUP(B43,TaxRates!A$3:A$87,TaxRates!B$3:B$87)</f>
        <v>3.5000000000000003E-2</v>
      </c>
      <c r="D43" s="16" t="str">
        <f>IF(ISBLANK(_xlfn.XLOOKUP($B43,TaxRates!$A$3:$A$87,TaxRates!E$3:E$87)), "", _xlfn.XLOOKUP($B43,TaxRates!$A$3:$A$87,TaxRates!E$3:E$87))</f>
        <v/>
      </c>
      <c r="E43" s="4"/>
      <c r="F43" s="4"/>
      <c r="S43">
        <f t="shared" si="7"/>
        <v>2042</v>
      </c>
      <c r="T43" s="89">
        <v>1</v>
      </c>
      <c r="U43" s="86">
        <f t="shared" si="4"/>
        <v>0</v>
      </c>
      <c r="Y43" s="111" t="str">
        <f t="shared" si="8"/>
        <v>1G</v>
      </c>
      <c r="Z43">
        <v>0.19209999999999999</v>
      </c>
      <c r="AA43" s="109"/>
    </row>
    <row r="44" spans="2:32" x14ac:dyDescent="0.35">
      <c r="B44" s="4" t="s">
        <v>83</v>
      </c>
      <c r="C44" s="16">
        <f>_xlfn.XLOOKUP(B44,TaxRates!A$3:A$87,TaxRates!B$3:B$87)</f>
        <v>3.5000000000000003E-2</v>
      </c>
      <c r="D44" s="16" t="str">
        <f>IF(ISBLANK(_xlfn.XLOOKUP($B44,TaxRates!$A$3:$A$87,TaxRates!E$3:E$87)), "", _xlfn.XLOOKUP($B44,TaxRates!$A$3:$A$87,TaxRates!E$3:E$87))</f>
        <v/>
      </c>
      <c r="E44" s="4"/>
      <c r="F44" s="4"/>
      <c r="S44">
        <f t="shared" si="7"/>
        <v>2043</v>
      </c>
      <c r="T44" s="89">
        <v>1</v>
      </c>
      <c r="U44" s="86">
        <f t="shared" si="4"/>
        <v>0</v>
      </c>
      <c r="Y44" s="111" t="str">
        <f t="shared" si="8"/>
        <v>1H</v>
      </c>
      <c r="Z44">
        <v>0.19400000000000001</v>
      </c>
      <c r="AA44" s="109"/>
    </row>
    <row r="45" spans="2:32" x14ac:dyDescent="0.35">
      <c r="B45" s="4" t="s">
        <v>84</v>
      </c>
      <c r="C45" s="16">
        <f>_xlfn.XLOOKUP(B45,TaxRates!A$3:A$87,TaxRates!B$3:B$87)</f>
        <v>8.2500000000000004E-2</v>
      </c>
      <c r="D45" s="16" t="str">
        <f>IF(ISBLANK(_xlfn.XLOOKUP($B45,TaxRates!$A$3:$A$87,TaxRates!E$3:E$87)), "", _xlfn.XLOOKUP($B45,TaxRates!$A$3:$A$87,TaxRates!E$3:E$87))</f>
        <v/>
      </c>
      <c r="E45" s="4"/>
      <c r="F45" s="4"/>
      <c r="S45">
        <f t="shared" si="7"/>
        <v>2044</v>
      </c>
      <c r="T45" s="89">
        <v>1</v>
      </c>
      <c r="U45" s="86">
        <f t="shared" si="4"/>
        <v>0</v>
      </c>
      <c r="Y45" s="111" t="str">
        <f t="shared" si="8"/>
        <v>1I</v>
      </c>
      <c r="Z45">
        <v>0.19400000000000001</v>
      </c>
      <c r="AA45" s="109"/>
    </row>
    <row r="46" spans="2:32" x14ac:dyDescent="0.35">
      <c r="B46" s="4" t="s">
        <v>85</v>
      </c>
      <c r="C46" s="16">
        <f>_xlfn.XLOOKUP(B46,TaxRates!A$3:A$87,TaxRates!B$3:B$87)</f>
        <v>0.08</v>
      </c>
      <c r="D46" s="16" t="str">
        <f>IF(ISBLANK(_xlfn.XLOOKUP($B46,TaxRates!$A$3:$A$87,TaxRates!E$3:E$87)), "", _xlfn.XLOOKUP($B46,TaxRates!$A$3:$A$87,TaxRates!E$3:E$87))</f>
        <v/>
      </c>
      <c r="E46" s="4"/>
      <c r="F46" s="4"/>
      <c r="S46">
        <f t="shared" ref="S46:S47" si="9">S45+1</f>
        <v>2045</v>
      </c>
      <c r="T46" s="89">
        <v>1</v>
      </c>
      <c r="U46" s="86">
        <f t="shared" si="4"/>
        <v>0</v>
      </c>
      <c r="Y46" s="111" t="str">
        <f t="shared" si="8"/>
        <v>1J</v>
      </c>
      <c r="Z46">
        <v>0.19400000000000001</v>
      </c>
      <c r="AA46" s="109"/>
    </row>
    <row r="47" spans="2:32" x14ac:dyDescent="0.35">
      <c r="B47" s="4" t="s">
        <v>86</v>
      </c>
      <c r="C47" s="16">
        <f>_xlfn.XLOOKUP(B47,TaxRates!A$3:A$87,TaxRates!B$3:B$87)</f>
        <v>0.06</v>
      </c>
      <c r="D47" s="16" t="str">
        <f>IF(ISBLANK(_xlfn.XLOOKUP($B47,TaxRates!$A$3:$A$87,TaxRates!E$3:E$87)), "", _xlfn.XLOOKUP($B47,TaxRates!$A$3:$A$87,TaxRates!E$3:E$87))</f>
        <v/>
      </c>
      <c r="E47" s="4"/>
      <c r="F47" s="4"/>
      <c r="S47">
        <f t="shared" si="9"/>
        <v>2046</v>
      </c>
      <c r="T47" s="89">
        <v>1</v>
      </c>
      <c r="U47" s="86">
        <f t="shared" si="4"/>
        <v>0</v>
      </c>
      <c r="Y47" s="112" t="str">
        <f t="shared" si="8"/>
        <v>1K</v>
      </c>
      <c r="Z47" s="108">
        <v>0.1951</v>
      </c>
      <c r="AA47" s="110"/>
    </row>
    <row r="48" spans="2:32" x14ac:dyDescent="0.35">
      <c r="B48" s="4" t="s">
        <v>87</v>
      </c>
      <c r="C48" s="16">
        <f>_xlfn.XLOOKUP(B48,TaxRates!A$3:A$87,TaxRates!B$3:B$87)</f>
        <v>9.8000000000000004E-2</v>
      </c>
      <c r="D48" s="16" t="str">
        <f>IF(ISBLANK(_xlfn.XLOOKUP($B48,TaxRates!$A$3:$A$87,TaxRates!E$3:E$87)), "", _xlfn.XLOOKUP($B48,TaxRates!$A$3:$A$87,TaxRates!E$3:E$87))</f>
        <v/>
      </c>
      <c r="E48" s="4"/>
      <c r="F48" s="4"/>
      <c r="S48">
        <f t="shared" ref="S48:S51" si="10">S47+1</f>
        <v>2047</v>
      </c>
      <c r="T48" s="89">
        <v>1</v>
      </c>
      <c r="U48" s="86">
        <f t="shared" si="4"/>
        <v>0</v>
      </c>
      <c r="Y48" s="111" t="str">
        <f t="shared" ref="Y48:Y58" si="11">$AB$25&amp;Z24</f>
        <v>2A</v>
      </c>
      <c r="Z48">
        <v>0.21010000000000001</v>
      </c>
      <c r="AA48" s="109"/>
    </row>
    <row r="49" spans="2:27" x14ac:dyDescent="0.35">
      <c r="B49" s="4" t="s">
        <v>88</v>
      </c>
      <c r="C49" s="16">
        <f>_xlfn.XLOOKUP(B49,TaxRates!A$3:A$87,TaxRates!B$3:B$87)</f>
        <v>0.04</v>
      </c>
      <c r="D49" s="16" t="str">
        <f>IF(ISBLANK(_xlfn.XLOOKUP($B49,TaxRates!$A$3:$A$87,TaxRates!E$3:E$87)), "", _xlfn.XLOOKUP($B49,TaxRates!$A$3:$A$87,TaxRates!E$3:E$87))</f>
        <v/>
      </c>
      <c r="E49" s="4"/>
      <c r="F49" s="4"/>
      <c r="S49">
        <f t="shared" si="10"/>
        <v>2048</v>
      </c>
      <c r="T49" s="89">
        <v>1</v>
      </c>
      <c r="U49" s="86">
        <f t="shared" si="4"/>
        <v>0</v>
      </c>
      <c r="Y49" s="111" t="str">
        <f t="shared" si="11"/>
        <v>2B</v>
      </c>
      <c r="Z49">
        <v>0.1971</v>
      </c>
      <c r="AA49" s="109"/>
    </row>
    <row r="50" spans="2:27" x14ac:dyDescent="0.35">
      <c r="B50" s="4" t="s">
        <v>89</v>
      </c>
      <c r="C50" s="16">
        <f>_xlfn.XLOOKUP(B50,TaxRates!A$3:A$87,TaxRates!B$3:B$87)</f>
        <v>0.04</v>
      </c>
      <c r="D50" s="16" t="str">
        <f>IF(ISBLANK(_xlfn.XLOOKUP($B50,TaxRates!$A$3:$A$87,TaxRates!E$3:E$87)), "", _xlfn.XLOOKUP($B50,TaxRates!$A$3:$A$87,TaxRates!E$3:E$87))</f>
        <v/>
      </c>
      <c r="E50" s="4"/>
      <c r="F50" s="4"/>
      <c r="S50">
        <f t="shared" si="10"/>
        <v>2049</v>
      </c>
      <c r="T50" s="89">
        <v>1</v>
      </c>
      <c r="U50" s="86">
        <f t="shared" si="4"/>
        <v>0</v>
      </c>
      <c r="Y50" s="111" t="str">
        <f t="shared" si="11"/>
        <v>2C</v>
      </c>
      <c r="Z50">
        <v>0.19950000000000001</v>
      </c>
      <c r="AA50" s="109"/>
    </row>
    <row r="51" spans="2:27" x14ac:dyDescent="0.35">
      <c r="B51" s="4" t="s">
        <v>90</v>
      </c>
      <c r="C51" s="16">
        <f>_xlfn.XLOOKUP(B51,TaxRates!A$3:A$87,TaxRates!B$3:B$87)</f>
        <v>6.7500000000000004E-2</v>
      </c>
      <c r="D51" s="16" t="str">
        <f>IF(ISBLANK(_xlfn.XLOOKUP($B51,TaxRates!$A$3:$A$87,TaxRates!E$3:E$87)), "", _xlfn.XLOOKUP($B51,TaxRates!$A$3:$A$87,TaxRates!E$3:E$87))</f>
        <v/>
      </c>
      <c r="E51" s="4"/>
      <c r="F51" s="4"/>
      <c r="S51">
        <f t="shared" si="10"/>
        <v>2050</v>
      </c>
      <c r="T51" s="89">
        <v>1</v>
      </c>
      <c r="U51" s="86">
        <f t="shared" si="4"/>
        <v>0</v>
      </c>
      <c r="Y51" s="111" t="str">
        <f t="shared" si="11"/>
        <v>2D</v>
      </c>
      <c r="Z51">
        <v>0.20449999999999999</v>
      </c>
      <c r="AA51" s="109"/>
    </row>
    <row r="52" spans="2:27" x14ac:dyDescent="0.35">
      <c r="B52" s="4" t="s">
        <v>91</v>
      </c>
      <c r="C52" s="16">
        <f>_xlfn.XLOOKUP(B52,TaxRates!A$3:A$87,TaxRates!B$3:B$87)</f>
        <v>5.5800000000000002E-2</v>
      </c>
      <c r="D52" s="16" t="str">
        <f>IF(ISBLANK(_xlfn.XLOOKUP($B52,TaxRates!$A$3:$A$87,TaxRates!E$3:E$87)), "", _xlfn.XLOOKUP($B52,TaxRates!$A$3:$A$87,TaxRates!E$3:E$87))</f>
        <v/>
      </c>
      <c r="E52" s="4"/>
      <c r="F52" s="4"/>
      <c r="Y52" s="111" t="str">
        <f t="shared" si="11"/>
        <v>2E</v>
      </c>
      <c r="Z52">
        <v>0.19950000000000001</v>
      </c>
      <c r="AA52" s="109"/>
    </row>
    <row r="53" spans="2:27" x14ac:dyDescent="0.35">
      <c r="B53" s="4" t="s">
        <v>92</v>
      </c>
      <c r="C53" s="16">
        <f>_xlfn.XLOOKUP(B53,TaxRates!A$3:A$87,TaxRates!B$3:B$87)</f>
        <v>0</v>
      </c>
      <c r="D53" s="16" t="str">
        <f>IF(ISBLANK(_xlfn.XLOOKUP($B53,TaxRates!$A$3:$A$87,TaxRates!E$3:E$87)), "", _xlfn.XLOOKUP($B53,TaxRates!$A$3:$A$87,TaxRates!E$3:E$87))</f>
        <v>(b)</v>
      </c>
      <c r="E53" s="4"/>
      <c r="F53" s="4"/>
      <c r="Y53" s="111" t="str">
        <f t="shared" si="11"/>
        <v>2F</v>
      </c>
      <c r="Z53">
        <v>0.20949999999999999</v>
      </c>
      <c r="AA53" s="109"/>
    </row>
    <row r="54" spans="2:27" x14ac:dyDescent="0.35">
      <c r="B54" s="4" t="s">
        <v>93</v>
      </c>
      <c r="C54" s="16">
        <f>_xlfn.XLOOKUP(B54,TaxRates!A$3:A$87,TaxRates!B$3:B$87)</f>
        <v>7.4999999999999997E-2</v>
      </c>
      <c r="D54" s="16" t="str">
        <f>IF(ISBLANK(_xlfn.XLOOKUP($B54,TaxRates!$A$3:$A$87,TaxRates!E$3:E$87)), "", _xlfn.XLOOKUP($B54,TaxRates!$A$3:$A$87,TaxRates!E$3:E$87))</f>
        <v/>
      </c>
      <c r="E54" s="4"/>
      <c r="F54" s="4"/>
      <c r="Y54" s="111" t="str">
        <f t="shared" si="11"/>
        <v>2G</v>
      </c>
      <c r="Z54">
        <v>0.21290000000000001</v>
      </c>
      <c r="AA54" s="109"/>
    </row>
    <row r="55" spans="2:27" x14ac:dyDescent="0.35">
      <c r="B55" s="4" t="s">
        <v>94</v>
      </c>
      <c r="C55" s="16">
        <f>_xlfn.XLOOKUP(B55,TaxRates!A$3:A$87,TaxRates!B$3:B$87)</f>
        <v>6.5000000000000002E-2</v>
      </c>
      <c r="D55" s="16" t="str">
        <f>IF(ISBLANK(_xlfn.XLOOKUP($B55,TaxRates!$A$3:$A$87,TaxRates!E$3:E$87)), "", _xlfn.XLOOKUP($B55,TaxRates!$A$3:$A$87,TaxRates!E$3:E$87))</f>
        <v>(e)</v>
      </c>
      <c r="E55" s="4"/>
      <c r="F55" s="4"/>
      <c r="Y55" s="111" t="str">
        <f t="shared" si="11"/>
        <v>2H</v>
      </c>
      <c r="Z55">
        <v>0.2162</v>
      </c>
      <c r="AA55" s="109"/>
    </row>
    <row r="56" spans="2:27" x14ac:dyDescent="0.35">
      <c r="B56" s="4" t="s">
        <v>96</v>
      </c>
      <c r="C56" s="16">
        <f>_xlfn.XLOOKUP(B56,TaxRates!A$3:A$87,TaxRates!B$3:B$87)</f>
        <v>4.8000000000000001E-2</v>
      </c>
      <c r="D56" s="16" t="str">
        <f>IF(ISBLANK(_xlfn.XLOOKUP($B56,TaxRates!$A$3:$A$87,TaxRates!E$3:E$87)), "", _xlfn.XLOOKUP($B56,TaxRates!$A$3:$A$87,TaxRates!E$3:E$87))</f>
        <v/>
      </c>
      <c r="E56" s="4"/>
      <c r="F56" s="4"/>
      <c r="Y56" s="111" t="str">
        <f t="shared" si="11"/>
        <v>2I</v>
      </c>
      <c r="Z56">
        <v>0.2162</v>
      </c>
      <c r="AA56" s="109"/>
    </row>
    <row r="57" spans="2:27" x14ac:dyDescent="0.35">
      <c r="B57" s="4" t="s">
        <v>97</v>
      </c>
      <c r="C57" s="16">
        <f>_xlfn.XLOOKUP(B57,TaxRates!A$3:A$87,TaxRates!B$3:B$87)</f>
        <v>6.5000000000000002E-2</v>
      </c>
      <c r="D57" s="16" t="str">
        <f>IF(ISBLANK(_xlfn.XLOOKUP($B57,TaxRates!$A$3:$A$87,TaxRates!E$3:E$87)), "", _xlfn.XLOOKUP($B57,TaxRates!$A$3:$A$87,TaxRates!E$3:E$87))</f>
        <v/>
      </c>
      <c r="E57" s="4"/>
      <c r="F57" s="4"/>
      <c r="Y57" s="111" t="str">
        <f t="shared" si="11"/>
        <v>2J</v>
      </c>
      <c r="Z57">
        <v>0.2162</v>
      </c>
      <c r="AA57" s="109"/>
    </row>
    <row r="58" spans="2:27" x14ac:dyDescent="0.35">
      <c r="B58" s="4" t="s">
        <v>98</v>
      </c>
      <c r="C58" s="16">
        <f>_xlfn.XLOOKUP(B58,TaxRates!A$3:A$87,TaxRates!B$3:B$87)</f>
        <v>2.5000000000000001E-2</v>
      </c>
      <c r="D58" s="16" t="str">
        <f>IF(ISBLANK(_xlfn.XLOOKUP($B58,TaxRates!$A$3:$A$87,TaxRates!E$3:E$87)), "", _xlfn.XLOOKUP($B58,TaxRates!$A$3:$A$87,TaxRates!E$3:E$87))</f>
        <v/>
      </c>
      <c r="E58" s="4"/>
      <c r="F58" s="4"/>
      <c r="Y58" s="112" t="str">
        <f t="shared" si="11"/>
        <v>2K</v>
      </c>
      <c r="Z58" s="108">
        <v>0.2208</v>
      </c>
      <c r="AA58" s="110"/>
    </row>
    <row r="59" spans="2:27" x14ac:dyDescent="0.35">
      <c r="B59" s="4" t="s">
        <v>99</v>
      </c>
      <c r="C59" s="16">
        <f>_xlfn.XLOOKUP(B59,TaxRates!A$3:A$87,TaxRates!B$3:B$87)</f>
        <v>1.41E-2</v>
      </c>
      <c r="D59" s="16" t="str">
        <f>IF(ISBLANK(_xlfn.XLOOKUP($B59,TaxRates!$A$3:$A$87,TaxRates!E$3:E$87)), "", _xlfn.XLOOKUP($B59,TaxRates!$A$3:$A$87,TaxRates!E$3:E$87))</f>
        <v/>
      </c>
      <c r="E59" s="4"/>
      <c r="F59" s="4"/>
    </row>
    <row r="60" spans="2:27" x14ac:dyDescent="0.35">
      <c r="B60" s="4" t="s">
        <v>100</v>
      </c>
      <c r="C60" s="16">
        <f>_xlfn.XLOOKUP(B60,TaxRates!A$3:A$87,TaxRates!B$3:B$87)</f>
        <v>0</v>
      </c>
      <c r="D60" s="16" t="str">
        <f>IF(ISBLANK(_xlfn.XLOOKUP($B60,TaxRates!$A$3:$A$87,TaxRates!E$3:E$87)), "", _xlfn.XLOOKUP($B60,TaxRates!$A$3:$A$87,TaxRates!E$3:E$87))</f>
        <v>(b)</v>
      </c>
      <c r="E60" s="4"/>
      <c r="F60" s="4"/>
    </row>
    <row r="61" spans="2:27" x14ac:dyDescent="0.35">
      <c r="B61" s="4" t="s">
        <v>101</v>
      </c>
      <c r="C61" s="16">
        <f>_xlfn.XLOOKUP(B61,TaxRates!A$3:A$87,TaxRates!B$3:B$87)</f>
        <v>0.04</v>
      </c>
      <c r="D61" s="16" t="str">
        <f>IF(ISBLANK(_xlfn.XLOOKUP($B61,TaxRates!$A$3:$A$87,TaxRates!E$3:E$87)), "", _xlfn.XLOOKUP($B61,TaxRates!$A$3:$A$87,TaxRates!E$3:E$87))</f>
        <v/>
      </c>
      <c r="E61" s="4"/>
      <c r="F61" s="4"/>
    </row>
    <row r="62" spans="2:27" x14ac:dyDescent="0.35">
      <c r="B62" s="4" t="s">
        <v>102</v>
      </c>
      <c r="C62" s="16">
        <f>_xlfn.XLOOKUP(B62,TaxRates!A$3:A$87,TaxRates!B$3:B$87)</f>
        <v>6.6000000000000003E-2</v>
      </c>
      <c r="D62" s="16" t="str">
        <f>IF(ISBLANK(_xlfn.XLOOKUP($B62,TaxRates!$A$3:$A$87,TaxRates!E$3:E$87)), "", _xlfn.XLOOKUP($B62,TaxRates!$A$3:$A$87,TaxRates!E$3:E$87))</f>
        <v>(a)</v>
      </c>
      <c r="E62" s="4"/>
      <c r="F62" s="4"/>
    </row>
    <row r="63" spans="2:27" x14ac:dyDescent="0.35">
      <c r="B63" s="4" t="s">
        <v>103</v>
      </c>
      <c r="C63" s="16">
        <f>_xlfn.XLOOKUP(B63,TaxRates!A$3:A$87,TaxRates!B$3:B$87)</f>
        <v>8.9899999999999994E-2</v>
      </c>
      <c r="D63" s="16" t="str">
        <f>IF(ISBLANK(_xlfn.XLOOKUP($B63,TaxRates!$A$3:$A$87,TaxRates!E$3:E$87)), "", _xlfn.XLOOKUP($B63,TaxRates!$A$3:$A$87,TaxRates!E$3:E$87))</f>
        <v/>
      </c>
      <c r="E63" s="4"/>
      <c r="F63" s="4"/>
    </row>
    <row r="64" spans="2:27" x14ac:dyDescent="0.35">
      <c r="B64" s="4" t="s">
        <v>104</v>
      </c>
      <c r="C64" s="16">
        <f>_xlfn.XLOOKUP(B64,TaxRates!A$3:A$87,TaxRates!B$3:B$87)</f>
        <v>7.0000000000000007E-2</v>
      </c>
      <c r="D64" s="16" t="str">
        <f>IF(ISBLANK(_xlfn.XLOOKUP($B64,TaxRates!$A$3:$A$87,TaxRates!E$3:E$87)), "", _xlfn.XLOOKUP($B64,TaxRates!$A$3:$A$87,TaxRates!E$3:E$87))</f>
        <v/>
      </c>
      <c r="E64" s="4"/>
      <c r="F64" s="4"/>
    </row>
    <row r="65" spans="2:12" x14ac:dyDescent="0.35">
      <c r="B65" s="4" t="s">
        <v>105</v>
      </c>
      <c r="C65" s="16">
        <f>_xlfn.XLOOKUP(B65,TaxRates!A$3:A$87,TaxRates!B$3:B$87)</f>
        <v>0.05</v>
      </c>
      <c r="D65" s="16" t="str">
        <f>IF(ISBLANK(_xlfn.XLOOKUP($B65,TaxRates!$A$3:$A$87,TaxRates!E$3:E$87)), "", _xlfn.XLOOKUP($B65,TaxRates!$A$3:$A$87,TaxRates!E$3:E$87))</f>
        <v/>
      </c>
      <c r="E65" s="4"/>
      <c r="F65" s="4"/>
    </row>
    <row r="66" spans="2:12" x14ac:dyDescent="0.35">
      <c r="B66" s="4" t="s">
        <v>106</v>
      </c>
      <c r="C66" s="16">
        <f>_xlfn.XLOOKUP(B66,TaxRates!A$3:A$87,TaxRates!B$3:B$87)</f>
        <v>0</v>
      </c>
      <c r="D66" s="16" t="str">
        <f>IF(ISBLANK(_xlfn.XLOOKUP($B66,TaxRates!$A$3:$A$87,TaxRates!E$3:E$87)), "", _xlfn.XLOOKUP($B66,TaxRates!$A$3:$A$87,TaxRates!E$3:E$87))</f>
        <v>None</v>
      </c>
      <c r="E66" s="4"/>
      <c r="F66" s="4"/>
    </row>
    <row r="67" spans="2:12" x14ac:dyDescent="0.35">
      <c r="B67" s="4" t="s">
        <v>107</v>
      </c>
      <c r="C67" s="16">
        <f>_xlfn.XLOOKUP(B67,TaxRates!A$3:A$87,TaxRates!B$3:B$87)</f>
        <v>6.5000000000000002E-2</v>
      </c>
      <c r="D67" s="16" t="str">
        <f>IF(ISBLANK(_xlfn.XLOOKUP($B67,TaxRates!$A$3:$A$87,TaxRates!E$3:E$87)), "", _xlfn.XLOOKUP($B67,TaxRates!$A$3:$A$87,TaxRates!E$3:E$87))</f>
        <v>(b)</v>
      </c>
      <c r="E67" s="4"/>
      <c r="F67" s="4"/>
    </row>
    <row r="68" spans="2:12" x14ac:dyDescent="0.35">
      <c r="B68" s="4" t="s">
        <v>108</v>
      </c>
      <c r="C68" s="16">
        <f>_xlfn.XLOOKUP(B68,TaxRates!A$3:A$87,TaxRates!B$3:B$87)</f>
        <v>0</v>
      </c>
      <c r="D68" s="16" t="str">
        <f>IF(ISBLANK(_xlfn.XLOOKUP($B68,TaxRates!$A$3:$A$87,TaxRates!E$3:E$87)), "", _xlfn.XLOOKUP($B68,TaxRates!$A$3:$A$87,TaxRates!E$3:E$87))</f>
        <v>(b)</v>
      </c>
      <c r="E68" s="4"/>
      <c r="F68" s="4"/>
    </row>
    <row r="69" spans="2:12" x14ac:dyDescent="0.35">
      <c r="B69" s="4" t="s">
        <v>109</v>
      </c>
      <c r="C69" s="16">
        <f>_xlfn.XLOOKUP(B69,TaxRates!A$3:A$87,TaxRates!B$3:B$87)</f>
        <v>4.8500000000000001E-2</v>
      </c>
      <c r="D69" s="16" t="str">
        <f>IF(ISBLANK(_xlfn.XLOOKUP($B69,TaxRates!$A$3:$A$87,TaxRates!E$3:E$87)), "", _xlfn.XLOOKUP($B69,TaxRates!$A$3:$A$87,TaxRates!E$3:E$87))</f>
        <v/>
      </c>
      <c r="E69" s="4"/>
      <c r="F69" s="4"/>
    </row>
    <row r="70" spans="2:12" x14ac:dyDescent="0.35">
      <c r="B70" s="4" t="s">
        <v>110</v>
      </c>
      <c r="C70" s="16">
        <f>_xlfn.XLOOKUP(B70,TaxRates!A$3:A$87,TaxRates!B$3:B$87)</f>
        <v>0.06</v>
      </c>
      <c r="D70" s="16" t="str">
        <f>IF(ISBLANK(_xlfn.XLOOKUP($B70,TaxRates!$A$3:$A$87,TaxRates!E$3:E$87)), "", _xlfn.XLOOKUP($B70,TaxRates!$A$3:$A$87,TaxRates!E$3:E$87))</f>
        <v/>
      </c>
      <c r="E70" s="4"/>
      <c r="F70" s="4"/>
    </row>
    <row r="71" spans="2:12" x14ac:dyDescent="0.35">
      <c r="B71" s="4" t="s">
        <v>111</v>
      </c>
      <c r="C71" s="16">
        <f>_xlfn.XLOOKUP(B71,TaxRates!A$3:A$87,TaxRates!B$3:B$87)</f>
        <v>0.06</v>
      </c>
      <c r="D71" s="16" t="str">
        <f>IF(ISBLANK(_xlfn.XLOOKUP($B71,TaxRates!$A$3:$A$87,TaxRates!E$3:E$87)), "", _xlfn.XLOOKUP($B71,TaxRates!$A$3:$A$87,TaxRates!E$3:E$87))</f>
        <v/>
      </c>
      <c r="E71" s="4"/>
      <c r="F71" s="4"/>
    </row>
    <row r="72" spans="2:12" x14ac:dyDescent="0.35">
      <c r="B72" s="4" t="s">
        <v>112</v>
      </c>
      <c r="C72" s="16">
        <f>_xlfn.XLOOKUP(B72,TaxRates!A$3:A$87,TaxRates!B$3:B$87)</f>
        <v>0</v>
      </c>
      <c r="D72" s="16" t="str">
        <f>IF(ISBLANK(_xlfn.XLOOKUP($B72,TaxRates!$A$3:$A$87,TaxRates!E$3:E$87)), "", _xlfn.XLOOKUP($B72,TaxRates!$A$3:$A$87,TaxRates!E$3:E$87))</f>
        <v>(b)</v>
      </c>
      <c r="E72" s="4"/>
      <c r="F72" s="4"/>
    </row>
    <row r="73" spans="2:12" x14ac:dyDescent="0.35">
      <c r="B73" s="4" t="s">
        <v>113</v>
      </c>
      <c r="C73" s="16">
        <f>_xlfn.XLOOKUP(B73,TaxRates!A$3:A$87,TaxRates!B$3:B$87)</f>
        <v>6.5000000000000002E-2</v>
      </c>
      <c r="D73" s="16" t="str">
        <f>IF(ISBLANK(_xlfn.XLOOKUP($B73,TaxRates!$A$3:$A$87,TaxRates!E$3:E$87)), "", _xlfn.XLOOKUP($B73,TaxRates!$A$3:$A$87,TaxRates!E$3:E$87))</f>
        <v/>
      </c>
      <c r="E73" s="4"/>
      <c r="F73" s="4"/>
    </row>
    <row r="74" spans="2:12" x14ac:dyDescent="0.35">
      <c r="B74" s="4" t="s">
        <v>114</v>
      </c>
      <c r="C74" s="16">
        <f>_xlfn.XLOOKUP(B74,TaxRates!A$3:A$87,TaxRates!B$3:B$87)</f>
        <v>7.9000000000000001E-2</v>
      </c>
      <c r="D74" s="16" t="str">
        <f>IF(ISBLANK(_xlfn.XLOOKUP($B74,TaxRates!$A$3:$A$87,TaxRates!E$3:E$87)), "", _xlfn.XLOOKUP($B74,TaxRates!$A$3:$A$87,TaxRates!E$3:E$87))</f>
        <v/>
      </c>
      <c r="E74" s="4"/>
      <c r="F74" s="4"/>
    </row>
    <row r="75" spans="2:12" x14ac:dyDescent="0.35">
      <c r="B75" s="4" t="s">
        <v>115</v>
      </c>
      <c r="C75" s="16">
        <f>_xlfn.XLOOKUP(B75,TaxRates!A$3:A$87,TaxRates!B$3:B$87)</f>
        <v>0</v>
      </c>
      <c r="D75" s="16" t="str">
        <f>IF(ISBLANK(_xlfn.XLOOKUP($B75,TaxRates!$A$3:$A$87,TaxRates!E$3:E$87)), "", _xlfn.XLOOKUP($B75,TaxRates!$A$3:$A$87,TaxRates!E$3:E$87))</f>
        <v>None</v>
      </c>
      <c r="E75" s="4"/>
      <c r="F75" s="4"/>
    </row>
    <row r="76" spans="2:12" x14ac:dyDescent="0.35">
      <c r="B76" s="4" t="s">
        <v>116</v>
      </c>
      <c r="C76" s="16">
        <f>_xlfn.XLOOKUP(B76,TaxRates!A$3:A$87,TaxRates!B$3:B$87)</f>
        <v>8.2500000000000004E-2</v>
      </c>
      <c r="D76" s="16" t="str">
        <f>IF(ISBLANK(_xlfn.XLOOKUP($B76,TaxRates!$A$3:$A$87,TaxRates!E$3:E$87)), "", _xlfn.XLOOKUP($B76,TaxRates!$A$3:$A$87,TaxRates!E$3:E$87))</f>
        <v/>
      </c>
      <c r="E76" s="4"/>
      <c r="F76" s="4"/>
    </row>
    <row r="77" spans="2:12" x14ac:dyDescent="0.35">
      <c r="B77" s="25" t="s">
        <v>28</v>
      </c>
      <c r="C77" s="16"/>
    </row>
    <row r="80" spans="2:12" x14ac:dyDescent="0.35">
      <c r="B80" t="s">
        <v>205</v>
      </c>
      <c r="C80">
        <f>Calculator!C8</f>
        <v>2024</v>
      </c>
      <c r="D80">
        <f>C80+1</f>
        <v>2025</v>
      </c>
      <c r="E80">
        <f t="shared" ref="E80:L80" si="12">D80+1</f>
        <v>2026</v>
      </c>
      <c r="F80">
        <f t="shared" si="12"/>
        <v>2027</v>
      </c>
      <c r="G80">
        <f t="shared" si="12"/>
        <v>2028</v>
      </c>
      <c r="H80">
        <f t="shared" si="12"/>
        <v>2029</v>
      </c>
      <c r="I80">
        <f t="shared" si="12"/>
        <v>2030</v>
      </c>
      <c r="J80">
        <f t="shared" si="12"/>
        <v>2031</v>
      </c>
      <c r="K80">
        <f t="shared" si="12"/>
        <v>2032</v>
      </c>
      <c r="L80">
        <f t="shared" si="12"/>
        <v>2033</v>
      </c>
    </row>
    <row r="81" spans="2:12" x14ac:dyDescent="0.35">
      <c r="B81" t="s">
        <v>15</v>
      </c>
      <c r="C81" s="136">
        <f>INDEX('Credit Amounts'!$D$13:$AL$13,MATCH(C$80,'Credit Amounts'!$D$10:$AL$10,0))</f>
        <v>0</v>
      </c>
      <c r="D81" s="136">
        <f>INDEX('Credit Amounts'!$D$13:$AL$13,MATCH(D$80,'Credit Amounts'!$D$10:$AL$10,0))</f>
        <v>0</v>
      </c>
      <c r="E81" s="136">
        <f>INDEX('Credit Amounts'!$D$13:$AL$13,MATCH(E$80,'Credit Amounts'!$D$10:$AL$10,0))</f>
        <v>0</v>
      </c>
      <c r="F81" s="136">
        <f>INDEX('Credit Amounts'!$D$13:$AL$13,MATCH(F$80,'Credit Amounts'!$D$10:$AL$10,0))</f>
        <v>0</v>
      </c>
      <c r="G81" s="136">
        <f>INDEX('Credit Amounts'!$D$13:$AL$13,MATCH(G$80,'Credit Amounts'!$D$10:$AL$10,0))</f>
        <v>0</v>
      </c>
      <c r="H81" s="136">
        <f>INDEX('Credit Amounts'!$D$13:$AL$13,MATCH(H$80,'Credit Amounts'!$D$10:$AL$10,0))</f>
        <v>0</v>
      </c>
      <c r="I81" s="136">
        <f>INDEX('Credit Amounts'!$D$13:$AL$13,MATCH(I$80,'Credit Amounts'!$D$10:$AL$10,0))</f>
        <v>0</v>
      </c>
      <c r="J81" s="136">
        <f>INDEX('Credit Amounts'!$D$13:$AL$13,MATCH(J$80,'Credit Amounts'!$D$10:$AL$10,0))</f>
        <v>0</v>
      </c>
      <c r="K81" s="136">
        <f>INDEX('Credit Amounts'!$D$13:$AL$13,MATCH(K$80,'Credit Amounts'!$D$10:$AL$10,0))</f>
        <v>0</v>
      </c>
      <c r="L81" s="136">
        <f>INDEX('Credit Amounts'!$D$13:$AL$13,MATCH(L$80,'Credit Amounts'!$D$10:$AL$10,0))</f>
        <v>0</v>
      </c>
    </row>
    <row r="82" spans="2:12" x14ac:dyDescent="0.35">
      <c r="B82" t="s">
        <v>30</v>
      </c>
      <c r="C82" s="136">
        <f>INDEX('Credit Amounts'!$D$14:$AL$14,MATCH(C$80,'Credit Amounts'!$D$10:$AL$10,0))</f>
        <v>0</v>
      </c>
      <c r="D82" s="136">
        <f>INDEX('Credit Amounts'!$D$14:$AL$14,MATCH(D$80,'Credit Amounts'!$D$10:$AL$10,0))</f>
        <v>0</v>
      </c>
      <c r="E82" s="136">
        <f>INDEX('Credit Amounts'!$D$14:$AL$14,MATCH(E$80,'Credit Amounts'!$D$10:$AL$10,0))</f>
        <v>0</v>
      </c>
      <c r="F82" s="136">
        <f>INDEX('Credit Amounts'!$D$14:$AL$14,MATCH(F$80,'Credit Amounts'!$D$10:$AL$10,0))</f>
        <v>0</v>
      </c>
      <c r="G82" s="136">
        <f>INDEX('Credit Amounts'!$D$14:$AL$14,MATCH(G$80,'Credit Amounts'!$D$10:$AL$10,0))</f>
        <v>0</v>
      </c>
      <c r="H82" s="136">
        <f>INDEX('Credit Amounts'!$D$14:$AL$14,MATCH(H$80,'Credit Amounts'!$D$10:$AL$10,0))</f>
        <v>0</v>
      </c>
      <c r="I82" s="136">
        <f>INDEX('Credit Amounts'!$D$14:$AL$14,MATCH(I$80,'Credit Amounts'!$D$10:$AL$10,0))</f>
        <v>0</v>
      </c>
      <c r="J82" s="136">
        <f>INDEX('Credit Amounts'!$D$14:$AL$14,MATCH(J$80,'Credit Amounts'!$D$10:$AL$10,0))</f>
        <v>0</v>
      </c>
      <c r="K82" s="136">
        <f>INDEX('Credit Amounts'!$D$14:$AL$14,MATCH(K$80,'Credit Amounts'!$D$10:$AL$10,0))</f>
        <v>0</v>
      </c>
      <c r="L82" s="136">
        <f>INDEX('Credit Amounts'!$D$14:$AL$14,MATCH(L$80,'Credit Amounts'!$D$10:$AL$10,0))</f>
        <v>0</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BE2109249948468353D17D6193A2D1" ma:contentTypeVersion="17" ma:contentTypeDescription="Create a new document." ma:contentTypeScope="" ma:versionID="05de8ac68a32839aa6db6bc8d5fec2ae">
  <xsd:schema xmlns:xsd="http://www.w3.org/2001/XMLSchema" xmlns:xs="http://www.w3.org/2001/XMLSchema" xmlns:p="http://schemas.microsoft.com/office/2006/metadata/properties" xmlns:ns2="93533a04-82de-46e6-b95d-81a6074804eb" xmlns:ns3="ae02df55-a290-454d-9a98-291aa7349641" targetNamespace="http://schemas.microsoft.com/office/2006/metadata/properties" ma:root="true" ma:fieldsID="ffdef0326f6983511e9ccc3bb3648569" ns2:_="" ns3:_="">
    <xsd:import namespace="93533a04-82de-46e6-b95d-81a6074804eb"/>
    <xsd:import namespace="ae02df55-a290-454d-9a98-291aa73496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33a04-82de-46e6-b95d-81a6074804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02df55-a290-454d-9a98-291aa73496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17bb410-1167-40e5-9425-5399100b38fd}" ma:internalName="TaxCatchAll" ma:showField="CatchAllData" ma:web="ae02df55-a290-454d-9a98-291aa7349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533a04-82de-46e6-b95d-81a6074804eb">
      <Terms xmlns="http://schemas.microsoft.com/office/infopath/2007/PartnerControls"/>
    </lcf76f155ced4ddcb4097134ff3c332f>
    <TaxCatchAll xmlns="ae02df55-a290-454d-9a98-291aa7349641" xsi:nil="true"/>
  </documentManagement>
</p:properties>
</file>

<file path=customXml/itemProps1.xml><?xml version="1.0" encoding="utf-8"?>
<ds:datastoreItem xmlns:ds="http://schemas.openxmlformats.org/officeDocument/2006/customXml" ds:itemID="{D0DF586B-24C2-401F-8E15-4675D961451F}"/>
</file>

<file path=customXml/itemProps2.xml><?xml version="1.0" encoding="utf-8"?>
<ds:datastoreItem xmlns:ds="http://schemas.openxmlformats.org/officeDocument/2006/customXml" ds:itemID="{659E6633-E174-4B4E-8BF3-1D7D711883B1}">
  <ds:schemaRefs>
    <ds:schemaRef ds:uri="http://schemas.microsoft.com/sharepoint/v3/contenttype/forms"/>
  </ds:schemaRefs>
</ds:datastoreItem>
</file>

<file path=customXml/itemProps3.xml><?xml version="1.0" encoding="utf-8"?>
<ds:datastoreItem xmlns:ds="http://schemas.openxmlformats.org/officeDocument/2006/customXml" ds:itemID="{E9A53FCE-D4DA-4298-8F40-840DD725D7D3}">
  <ds:schemaRefs>
    <ds:schemaRef ds:uri="http://schemas.microsoft.com/office/2006/documentManagement/types"/>
    <ds:schemaRef ds:uri="http://schemas.microsoft.com/office/2006/metadata/properties"/>
    <ds:schemaRef ds:uri="http://purl.org/dc/dcmitype/"/>
    <ds:schemaRef ds:uri="http://purl.org/dc/terms/"/>
    <ds:schemaRef ds:uri="http://purl.org/dc/elements/1.1/"/>
    <ds:schemaRef ds:uri="4017c6b3-9933-4618-b092-8b6d305cf4cf"/>
    <ds:schemaRef ds:uri="1e4572a1-de4a-4e0c-894a-3178116de203"/>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Input Definitions</vt:lpstr>
      <vt:lpstr>Calculator</vt:lpstr>
      <vt:lpstr>Credit Amounts</vt:lpstr>
      <vt:lpstr>Chart.Data</vt:lpstr>
      <vt:lpstr>TaxRates</vt:lpstr>
      <vt:lpstr>Lookup</vt:lpstr>
      <vt:lpstr>CapExkW</vt:lpstr>
      <vt:lpstr>initialkW</vt:lpstr>
      <vt:lpstr>initialNCF</vt:lpstr>
      <vt:lpstr>IO</vt:lpstr>
      <vt:lpstr>ITCkWh</vt:lpstr>
      <vt:lpstr>ITCnpv</vt:lpstr>
      <vt:lpstr>LVL</vt:lpstr>
      <vt:lpstr>NCF</vt:lpstr>
      <vt:lpstr>PTCkWh</vt:lpstr>
      <vt:lpstr>PTCnpv</vt:lpstr>
      <vt:lpstr>StateList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Kirsh, Sam</dc:creator>
  <cp:keywords/>
  <dc:description/>
  <cp:lastModifiedBy>Kafka, Jordan</cp:lastModifiedBy>
  <cp:revision/>
  <dcterms:created xsi:type="dcterms:W3CDTF">2023-06-29T18:05:57Z</dcterms:created>
  <dcterms:modified xsi:type="dcterms:W3CDTF">2023-11-01T17:41:55Z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0x010100068FC3689D486D4F9C10B5FA9E8B8AB8</vt:lpwstr>
  </property>
</Properties>
</file>